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 windowWidth="11130" windowHeight="8925"/>
  </bookViews>
  <sheets>
    <sheet name="Model" sheetId="1" r:id="rId1"/>
    <sheet name="Calculations" sheetId="2" r:id="rId2"/>
  </sheets>
  <calcPr calcId="145621"/>
</workbook>
</file>

<file path=xl/calcChain.xml><?xml version="1.0" encoding="utf-8"?>
<calcChain xmlns="http://schemas.openxmlformats.org/spreadsheetml/2006/main">
  <c r="B30" i="1" l="1"/>
  <c r="B32" i="1" s="1"/>
  <c r="C2" i="2"/>
  <c r="B25" i="1"/>
  <c r="AF2" i="2"/>
  <c r="B31" i="1" l="1"/>
  <c r="D2" i="2"/>
  <c r="E2" i="2" s="1"/>
  <c r="B28" i="1"/>
  <c r="AB2" i="2" s="1"/>
  <c r="G2" i="2" s="1"/>
  <c r="B12" i="1"/>
  <c r="B26" i="1" s="1"/>
  <c r="L2" i="2" s="1"/>
  <c r="B8" i="1"/>
  <c r="H2" i="2" l="1"/>
  <c r="B3" i="2"/>
  <c r="B10" i="1"/>
  <c r="B9" i="1"/>
  <c r="T2" i="2"/>
  <c r="F2" i="2"/>
  <c r="B36" i="1"/>
  <c r="B33" i="1"/>
  <c r="B37" i="1" s="1"/>
  <c r="B11" i="1"/>
  <c r="V2" i="2" l="1"/>
  <c r="W2" i="2" s="1"/>
  <c r="X2" i="2" s="1"/>
  <c r="U2" i="2"/>
  <c r="B34" i="1"/>
  <c r="B35" i="1" s="1"/>
  <c r="J2" i="2" s="1"/>
  <c r="C3" i="2"/>
  <c r="D3" i="2" s="1"/>
  <c r="E3" i="2" s="1"/>
  <c r="AF3" i="2"/>
  <c r="T3" i="2" l="1"/>
  <c r="K2" i="2"/>
  <c r="I2" i="2"/>
  <c r="V3" i="2" l="1"/>
  <c r="N2" i="2"/>
  <c r="M2" i="2" l="1"/>
  <c r="P2" i="2" s="1"/>
  <c r="O2" i="2"/>
  <c r="Q2" i="2" s="1"/>
  <c r="AG2" i="2" l="1"/>
  <c r="B27" i="1"/>
  <c r="R2" i="2"/>
  <c r="S2" i="2" s="1"/>
  <c r="Z2" i="2" l="1"/>
  <c r="Y2" i="2"/>
  <c r="AA2" i="2" s="1"/>
  <c r="AB3" i="2" l="1"/>
  <c r="B4" i="2" l="1"/>
  <c r="G3" i="2"/>
  <c r="H3" i="2" s="1"/>
  <c r="U3" i="2"/>
  <c r="F3" i="2"/>
  <c r="AE3" i="2"/>
  <c r="AC3" i="2"/>
  <c r="J3" i="2" l="1"/>
  <c r="W3" i="2"/>
  <c r="X3" i="2" s="1"/>
  <c r="AD3" i="2"/>
  <c r="L3" i="2" s="1"/>
  <c r="AF4" i="2"/>
  <c r="C4" i="2"/>
  <c r="I3" i="2" l="1"/>
  <c r="D4" i="2"/>
  <c r="E4" i="2" s="1"/>
  <c r="T4" i="2" s="1"/>
  <c r="K3" i="2"/>
  <c r="V4" i="2" l="1"/>
  <c r="N3" i="2"/>
  <c r="M3" i="2" s="1"/>
  <c r="P3" i="2" s="1"/>
  <c r="AG3" i="2" l="1"/>
  <c r="O3" i="2"/>
  <c r="R3" i="2" l="1"/>
  <c r="Q3" i="2"/>
  <c r="S3" i="2" l="1"/>
  <c r="Y3" i="2" l="1"/>
  <c r="AA3" i="2" s="1"/>
  <c r="AB4" i="2" s="1"/>
  <c r="Z3" i="2"/>
  <c r="B5" i="2" l="1"/>
  <c r="G4" i="2"/>
  <c r="H4" i="2" s="1"/>
  <c r="F4" i="2"/>
  <c r="AC4" i="2"/>
  <c r="AE4" i="2"/>
  <c r="U4" i="2"/>
  <c r="J4" i="2" l="1"/>
  <c r="W4" i="2"/>
  <c r="X4" i="2" s="1"/>
  <c r="AD4" i="2"/>
  <c r="L4" i="2" s="1"/>
  <c r="AF5" i="2"/>
  <c r="C5" i="2"/>
  <c r="D5" i="2" l="1"/>
  <c r="E5" i="2" s="1"/>
  <c r="T5" i="2" s="1"/>
  <c r="K4" i="2"/>
  <c r="I4" i="2"/>
  <c r="N4" i="2" l="1"/>
  <c r="M4" i="2" s="1"/>
  <c r="P4" i="2" s="1"/>
  <c r="V5" i="2"/>
  <c r="AG4" i="2" l="1"/>
  <c r="O4" i="2"/>
  <c r="Q4" i="2" s="1"/>
  <c r="R4" i="2" l="1"/>
  <c r="S4" i="2" s="1"/>
  <c r="Z4" i="2" s="1"/>
  <c r="Y4" i="2" l="1"/>
  <c r="AA4" i="2" s="1"/>
  <c r="AB5" i="2" s="1"/>
  <c r="B6" i="2" l="1"/>
  <c r="G5" i="2"/>
  <c r="H5" i="2" s="1"/>
  <c r="F5" i="2"/>
  <c r="AE5" i="2"/>
  <c r="AC5" i="2"/>
  <c r="U5" i="2"/>
  <c r="AF6" i="2" l="1"/>
  <c r="C6" i="2"/>
  <c r="J5" i="2"/>
  <c r="W5" i="2"/>
  <c r="X5" i="2" s="1"/>
  <c r="AD5" i="2"/>
  <c r="L5" i="2" s="1"/>
  <c r="K5" i="2" l="1"/>
  <c r="D6" i="2"/>
  <c r="E6" i="2" s="1"/>
  <c r="T6" i="2" s="1"/>
  <c r="I5" i="2"/>
  <c r="N5" i="2" l="1"/>
  <c r="M5" i="2" s="1"/>
  <c r="P5" i="2" s="1"/>
  <c r="V6" i="2"/>
  <c r="AG5" i="2" l="1"/>
  <c r="O5" i="2"/>
  <c r="R5" i="2" l="1"/>
  <c r="Q5" i="2"/>
  <c r="S5" i="2" l="1"/>
  <c r="Y5" i="2" s="1"/>
  <c r="AA5" i="2" s="1"/>
  <c r="Z5" i="2" l="1"/>
  <c r="AB6" i="2"/>
  <c r="B7" i="2" l="1"/>
  <c r="G6" i="2"/>
  <c r="H6" i="2" s="1"/>
  <c r="F6" i="2"/>
  <c r="AC6" i="2"/>
  <c r="AE6" i="2"/>
  <c r="U6" i="2"/>
  <c r="AF7" i="2" l="1"/>
  <c r="C7" i="2"/>
  <c r="AD6" i="2"/>
  <c r="L6" i="2" s="1"/>
  <c r="J6" i="2"/>
  <c r="W6" i="2"/>
  <c r="X6" i="2" s="1"/>
  <c r="K6" i="2" l="1"/>
  <c r="I6" i="2"/>
  <c r="D7" i="2"/>
  <c r="E7" i="2" s="1"/>
  <c r="T7" i="2" s="1"/>
  <c r="N6" i="2" l="1"/>
  <c r="M6" i="2" s="1"/>
  <c r="P6" i="2" s="1"/>
  <c r="V7" i="2"/>
  <c r="AG6" i="2" l="1"/>
  <c r="O6" i="2"/>
  <c r="Q6" i="2" s="1"/>
  <c r="R6" i="2" l="1"/>
  <c r="S6" i="2" s="1"/>
  <c r="Y6" i="2" l="1"/>
  <c r="AA6" i="2" s="1"/>
  <c r="AB7" i="2" s="1"/>
  <c r="Z6" i="2"/>
  <c r="B8" i="2" l="1"/>
  <c r="G7" i="2"/>
  <c r="H7" i="2" s="1"/>
  <c r="F7" i="2"/>
  <c r="AE7" i="2"/>
  <c r="AC7" i="2"/>
  <c r="U7" i="2"/>
  <c r="J7" i="2" l="1"/>
  <c r="W7" i="2"/>
  <c r="X7" i="2" s="1"/>
  <c r="AF8" i="2"/>
  <c r="C8" i="2"/>
  <c r="AD7" i="2"/>
  <c r="L7" i="2" s="1"/>
  <c r="D8" i="2" l="1"/>
  <c r="E8" i="2" s="1"/>
  <c r="T8" i="2" s="1"/>
  <c r="K7" i="2"/>
  <c r="I7" i="2"/>
  <c r="N7" i="2" l="1"/>
  <c r="M7" i="2" s="1"/>
  <c r="P7" i="2" s="1"/>
  <c r="V8" i="2"/>
  <c r="AG7" i="2" l="1"/>
  <c r="O7" i="2"/>
  <c r="Q7" i="2" s="1"/>
  <c r="R7" i="2" l="1"/>
  <c r="S7" i="2" s="1"/>
  <c r="Y7" i="2" l="1"/>
  <c r="AA7" i="2" s="1"/>
  <c r="AB8" i="2" s="1"/>
  <c r="Z7" i="2"/>
  <c r="B9" i="2" l="1"/>
  <c r="G8" i="2"/>
  <c r="H8" i="2" s="1"/>
  <c r="F8" i="2"/>
  <c r="AE8" i="2"/>
  <c r="AC8" i="2"/>
  <c r="U8" i="2"/>
  <c r="J8" i="2" l="1"/>
  <c r="W8" i="2"/>
  <c r="X8" i="2" s="1"/>
  <c r="AF9" i="2"/>
  <c r="C9" i="2"/>
  <c r="AD8" i="2"/>
  <c r="L8" i="2" s="1"/>
  <c r="D9" i="2" l="1"/>
  <c r="E9" i="2" s="1"/>
  <c r="T9" i="2" s="1"/>
  <c r="K8" i="2"/>
  <c r="I8" i="2"/>
  <c r="N8" i="2" l="1"/>
  <c r="M8" i="2" s="1"/>
  <c r="P8" i="2" s="1"/>
  <c r="V9" i="2"/>
  <c r="AG8" i="2" l="1"/>
  <c r="O8" i="2"/>
  <c r="R8" i="2" s="1"/>
  <c r="Q8" i="2" l="1"/>
  <c r="S8" i="2" s="1"/>
  <c r="Y8" i="2" s="1"/>
  <c r="AA8" i="2" s="1"/>
  <c r="Z8" i="2" l="1"/>
  <c r="AB9" i="2"/>
  <c r="B10" i="2" l="1"/>
  <c r="G9" i="2"/>
  <c r="H9" i="2" s="1"/>
  <c r="F9" i="2"/>
  <c r="AE9" i="2"/>
  <c r="AC9" i="2"/>
  <c r="U9" i="2"/>
  <c r="AD9" i="2" l="1"/>
  <c r="L9" i="2" s="1"/>
  <c r="J9" i="2"/>
  <c r="W9" i="2"/>
  <c r="X9" i="2" s="1"/>
  <c r="C10" i="2"/>
  <c r="AF10" i="2"/>
  <c r="I9" i="2" l="1"/>
  <c r="D10" i="2"/>
  <c r="E10" i="2" s="1"/>
  <c r="T10" i="2" s="1"/>
  <c r="K9" i="2"/>
  <c r="N9" i="2" l="1"/>
  <c r="M9" i="2" s="1"/>
  <c r="P9" i="2" s="1"/>
  <c r="V10" i="2"/>
  <c r="AG9" i="2" l="1"/>
  <c r="O9" i="2"/>
  <c r="Q9" i="2" s="1"/>
  <c r="R9" i="2" l="1"/>
  <c r="S9" i="2" s="1"/>
  <c r="Y9" i="2" l="1"/>
  <c r="AA9" i="2" s="1"/>
  <c r="Z9" i="2"/>
  <c r="AB10" i="2" l="1"/>
  <c r="B11" i="2" l="1"/>
  <c r="G10" i="2"/>
  <c r="H10" i="2" s="1"/>
  <c r="F10" i="2"/>
  <c r="AE10" i="2"/>
  <c r="AC10" i="2"/>
  <c r="U10" i="2"/>
  <c r="J10" i="2" l="1"/>
  <c r="W10" i="2"/>
  <c r="X10" i="2" s="1"/>
  <c r="AF11" i="2"/>
  <c r="C11" i="2"/>
  <c r="AD10" i="2"/>
  <c r="L10" i="2" s="1"/>
  <c r="D11" i="2" l="1"/>
  <c r="E11" i="2" s="1"/>
  <c r="T11" i="2" s="1"/>
  <c r="K10" i="2"/>
  <c r="I10" i="2"/>
  <c r="N10" i="2" l="1"/>
  <c r="M10" i="2" s="1"/>
  <c r="P10" i="2" s="1"/>
  <c r="V11" i="2"/>
  <c r="AG10" i="2" l="1"/>
  <c r="O10" i="2"/>
  <c r="R10" i="2" s="1"/>
  <c r="Q10" i="2" l="1"/>
  <c r="S10" i="2" s="1"/>
  <c r="Z10" i="2" s="1"/>
  <c r="Y10" i="2" l="1"/>
  <c r="AA10" i="2" s="1"/>
  <c r="AB11" i="2" s="1"/>
  <c r="B12" i="2" l="1"/>
  <c r="G11" i="2"/>
  <c r="H11" i="2" s="1"/>
  <c r="F11" i="2"/>
  <c r="AE11" i="2"/>
  <c r="AC11" i="2"/>
  <c r="U11" i="2"/>
  <c r="AF12" i="2" l="1"/>
  <c r="C12" i="2"/>
  <c r="J11" i="2"/>
  <c r="W11" i="2"/>
  <c r="X11" i="2" s="1"/>
  <c r="AD11" i="2"/>
  <c r="L11" i="2" s="1"/>
  <c r="K11" i="2" l="1"/>
  <c r="I11" i="2"/>
  <c r="D12" i="2"/>
  <c r="E12" i="2" s="1"/>
  <c r="T12" i="2" s="1"/>
  <c r="N11" i="2" l="1"/>
  <c r="M11" i="2" s="1"/>
  <c r="P11" i="2" s="1"/>
  <c r="V12" i="2"/>
  <c r="AG11" i="2" l="1"/>
  <c r="O11" i="2"/>
  <c r="Q11" i="2" s="1"/>
  <c r="R11" i="2" l="1"/>
  <c r="S11" i="2" s="1"/>
  <c r="Y11" i="2" s="1"/>
  <c r="AA11" i="2" s="1"/>
  <c r="Z11" i="2" l="1"/>
  <c r="AB12" i="2"/>
  <c r="B13" i="2" l="1"/>
  <c r="G12" i="2"/>
  <c r="H12" i="2" s="1"/>
  <c r="F12" i="2"/>
  <c r="AC12" i="2"/>
  <c r="AE12" i="2"/>
  <c r="U12" i="2"/>
  <c r="J12" i="2" l="1"/>
  <c r="W12" i="2"/>
  <c r="X12" i="2" s="1"/>
  <c r="AD12" i="2"/>
  <c r="L12" i="2" s="1"/>
  <c r="AF13" i="2"/>
  <c r="C13" i="2"/>
  <c r="K12" i="2" l="1"/>
  <c r="D13" i="2"/>
  <c r="E13" i="2" s="1"/>
  <c r="T13" i="2" s="1"/>
  <c r="I12" i="2"/>
  <c r="N12" i="2" l="1"/>
  <c r="M12" i="2" s="1"/>
  <c r="P12" i="2" s="1"/>
  <c r="V13" i="2"/>
  <c r="AG12" i="2" l="1"/>
  <c r="O12" i="2"/>
  <c r="Q12" i="2" s="1"/>
  <c r="R12" i="2" l="1"/>
  <c r="S12" i="2" s="1"/>
  <c r="Z12" i="2" s="1"/>
  <c r="Y12" i="2" l="1"/>
  <c r="AA12" i="2" s="1"/>
  <c r="AB13" i="2" s="1"/>
  <c r="B14" i="2" l="1"/>
  <c r="G13" i="2"/>
  <c r="H13" i="2" s="1"/>
  <c r="F13" i="2"/>
  <c r="AE13" i="2"/>
  <c r="AC13" i="2"/>
  <c r="U13" i="2"/>
  <c r="J13" i="2" l="1"/>
  <c r="W13" i="2"/>
  <c r="X13" i="2" s="1"/>
  <c r="AF14" i="2"/>
  <c r="C14" i="2"/>
  <c r="AD13" i="2"/>
  <c r="L13" i="2" s="1"/>
  <c r="D14" i="2" l="1"/>
  <c r="E14" i="2" s="1"/>
  <c r="T14" i="2" s="1"/>
  <c r="K13" i="2"/>
  <c r="I13" i="2"/>
  <c r="N13" i="2" l="1"/>
  <c r="M13" i="2" s="1"/>
  <c r="P13" i="2" s="1"/>
  <c r="V14" i="2"/>
  <c r="AG13" i="2" l="1"/>
  <c r="O13" i="2"/>
  <c r="Q13" i="2" s="1"/>
  <c r="R13" i="2" l="1"/>
  <c r="S13" i="2" s="1"/>
  <c r="Z13" i="2" s="1"/>
  <c r="Y13" i="2" l="1"/>
  <c r="AA13" i="2" s="1"/>
  <c r="AB14" i="2" s="1"/>
  <c r="B15" i="2" l="1"/>
  <c r="G14" i="2"/>
  <c r="H14" i="2" s="1"/>
  <c r="F14" i="2"/>
  <c r="AE14" i="2"/>
  <c r="AC14" i="2"/>
  <c r="U14" i="2"/>
  <c r="AF15" i="2" l="1"/>
  <c r="C15" i="2"/>
  <c r="J14" i="2"/>
  <c r="W14" i="2"/>
  <c r="X14" i="2" s="1"/>
  <c r="AD14" i="2"/>
  <c r="L14" i="2" s="1"/>
  <c r="I14" i="2" l="1"/>
  <c r="D15" i="2"/>
  <c r="E15" i="2" s="1"/>
  <c r="T15" i="2" s="1"/>
  <c r="K14" i="2"/>
  <c r="N14" i="2" l="1"/>
  <c r="M14" i="2" s="1"/>
  <c r="P14" i="2" s="1"/>
  <c r="V15" i="2"/>
  <c r="AG14" i="2" l="1"/>
  <c r="O14" i="2"/>
  <c r="Q14" i="2" s="1"/>
  <c r="R14" i="2" l="1"/>
  <c r="S14" i="2" s="1"/>
  <c r="Y14" i="2" l="1"/>
  <c r="AA14" i="2" s="1"/>
  <c r="Z14" i="2"/>
  <c r="AB15" i="2" l="1"/>
  <c r="B16" i="2" l="1"/>
  <c r="G15" i="2"/>
  <c r="H15" i="2" s="1"/>
  <c r="F15" i="2"/>
  <c r="AE15" i="2"/>
  <c r="AC15" i="2"/>
  <c r="U15" i="2"/>
  <c r="J15" i="2" l="1"/>
  <c r="W15" i="2"/>
  <c r="X15" i="2" s="1"/>
  <c r="AF16" i="2"/>
  <c r="C16" i="2"/>
  <c r="AD15" i="2"/>
  <c r="L15" i="2" s="1"/>
  <c r="D16" i="2" l="1"/>
  <c r="E16" i="2" s="1"/>
  <c r="T16" i="2" s="1"/>
  <c r="K15" i="2"/>
  <c r="I15" i="2"/>
  <c r="N15" i="2" l="1"/>
  <c r="M15" i="2" s="1"/>
  <c r="P15" i="2" s="1"/>
  <c r="V16" i="2"/>
  <c r="AG15" i="2" l="1"/>
  <c r="O15" i="2"/>
  <c r="Q15" i="2" s="1"/>
  <c r="R15" i="2" l="1"/>
  <c r="S15" i="2" s="1"/>
  <c r="Y15" i="2" s="1"/>
  <c r="AA15" i="2" s="1"/>
  <c r="Z15" i="2" l="1"/>
  <c r="AB16" i="2"/>
  <c r="B17" i="2" l="1"/>
  <c r="G16" i="2"/>
  <c r="H16" i="2" s="1"/>
  <c r="F16" i="2"/>
  <c r="AE16" i="2"/>
  <c r="AC16" i="2"/>
  <c r="U16" i="2"/>
  <c r="AF17" i="2" l="1"/>
  <c r="C17" i="2"/>
  <c r="J16" i="2"/>
  <c r="W16" i="2"/>
  <c r="X16" i="2" s="1"/>
  <c r="AD16" i="2"/>
  <c r="L16" i="2" s="1"/>
  <c r="D17" i="2" l="1"/>
  <c r="E17" i="2" s="1"/>
  <c r="T17" i="2" s="1"/>
  <c r="K16" i="2"/>
  <c r="I16" i="2"/>
  <c r="N16" i="2" l="1"/>
  <c r="M16" i="2" s="1"/>
  <c r="P16" i="2" s="1"/>
  <c r="V17" i="2"/>
  <c r="AG16" i="2" l="1"/>
  <c r="O16" i="2"/>
  <c r="R16" i="2" s="1"/>
  <c r="Q16" i="2" l="1"/>
  <c r="S16" i="2" s="1"/>
  <c r="Y16" i="2" s="1"/>
  <c r="AA16" i="2" s="1"/>
  <c r="Z16" i="2" l="1"/>
  <c r="AB17" i="2"/>
  <c r="B18" i="2" l="1"/>
  <c r="G17" i="2"/>
  <c r="H17" i="2" s="1"/>
  <c r="F17" i="2"/>
  <c r="AC17" i="2"/>
  <c r="AE17" i="2"/>
  <c r="U17" i="2"/>
  <c r="AD17" i="2" l="1"/>
  <c r="L17" i="2" s="1"/>
  <c r="AF18" i="2"/>
  <c r="C18" i="2"/>
  <c r="J17" i="2"/>
  <c r="W17" i="2"/>
  <c r="X17" i="2" s="1"/>
  <c r="I17" i="2" l="1"/>
  <c r="K17" i="2"/>
  <c r="D18" i="2"/>
  <c r="E18" i="2" s="1"/>
  <c r="T18" i="2" s="1"/>
  <c r="V18" i="2" l="1"/>
  <c r="N17" i="2"/>
  <c r="M17" i="2" s="1"/>
  <c r="P17" i="2" s="1"/>
  <c r="AG17" i="2" l="1"/>
  <c r="O17" i="2"/>
  <c r="R17" i="2" l="1"/>
  <c r="Q17" i="2"/>
  <c r="S17" i="2" l="1"/>
  <c r="Z17" i="2" s="1"/>
  <c r="Y17" i="2" l="1"/>
  <c r="AA17" i="2" s="1"/>
  <c r="AB18" i="2" s="1"/>
  <c r="B19" i="2" l="1"/>
  <c r="G18" i="2"/>
  <c r="H18" i="2" s="1"/>
  <c r="F18" i="2"/>
  <c r="AC18" i="2"/>
  <c r="AE18" i="2"/>
  <c r="U18" i="2"/>
  <c r="AF19" i="2" l="1"/>
  <c r="C19" i="2"/>
  <c r="AD18" i="2"/>
  <c r="L18" i="2" s="1"/>
  <c r="J18" i="2"/>
  <c r="W18" i="2"/>
  <c r="X18" i="2" s="1"/>
  <c r="K18" i="2" l="1"/>
  <c r="I18" i="2"/>
  <c r="D19" i="2"/>
  <c r="E19" i="2" s="1"/>
  <c r="T19" i="2" s="1"/>
  <c r="N18" i="2" l="1"/>
  <c r="M18" i="2" s="1"/>
  <c r="P18" i="2" s="1"/>
  <c r="V19" i="2"/>
  <c r="AG18" i="2" l="1"/>
  <c r="O18" i="2"/>
  <c r="R18" i="2" s="1"/>
  <c r="Q18" i="2" l="1"/>
  <c r="S18" i="2" s="1"/>
  <c r="Z18" i="2" s="1"/>
  <c r="Y18" i="2" l="1"/>
  <c r="AA18" i="2" s="1"/>
  <c r="AB19" i="2" s="1"/>
  <c r="B20" i="2" l="1"/>
  <c r="G19" i="2"/>
  <c r="H19" i="2" s="1"/>
  <c r="F19" i="2"/>
  <c r="AE19" i="2"/>
  <c r="AC19" i="2"/>
  <c r="U19" i="2"/>
  <c r="AF20" i="2" l="1"/>
  <c r="C20" i="2"/>
  <c r="J19" i="2"/>
  <c r="W19" i="2"/>
  <c r="X19" i="2" s="1"/>
  <c r="AD19" i="2"/>
  <c r="L19" i="2" s="1"/>
  <c r="I19" i="2" l="1"/>
  <c r="D20" i="2"/>
  <c r="E20" i="2" s="1"/>
  <c r="T20" i="2" s="1"/>
  <c r="K19" i="2"/>
  <c r="V20" i="2" l="1"/>
  <c r="N19" i="2"/>
  <c r="M19" i="2" s="1"/>
  <c r="P19" i="2" s="1"/>
  <c r="AG19" i="2" l="1"/>
  <c r="O19" i="2"/>
  <c r="R19" i="2" l="1"/>
  <c r="Q19" i="2"/>
  <c r="S19" i="2" l="1"/>
  <c r="Y19" i="2" s="1"/>
  <c r="AA19" i="2" s="1"/>
  <c r="Z19" i="2" l="1"/>
  <c r="AB20" i="2"/>
  <c r="B21" i="2" l="1"/>
  <c r="G20" i="2"/>
  <c r="H20" i="2" s="1"/>
  <c r="F20" i="2"/>
  <c r="AC20" i="2"/>
  <c r="AE20" i="2"/>
  <c r="U20" i="2"/>
  <c r="AD20" i="2" l="1"/>
  <c r="L20" i="2" s="1"/>
  <c r="AF21" i="2"/>
  <c r="C21" i="2"/>
  <c r="J20" i="2"/>
  <c r="W20" i="2"/>
  <c r="X20" i="2" s="1"/>
  <c r="I20" i="2" l="1"/>
  <c r="K20" i="2"/>
  <c r="D21" i="2"/>
  <c r="E21" i="2" s="1"/>
  <c r="T21" i="2" s="1"/>
  <c r="N20" i="2" l="1"/>
  <c r="M20" i="2" s="1"/>
  <c r="P20" i="2" s="1"/>
  <c r="V21" i="2"/>
  <c r="AG20" i="2" l="1"/>
  <c r="O20" i="2"/>
  <c r="R20" i="2" s="1"/>
  <c r="Q20" i="2" l="1"/>
  <c r="S20" i="2" s="1"/>
  <c r="Y20" i="2" s="1"/>
  <c r="AA20" i="2" s="1"/>
  <c r="Z20" i="2" l="1"/>
  <c r="AB21" i="2"/>
  <c r="B22" i="2" l="1"/>
  <c r="H22" i="2" s="1"/>
  <c r="G21" i="2"/>
  <c r="H21" i="2" s="1"/>
  <c r="F21" i="2"/>
  <c r="AC21" i="2"/>
  <c r="AE21" i="2"/>
  <c r="U21" i="2"/>
  <c r="AD21" i="2" l="1"/>
  <c r="L21" i="2" s="1"/>
  <c r="AF22" i="2"/>
  <c r="C22" i="2"/>
  <c r="J21" i="2"/>
  <c r="W21" i="2"/>
  <c r="X21" i="2" s="1"/>
  <c r="K21" i="2" l="1"/>
  <c r="I21" i="2"/>
  <c r="D22" i="2"/>
  <c r="E22" i="2" s="1"/>
  <c r="T22" i="2" s="1"/>
  <c r="V22" i="2" l="1"/>
  <c r="N21" i="2"/>
  <c r="M21" i="2" s="1"/>
  <c r="P21" i="2" s="1"/>
  <c r="AG21" i="2" l="1"/>
  <c r="O21" i="2"/>
  <c r="R21" i="2" l="1"/>
  <c r="Q21" i="2"/>
  <c r="S21" i="2" l="1"/>
  <c r="Z21" i="2" s="1"/>
  <c r="Y21" i="2" l="1"/>
  <c r="AA21" i="2" s="1"/>
  <c r="AB22" i="2" s="1"/>
  <c r="B23" i="2" l="1"/>
  <c r="G22" i="2"/>
  <c r="F22" i="2"/>
  <c r="AC22" i="2"/>
  <c r="AE22" i="2"/>
  <c r="U22" i="2"/>
  <c r="J22" i="2" l="1"/>
  <c r="W22" i="2"/>
  <c r="X22" i="2" s="1"/>
  <c r="AD22" i="2"/>
  <c r="L22" i="2" s="1"/>
  <c r="C23" i="2"/>
  <c r="AF23" i="2"/>
  <c r="I22" i="2" l="1"/>
  <c r="D23" i="2"/>
  <c r="E23" i="2" s="1"/>
  <c r="T23" i="2" s="1"/>
  <c r="K22" i="2"/>
  <c r="N22" i="2" l="1"/>
  <c r="M22" i="2" s="1"/>
  <c r="P22" i="2" s="1"/>
  <c r="V23" i="2"/>
  <c r="AG22" i="2" l="1"/>
  <c r="O22" i="2"/>
  <c r="Q22" i="2" s="1"/>
  <c r="R22" i="2" l="1"/>
  <c r="S22" i="2" s="1"/>
  <c r="Y22" i="2" s="1"/>
  <c r="AA22" i="2" s="1"/>
  <c r="Z22" i="2" l="1"/>
  <c r="AB23" i="2"/>
  <c r="B24" i="2" l="1"/>
  <c r="G23" i="2"/>
  <c r="H23" i="2" s="1"/>
  <c r="F23" i="2"/>
  <c r="AE23" i="2"/>
  <c r="AC23" i="2"/>
  <c r="U23" i="2"/>
  <c r="AD23" i="2" l="1"/>
  <c r="L23" i="2" s="1"/>
  <c r="AF24" i="2"/>
  <c r="C24" i="2"/>
  <c r="J23" i="2"/>
  <c r="W23" i="2"/>
  <c r="X23" i="2" s="1"/>
  <c r="K23" i="2" l="1"/>
  <c r="I23" i="2"/>
  <c r="D24" i="2"/>
  <c r="E24" i="2" s="1"/>
  <c r="T24" i="2" s="1"/>
  <c r="N23" i="2" l="1"/>
  <c r="M23" i="2" s="1"/>
  <c r="P23" i="2" s="1"/>
  <c r="V24" i="2"/>
  <c r="AG23" i="2" l="1"/>
  <c r="O23" i="2"/>
  <c r="R23" i="2" s="1"/>
  <c r="Q23" i="2" l="1"/>
  <c r="S23" i="2" s="1"/>
  <c r="Y23" i="2" s="1"/>
  <c r="AA23" i="2" s="1"/>
  <c r="Z23" i="2" l="1"/>
  <c r="AB24" i="2"/>
  <c r="B25" i="2" l="1"/>
  <c r="G24" i="2"/>
  <c r="H24" i="2" s="1"/>
  <c r="F24" i="2"/>
  <c r="AC24" i="2"/>
  <c r="AE24" i="2"/>
  <c r="U24" i="2"/>
  <c r="AD24" i="2" l="1"/>
  <c r="L24" i="2" s="1"/>
  <c r="AF25" i="2"/>
  <c r="C25" i="2"/>
  <c r="J24" i="2"/>
  <c r="W24" i="2"/>
  <c r="X24" i="2" s="1"/>
  <c r="D25" i="2" l="1"/>
  <c r="E25" i="2" s="1"/>
  <c r="T25" i="2" s="1"/>
  <c r="K24" i="2"/>
  <c r="I24" i="2"/>
  <c r="N24" i="2" l="1"/>
  <c r="M24" i="2" s="1"/>
  <c r="P24" i="2" s="1"/>
  <c r="V25" i="2"/>
  <c r="AG24" i="2" l="1"/>
  <c r="O24" i="2"/>
  <c r="R24" i="2" s="1"/>
  <c r="Q24" i="2" l="1"/>
  <c r="S24" i="2" s="1"/>
  <c r="Z24" i="2" s="1"/>
  <c r="Y24" i="2" l="1"/>
  <c r="AA24" i="2" s="1"/>
  <c r="AB25" i="2" s="1"/>
  <c r="B26" i="2" l="1"/>
  <c r="G25" i="2"/>
  <c r="H25" i="2" s="1"/>
  <c r="F25" i="2"/>
  <c r="AC25" i="2"/>
  <c r="AE25" i="2"/>
  <c r="U25" i="2"/>
  <c r="AF26" i="2" l="1"/>
  <c r="C26" i="2"/>
  <c r="J25" i="2"/>
  <c r="W25" i="2"/>
  <c r="X25" i="2" s="1"/>
  <c r="AD25" i="2"/>
  <c r="L25" i="2" s="1"/>
  <c r="I25" i="2" l="1"/>
  <c r="D26" i="2"/>
  <c r="E26" i="2" s="1"/>
  <c r="T26" i="2" s="1"/>
  <c r="K25" i="2"/>
  <c r="N25" i="2" l="1"/>
  <c r="M25" i="2" s="1"/>
  <c r="P25" i="2" s="1"/>
  <c r="V26" i="2"/>
  <c r="AG25" i="2" l="1"/>
  <c r="O25" i="2"/>
  <c r="Q25" i="2" s="1"/>
  <c r="R25" i="2" l="1"/>
  <c r="S25" i="2" s="1"/>
  <c r="Z25" i="2" s="1"/>
  <c r="Y25" i="2" l="1"/>
  <c r="AA25" i="2" s="1"/>
  <c r="AB26" i="2" s="1"/>
  <c r="B27" i="2" l="1"/>
  <c r="G26" i="2"/>
  <c r="H26" i="2" s="1"/>
  <c r="F26" i="2"/>
  <c r="AC26" i="2"/>
  <c r="AE26" i="2"/>
  <c r="U26" i="2"/>
  <c r="AD26" i="2" l="1"/>
  <c r="L26" i="2" s="1"/>
  <c r="AF27" i="2"/>
  <c r="C27" i="2"/>
  <c r="J26" i="2"/>
  <c r="W26" i="2"/>
  <c r="X26" i="2" s="1"/>
  <c r="K26" i="2" l="1"/>
  <c r="I26" i="2"/>
  <c r="D27" i="2"/>
  <c r="E27" i="2" s="1"/>
  <c r="T27" i="2" s="1"/>
  <c r="V27" i="2" l="1"/>
  <c r="N26" i="2"/>
  <c r="M26" i="2" s="1"/>
  <c r="P26" i="2" s="1"/>
  <c r="AG26" i="2" l="1"/>
  <c r="O26" i="2"/>
  <c r="R26" i="2" l="1"/>
  <c r="Q26" i="2"/>
  <c r="S26" i="2" l="1"/>
  <c r="Z26" i="2" s="1"/>
  <c r="Y26" i="2" l="1"/>
  <c r="AA26" i="2" s="1"/>
  <c r="AB27" i="2" s="1"/>
  <c r="B28" i="2" l="1"/>
  <c r="G27" i="2"/>
  <c r="H27" i="2" s="1"/>
  <c r="F27" i="2"/>
  <c r="AC27" i="2"/>
  <c r="AE27" i="2"/>
  <c r="U27" i="2"/>
  <c r="J27" i="2" l="1"/>
  <c r="W27" i="2"/>
  <c r="X27" i="2" s="1"/>
  <c r="AF28" i="2"/>
  <c r="C28" i="2"/>
  <c r="AD27" i="2"/>
  <c r="L27" i="2" s="1"/>
  <c r="D28" i="2" l="1"/>
  <c r="E28" i="2" s="1"/>
  <c r="T28" i="2" s="1"/>
  <c r="K27" i="2"/>
  <c r="I27" i="2"/>
  <c r="N27" i="2" l="1"/>
  <c r="M27" i="2" s="1"/>
  <c r="P27" i="2" s="1"/>
  <c r="V28" i="2"/>
  <c r="AG27" i="2" l="1"/>
  <c r="O27" i="2"/>
  <c r="R27" i="2" s="1"/>
  <c r="Q27" i="2" l="1"/>
  <c r="S27" i="2" s="1"/>
  <c r="Y27" i="2" s="1"/>
  <c r="AA27" i="2" s="1"/>
  <c r="Z27" i="2" l="1"/>
  <c r="AB28" i="2"/>
  <c r="B29" i="2" l="1"/>
  <c r="G28" i="2"/>
  <c r="H28" i="2" s="1"/>
  <c r="F28" i="2"/>
  <c r="AC28" i="2"/>
  <c r="AE28" i="2"/>
  <c r="U28" i="2"/>
  <c r="AD28" i="2" l="1"/>
  <c r="L28" i="2" s="1"/>
  <c r="AF29" i="2"/>
  <c r="C29" i="2"/>
  <c r="J28" i="2"/>
  <c r="W28" i="2"/>
  <c r="X28" i="2" s="1"/>
  <c r="K28" i="2" l="1"/>
  <c r="I28" i="2"/>
  <c r="D29" i="2"/>
  <c r="E29" i="2" s="1"/>
  <c r="T29" i="2" s="1"/>
  <c r="V29" i="2" l="1"/>
  <c r="N28" i="2"/>
  <c r="M28" i="2" s="1"/>
  <c r="P28" i="2" s="1"/>
  <c r="AG28" i="2" l="1"/>
  <c r="O28" i="2"/>
  <c r="R28" i="2" l="1"/>
  <c r="Q28" i="2"/>
  <c r="S28" i="2" l="1"/>
  <c r="Z28" i="2" s="1"/>
  <c r="Y28" i="2" l="1"/>
  <c r="AA28" i="2" s="1"/>
  <c r="AB29" i="2" s="1"/>
  <c r="B30" i="2" l="1"/>
  <c r="G29" i="2"/>
  <c r="H29" i="2" s="1"/>
  <c r="F29" i="2"/>
  <c r="AC29" i="2"/>
  <c r="AE29" i="2"/>
  <c r="U29" i="2"/>
  <c r="J29" i="2" l="1"/>
  <c r="W29" i="2"/>
  <c r="X29" i="2" s="1"/>
  <c r="AF30" i="2"/>
  <c r="C30" i="2"/>
  <c r="AD29" i="2"/>
  <c r="L29" i="2" s="1"/>
  <c r="D30" i="2" l="1"/>
  <c r="E30" i="2" s="1"/>
  <c r="T30" i="2" s="1"/>
  <c r="K29" i="2"/>
  <c r="I29" i="2"/>
  <c r="N29" i="2" l="1"/>
  <c r="M29" i="2" s="1"/>
  <c r="P29" i="2" s="1"/>
  <c r="V30" i="2"/>
  <c r="AG29" i="2" l="1"/>
  <c r="O29" i="2"/>
  <c r="Q29" i="2" s="1"/>
  <c r="R29" i="2" l="1"/>
  <c r="S29" i="2" s="1"/>
  <c r="Y29" i="2" s="1"/>
  <c r="AA29" i="2" s="1"/>
  <c r="Z29" i="2" l="1"/>
  <c r="AB30" i="2"/>
  <c r="B31" i="2" l="1"/>
  <c r="G30" i="2"/>
  <c r="H30" i="2" s="1"/>
  <c r="F30" i="2"/>
  <c r="AC30" i="2"/>
  <c r="AE30" i="2"/>
  <c r="U30" i="2"/>
  <c r="AF31" i="2" l="1"/>
  <c r="C31" i="2"/>
  <c r="J30" i="2"/>
  <c r="W30" i="2"/>
  <c r="X30" i="2" s="1"/>
  <c r="AD30" i="2"/>
  <c r="L30" i="2" s="1"/>
  <c r="I30" i="2" l="1"/>
  <c r="D31" i="2"/>
  <c r="E31" i="2" s="1"/>
  <c r="T31" i="2" s="1"/>
  <c r="K30" i="2"/>
  <c r="N30" i="2" l="1"/>
  <c r="M30" i="2" s="1"/>
  <c r="P30" i="2" s="1"/>
  <c r="V31" i="2"/>
  <c r="AG30" i="2" l="1"/>
  <c r="O30" i="2"/>
  <c r="Q30" i="2" s="1"/>
  <c r="R30" i="2" l="1"/>
  <c r="S30" i="2" s="1"/>
  <c r="Z30" i="2" s="1"/>
  <c r="Y30" i="2" l="1"/>
  <c r="AA30" i="2" s="1"/>
  <c r="AB31" i="2" s="1"/>
  <c r="B32" i="2" l="1"/>
  <c r="G31" i="2"/>
  <c r="H31" i="2" s="1"/>
  <c r="F31" i="2"/>
  <c r="AC31" i="2"/>
  <c r="AE31" i="2"/>
  <c r="U31" i="2"/>
  <c r="J31" i="2" l="1"/>
  <c r="W31" i="2"/>
  <c r="X31" i="2" s="1"/>
  <c r="AF32" i="2"/>
  <c r="C32" i="2"/>
  <c r="AD31" i="2"/>
  <c r="L31" i="2" s="1"/>
  <c r="I31" i="2" l="1"/>
  <c r="D32" i="2"/>
  <c r="E32" i="2" s="1"/>
  <c r="T32" i="2" s="1"/>
  <c r="K31" i="2"/>
  <c r="N31" i="2" l="1"/>
  <c r="M31" i="2" s="1"/>
  <c r="P31" i="2" s="1"/>
  <c r="V32" i="2"/>
  <c r="AG31" i="2" l="1"/>
  <c r="O31" i="2"/>
  <c r="Q31" i="2" s="1"/>
  <c r="R31" i="2" l="1"/>
  <c r="S31" i="2" s="1"/>
  <c r="Z31" i="2" s="1"/>
  <c r="Y31" i="2" l="1"/>
  <c r="AA31" i="2" s="1"/>
  <c r="AB32" i="2" s="1"/>
  <c r="B33" i="2" l="1"/>
  <c r="G32" i="2"/>
  <c r="H32" i="2" s="1"/>
  <c r="F32" i="2"/>
  <c r="AC32" i="2"/>
  <c r="AE32" i="2"/>
  <c r="U32" i="2"/>
  <c r="J32" i="2" l="1"/>
  <c r="W32" i="2"/>
  <c r="X32" i="2" s="1"/>
  <c r="AD32" i="2"/>
  <c r="L32" i="2" s="1"/>
  <c r="C33" i="2"/>
  <c r="AF33" i="2"/>
  <c r="K32" i="2" l="1"/>
  <c r="D33" i="2"/>
  <c r="E33" i="2" s="1"/>
  <c r="T33" i="2" s="1"/>
  <c r="I32" i="2"/>
  <c r="N32" i="2" l="1"/>
  <c r="M32" i="2" s="1"/>
  <c r="P32" i="2" s="1"/>
  <c r="V33" i="2"/>
  <c r="AG32" i="2" l="1"/>
  <c r="O32" i="2"/>
  <c r="R32" i="2" s="1"/>
  <c r="Q32" i="2" l="1"/>
  <c r="S32" i="2" s="1"/>
  <c r="Z32" i="2" s="1"/>
  <c r="Y32" i="2" l="1"/>
  <c r="AA32" i="2" s="1"/>
  <c r="AB33" i="2" s="1"/>
  <c r="B34" i="2" l="1"/>
  <c r="G33" i="2"/>
  <c r="H33" i="2" s="1"/>
  <c r="F33" i="2"/>
  <c r="AE33" i="2"/>
  <c r="AC33" i="2"/>
  <c r="U33" i="2"/>
  <c r="J33" i="2" l="1"/>
  <c r="W33" i="2"/>
  <c r="X33" i="2" s="1"/>
  <c r="AF34" i="2"/>
  <c r="C34" i="2"/>
  <c r="AD33" i="2"/>
  <c r="L33" i="2" s="1"/>
  <c r="I33" i="2" l="1"/>
  <c r="D34" i="2"/>
  <c r="E34" i="2" s="1"/>
  <c r="T34" i="2" s="1"/>
  <c r="K33" i="2"/>
  <c r="V34" i="2" l="1"/>
  <c r="N33" i="2"/>
  <c r="M33" i="2" s="1"/>
  <c r="P33" i="2" s="1"/>
  <c r="AG33" i="2" l="1"/>
  <c r="O33" i="2"/>
  <c r="R33" i="2" l="1"/>
  <c r="Q33" i="2"/>
  <c r="S33" i="2" l="1"/>
  <c r="Y33" i="2" s="1"/>
  <c r="AA33" i="2" s="1"/>
  <c r="Z33" i="2" l="1"/>
  <c r="AB34" i="2"/>
  <c r="B35" i="2" l="1"/>
  <c r="G34" i="2"/>
  <c r="H34" i="2" s="1"/>
  <c r="F34" i="2"/>
  <c r="AE34" i="2"/>
  <c r="AC34" i="2"/>
  <c r="U34" i="2"/>
  <c r="AF35" i="2" l="1"/>
  <c r="C35" i="2"/>
  <c r="AD34" i="2"/>
  <c r="L34" i="2" s="1"/>
  <c r="J34" i="2"/>
  <c r="W34" i="2"/>
  <c r="X34" i="2" s="1"/>
  <c r="K34" i="2" l="1"/>
  <c r="I34" i="2"/>
  <c r="D35" i="2"/>
  <c r="E35" i="2" s="1"/>
  <c r="T35" i="2" s="1"/>
  <c r="N34" i="2" l="1"/>
  <c r="M34" i="2" s="1"/>
  <c r="P34" i="2" s="1"/>
  <c r="V35" i="2"/>
  <c r="AG34" i="2" l="1"/>
  <c r="O34" i="2"/>
  <c r="R34" i="2" s="1"/>
  <c r="Q34" i="2" l="1"/>
  <c r="S34" i="2" s="1"/>
  <c r="Z34" i="2" s="1"/>
  <c r="Y34" i="2" l="1"/>
  <c r="AA34" i="2" s="1"/>
  <c r="AB35" i="2" s="1"/>
  <c r="B36" i="2" l="1"/>
  <c r="G35" i="2"/>
  <c r="H35" i="2" s="1"/>
  <c r="F35" i="2"/>
  <c r="AC35" i="2"/>
  <c r="AE35" i="2"/>
  <c r="U35" i="2"/>
  <c r="AD35" i="2" l="1"/>
  <c r="L35" i="2" s="1"/>
  <c r="AF36" i="2"/>
  <c r="C36" i="2"/>
  <c r="J35" i="2"/>
  <c r="W35" i="2"/>
  <c r="X35" i="2" s="1"/>
  <c r="K35" i="2" l="1"/>
  <c r="I35" i="2"/>
  <c r="D36" i="2"/>
  <c r="E36" i="2" s="1"/>
  <c r="T36" i="2" s="1"/>
  <c r="N35" i="2" l="1"/>
  <c r="M35" i="2" s="1"/>
  <c r="P35" i="2" s="1"/>
  <c r="V36" i="2"/>
  <c r="AG35" i="2" l="1"/>
  <c r="O35" i="2"/>
  <c r="Q35" i="2" s="1"/>
  <c r="R35" i="2" l="1"/>
  <c r="S35" i="2" s="1"/>
  <c r="Z35" i="2" s="1"/>
  <c r="Y35" i="2" l="1"/>
  <c r="AA35" i="2" s="1"/>
  <c r="AB36" i="2" s="1"/>
  <c r="B37" i="2" l="1"/>
  <c r="G36" i="2"/>
  <c r="H36" i="2" s="1"/>
  <c r="F36" i="2"/>
  <c r="AC36" i="2"/>
  <c r="AE36" i="2"/>
  <c r="U36" i="2"/>
  <c r="AD36" i="2" l="1"/>
  <c r="L36" i="2" s="1"/>
  <c r="AF37" i="2"/>
  <c r="C37" i="2"/>
  <c r="J36" i="2"/>
  <c r="W36" i="2"/>
  <c r="X36" i="2" s="1"/>
  <c r="K36" i="2" l="1"/>
  <c r="I36" i="2"/>
  <c r="D37" i="2"/>
  <c r="E37" i="2" s="1"/>
  <c r="T37" i="2" s="1"/>
  <c r="N36" i="2" l="1"/>
  <c r="M36" i="2" s="1"/>
  <c r="P36" i="2" s="1"/>
  <c r="V37" i="2"/>
  <c r="AG36" i="2" l="1"/>
  <c r="O36" i="2"/>
  <c r="R36" i="2" s="1"/>
  <c r="Q36" i="2" l="1"/>
  <c r="S36" i="2" s="1"/>
  <c r="Z36" i="2" s="1"/>
  <c r="Y36" i="2" l="1"/>
  <c r="AA36" i="2" s="1"/>
  <c r="AB37" i="2" s="1"/>
  <c r="B38" i="2" l="1"/>
  <c r="G37" i="2"/>
  <c r="H37" i="2" s="1"/>
  <c r="F37" i="2"/>
  <c r="AE37" i="2"/>
  <c r="AC37" i="2"/>
  <c r="U37" i="2"/>
  <c r="AF38" i="2" l="1"/>
  <c r="C38" i="2"/>
  <c r="J37" i="2"/>
  <c r="W37" i="2"/>
  <c r="X37" i="2" s="1"/>
  <c r="AD37" i="2"/>
  <c r="L37" i="2" s="1"/>
  <c r="D38" i="2" l="1"/>
  <c r="E38" i="2" s="1"/>
  <c r="T38" i="2" s="1"/>
  <c r="K37" i="2"/>
  <c r="I37" i="2"/>
  <c r="N37" i="2" l="1"/>
  <c r="M37" i="2" s="1"/>
  <c r="P37" i="2" s="1"/>
  <c r="V38" i="2"/>
  <c r="AG37" i="2" l="1"/>
  <c r="O37" i="2"/>
  <c r="R37" i="2" s="1"/>
  <c r="Q37" i="2" l="1"/>
  <c r="S37" i="2" s="1"/>
  <c r="Z37" i="2" s="1"/>
  <c r="Y37" i="2" l="1"/>
  <c r="AA37" i="2" s="1"/>
  <c r="AB38" i="2" s="1"/>
  <c r="B39" i="2" l="1"/>
  <c r="G38" i="2"/>
  <c r="H38" i="2" s="1"/>
  <c r="F38" i="2"/>
  <c r="AE38" i="2"/>
  <c r="AC38" i="2"/>
  <c r="U38" i="2"/>
  <c r="J38" i="2" l="1"/>
  <c r="W38" i="2"/>
  <c r="X38" i="2" s="1"/>
  <c r="AF39" i="2"/>
  <c r="C39" i="2"/>
  <c r="AD38" i="2"/>
  <c r="L38" i="2" s="1"/>
  <c r="I38" i="2" l="1"/>
  <c r="D39" i="2"/>
  <c r="E39" i="2" s="1"/>
  <c r="T39" i="2" s="1"/>
  <c r="K38" i="2"/>
  <c r="V39" i="2" l="1"/>
  <c r="N38" i="2"/>
  <c r="M38" i="2" s="1"/>
  <c r="P38" i="2" s="1"/>
  <c r="AG38" i="2" l="1"/>
  <c r="O38" i="2"/>
  <c r="R38" i="2" l="1"/>
  <c r="Q38" i="2"/>
  <c r="S38" i="2" l="1"/>
  <c r="Z38" i="2" s="1"/>
  <c r="Y38" i="2" l="1"/>
  <c r="AA38" i="2" s="1"/>
  <c r="AB39" i="2" s="1"/>
  <c r="B40" i="2" l="1"/>
  <c r="G39" i="2"/>
  <c r="H39" i="2" s="1"/>
  <c r="F39" i="2"/>
  <c r="AE39" i="2"/>
  <c r="AC39" i="2"/>
  <c r="U39" i="2"/>
  <c r="AD39" i="2" l="1"/>
  <c r="L39" i="2" s="1"/>
  <c r="J39" i="2"/>
  <c r="W39" i="2"/>
  <c r="X39" i="2" s="1"/>
  <c r="C40" i="2"/>
  <c r="AF40" i="2"/>
  <c r="K39" i="2" l="1"/>
  <c r="I39" i="2"/>
  <c r="D40" i="2"/>
  <c r="E40" i="2" s="1"/>
  <c r="T40" i="2" s="1"/>
  <c r="N39" i="2" l="1"/>
  <c r="M39" i="2" s="1"/>
  <c r="P39" i="2" s="1"/>
  <c r="V40" i="2"/>
  <c r="AG39" i="2" l="1"/>
  <c r="O39" i="2"/>
  <c r="Q39" i="2" s="1"/>
  <c r="R39" i="2" l="1"/>
  <c r="S39" i="2" s="1"/>
  <c r="Z39" i="2" s="1"/>
  <c r="Y39" i="2" l="1"/>
  <c r="AA39" i="2" s="1"/>
  <c r="AB40" i="2" s="1"/>
  <c r="B41" i="2" l="1"/>
  <c r="G40" i="2"/>
  <c r="H40" i="2" s="1"/>
  <c r="F40" i="2"/>
  <c r="AE40" i="2"/>
  <c r="AC40" i="2"/>
  <c r="U40" i="2"/>
  <c r="J40" i="2" l="1"/>
  <c r="W40" i="2"/>
  <c r="X40" i="2" s="1"/>
  <c r="AF41" i="2"/>
  <c r="C41" i="2"/>
  <c r="AD40" i="2"/>
  <c r="L40" i="2" s="1"/>
  <c r="I40" i="2" l="1"/>
  <c r="D41" i="2"/>
  <c r="E41" i="2" s="1"/>
  <c r="T41" i="2" s="1"/>
  <c r="K40" i="2"/>
  <c r="N40" i="2" l="1"/>
  <c r="M40" i="2" s="1"/>
  <c r="P40" i="2" s="1"/>
  <c r="V41" i="2"/>
  <c r="AG40" i="2" l="1"/>
  <c r="O40" i="2"/>
  <c r="Q40" i="2" s="1"/>
  <c r="R40" i="2" l="1"/>
  <c r="S40" i="2" s="1"/>
  <c r="Y40" i="2" s="1"/>
  <c r="AA40" i="2" s="1"/>
  <c r="Z40" i="2" l="1"/>
  <c r="AB41" i="2"/>
  <c r="B42" i="2" l="1"/>
  <c r="G41" i="2"/>
  <c r="H41" i="2" s="1"/>
  <c r="F41" i="2"/>
  <c r="AE41" i="2"/>
  <c r="AC41" i="2"/>
  <c r="U41" i="2"/>
  <c r="AF42" i="2" l="1"/>
  <c r="C42" i="2"/>
  <c r="J41" i="2"/>
  <c r="W41" i="2"/>
  <c r="X41" i="2" s="1"/>
  <c r="AD41" i="2"/>
  <c r="L41" i="2" s="1"/>
  <c r="I41" i="2" l="1"/>
  <c r="D42" i="2"/>
  <c r="E42" i="2" s="1"/>
  <c r="T42" i="2" s="1"/>
  <c r="K41" i="2"/>
  <c r="N41" i="2" l="1"/>
  <c r="M41" i="2" s="1"/>
  <c r="P41" i="2" s="1"/>
  <c r="V42" i="2"/>
  <c r="AG41" i="2" l="1"/>
  <c r="O41" i="2"/>
  <c r="R41" i="2" s="1"/>
  <c r="Q41" i="2" l="1"/>
  <c r="S41" i="2" s="1"/>
  <c r="Z41" i="2" s="1"/>
  <c r="Y41" i="2" l="1"/>
  <c r="AA41" i="2" s="1"/>
  <c r="AB42" i="2" s="1"/>
  <c r="B43" i="2" l="1"/>
  <c r="G42" i="2"/>
  <c r="H42" i="2" s="1"/>
  <c r="F42" i="2"/>
  <c r="AC42" i="2"/>
  <c r="AE42" i="2"/>
  <c r="U42" i="2"/>
  <c r="AF43" i="2" l="1"/>
  <c r="C43" i="2"/>
  <c r="J42" i="2"/>
  <c r="W42" i="2"/>
  <c r="X42" i="2" s="1"/>
  <c r="AD42" i="2"/>
  <c r="L42" i="2" s="1"/>
  <c r="I42" i="2" l="1"/>
  <c r="D43" i="2"/>
  <c r="E43" i="2" s="1"/>
  <c r="T43" i="2" s="1"/>
  <c r="K42" i="2"/>
  <c r="N42" i="2" l="1"/>
  <c r="M42" i="2" s="1"/>
  <c r="P42" i="2" s="1"/>
  <c r="V43" i="2"/>
  <c r="AG42" i="2" l="1"/>
  <c r="O42" i="2"/>
  <c r="R42" i="2" l="1"/>
  <c r="Q42" i="2"/>
  <c r="S42" i="2" l="1"/>
  <c r="Z42" i="2" s="1"/>
  <c r="Y42" i="2" l="1"/>
  <c r="AA42" i="2" s="1"/>
  <c r="AB43" i="2" s="1"/>
  <c r="B44" i="2" l="1"/>
  <c r="G43" i="2"/>
  <c r="H43" i="2" s="1"/>
  <c r="F43" i="2"/>
  <c r="AC43" i="2"/>
  <c r="AE43" i="2"/>
  <c r="U43" i="2"/>
  <c r="AD43" i="2" l="1"/>
  <c r="L43" i="2" s="1"/>
  <c r="C44" i="2"/>
  <c r="AF44" i="2"/>
  <c r="J43" i="2"/>
  <c r="W43" i="2"/>
  <c r="X43" i="2" s="1"/>
  <c r="K43" i="2" l="1"/>
  <c r="D44" i="2"/>
  <c r="E44" i="2" s="1"/>
  <c r="T44" i="2" s="1"/>
  <c r="I43" i="2"/>
  <c r="V44" i="2" l="1"/>
  <c r="N43" i="2"/>
  <c r="M43" i="2" s="1"/>
  <c r="P43" i="2" s="1"/>
  <c r="AG43" i="2" l="1"/>
  <c r="O43" i="2"/>
  <c r="R43" i="2" l="1"/>
  <c r="Q43" i="2"/>
  <c r="S43" i="2" l="1"/>
  <c r="Z43" i="2" s="1"/>
  <c r="Y43" i="2" l="1"/>
  <c r="AA43" i="2" s="1"/>
  <c r="AB44" i="2" s="1"/>
  <c r="B45" i="2" l="1"/>
  <c r="G44" i="2"/>
  <c r="H44" i="2" s="1"/>
  <c r="F44" i="2"/>
  <c r="AC44" i="2"/>
  <c r="AE44" i="2"/>
  <c r="U44" i="2"/>
  <c r="AD44" i="2" l="1"/>
  <c r="L44" i="2" s="1"/>
  <c r="J44" i="2"/>
  <c r="W44" i="2"/>
  <c r="X44" i="2" s="1"/>
  <c r="AF45" i="2"/>
  <c r="C45" i="2"/>
  <c r="I44" i="2" l="1"/>
  <c r="K44" i="2"/>
  <c r="D45" i="2"/>
  <c r="E45" i="2" s="1"/>
  <c r="T45" i="2" s="1"/>
  <c r="N44" i="2" l="1"/>
  <c r="M44" i="2" s="1"/>
  <c r="P44" i="2" s="1"/>
  <c r="V45" i="2"/>
  <c r="AG44" i="2" l="1"/>
  <c r="O44" i="2"/>
  <c r="R44" i="2" s="1"/>
  <c r="Q44" i="2" l="1"/>
  <c r="S44" i="2" s="1"/>
  <c r="Y44" i="2" s="1"/>
  <c r="AA44" i="2" s="1"/>
  <c r="Z44" i="2" l="1"/>
  <c r="AB45" i="2"/>
  <c r="B46" i="2" l="1"/>
  <c r="G45" i="2"/>
  <c r="H45" i="2" s="1"/>
  <c r="F45" i="2"/>
  <c r="AE45" i="2"/>
  <c r="AC45" i="2"/>
  <c r="U45" i="2"/>
  <c r="J45" i="2" l="1"/>
  <c r="W45" i="2"/>
  <c r="X45" i="2" s="1"/>
  <c r="AF46" i="2"/>
  <c r="C46" i="2"/>
  <c r="AD45" i="2"/>
  <c r="L45" i="2" s="1"/>
  <c r="D46" i="2" l="1"/>
  <c r="E46" i="2" s="1"/>
  <c r="T46" i="2" s="1"/>
  <c r="K45" i="2"/>
  <c r="I45" i="2"/>
  <c r="N45" i="2" l="1"/>
  <c r="M45" i="2" s="1"/>
  <c r="P45" i="2" s="1"/>
  <c r="V46" i="2"/>
  <c r="AG45" i="2" l="1"/>
  <c r="O45" i="2"/>
  <c r="Q45" i="2" s="1"/>
  <c r="R45" i="2" l="1"/>
  <c r="S45" i="2" s="1"/>
  <c r="Y45" i="2" l="1"/>
  <c r="AA45" i="2" s="1"/>
  <c r="AB46" i="2" s="1"/>
  <c r="Z45" i="2"/>
  <c r="B47" i="2" l="1"/>
  <c r="G46" i="2"/>
  <c r="H46" i="2" s="1"/>
  <c r="F46" i="2"/>
  <c r="AE46" i="2"/>
  <c r="AC46" i="2"/>
  <c r="U46" i="2"/>
  <c r="J46" i="2" l="1"/>
  <c r="W46" i="2"/>
  <c r="X46" i="2" s="1"/>
  <c r="C47" i="2"/>
  <c r="AF47" i="2"/>
  <c r="AD46" i="2"/>
  <c r="L46" i="2" s="1"/>
  <c r="D47" i="2" l="1"/>
  <c r="E47" i="2" s="1"/>
  <c r="T47" i="2" s="1"/>
  <c r="K46" i="2"/>
  <c r="I46" i="2"/>
  <c r="N46" i="2" l="1"/>
  <c r="M46" i="2" s="1"/>
  <c r="P46" i="2" s="1"/>
  <c r="V47" i="2"/>
  <c r="AG46" i="2" l="1"/>
  <c r="O46" i="2"/>
  <c r="R46" i="2" s="1"/>
  <c r="Q46" i="2" l="1"/>
  <c r="S46" i="2" s="1"/>
  <c r="Y46" i="2" s="1"/>
  <c r="AA46" i="2" s="1"/>
  <c r="Z46" i="2" l="1"/>
  <c r="AB47" i="2"/>
  <c r="B48" i="2" l="1"/>
  <c r="G47" i="2"/>
  <c r="H47" i="2" s="1"/>
  <c r="F47" i="2"/>
  <c r="AE47" i="2"/>
  <c r="AC47" i="2"/>
  <c r="U47" i="2"/>
  <c r="J47" i="2" l="1"/>
  <c r="W47" i="2"/>
  <c r="X47" i="2" s="1"/>
  <c r="AF48" i="2"/>
  <c r="C48" i="2"/>
  <c r="AD47" i="2"/>
  <c r="L47" i="2" s="1"/>
  <c r="K47" i="2" l="1"/>
  <c r="D48" i="2"/>
  <c r="E48" i="2" s="1"/>
  <c r="T48" i="2" s="1"/>
  <c r="I47" i="2"/>
  <c r="N47" i="2" l="1"/>
  <c r="M47" i="2" s="1"/>
  <c r="P47" i="2" s="1"/>
  <c r="V48" i="2"/>
  <c r="AG47" i="2" l="1"/>
  <c r="O47" i="2"/>
  <c r="R47" i="2" s="1"/>
  <c r="Q47" i="2" l="1"/>
  <c r="S47" i="2" s="1"/>
  <c r="Y47" i="2" l="1"/>
  <c r="AA47" i="2" s="1"/>
  <c r="Z47" i="2"/>
  <c r="AB48" i="2" l="1"/>
  <c r="B49" i="2" l="1"/>
  <c r="G48" i="2"/>
  <c r="H48" i="2" s="1"/>
  <c r="F48" i="2"/>
  <c r="AE48" i="2"/>
  <c r="AC48" i="2"/>
  <c r="U48" i="2"/>
  <c r="AF49" i="2" l="1"/>
  <c r="C49" i="2"/>
  <c r="J48" i="2"/>
  <c r="W48" i="2"/>
  <c r="X48" i="2" s="1"/>
  <c r="AD48" i="2"/>
  <c r="L48" i="2" s="1"/>
  <c r="K48" i="2" l="1"/>
  <c r="D49" i="2"/>
  <c r="E49" i="2" s="1"/>
  <c r="T49" i="2" s="1"/>
  <c r="I48" i="2"/>
  <c r="N48" i="2" l="1"/>
  <c r="M48" i="2" s="1"/>
  <c r="P48" i="2" s="1"/>
  <c r="V49" i="2"/>
  <c r="AG48" i="2" l="1"/>
  <c r="O48" i="2"/>
  <c r="R48" i="2" s="1"/>
  <c r="Q48" i="2" l="1"/>
  <c r="S48" i="2" s="1"/>
  <c r="Z48" i="2" s="1"/>
  <c r="Y48" i="2" l="1"/>
  <c r="AA48" i="2" s="1"/>
  <c r="AB49" i="2" s="1"/>
  <c r="B50" i="2" l="1"/>
  <c r="G49" i="2"/>
  <c r="H49" i="2" s="1"/>
  <c r="F49" i="2"/>
  <c r="AC49" i="2"/>
  <c r="AE49" i="2"/>
  <c r="U49" i="2"/>
  <c r="AF50" i="2" l="1"/>
  <c r="C50" i="2"/>
  <c r="J49" i="2"/>
  <c r="W49" i="2"/>
  <c r="X49" i="2" s="1"/>
  <c r="AD49" i="2"/>
  <c r="L49" i="2" s="1"/>
  <c r="K49" i="2" l="1"/>
  <c r="D50" i="2"/>
  <c r="E50" i="2" s="1"/>
  <c r="T50" i="2" s="1"/>
  <c r="I49" i="2"/>
  <c r="N49" i="2" l="1"/>
  <c r="M49" i="2" s="1"/>
  <c r="P49" i="2" s="1"/>
  <c r="V50" i="2"/>
  <c r="AG49" i="2" l="1"/>
  <c r="O49" i="2"/>
  <c r="Q49" i="2" s="1"/>
  <c r="R49" i="2" l="1"/>
  <c r="S49" i="2" s="1"/>
  <c r="Z49" i="2" s="1"/>
  <c r="Y49" i="2" l="1"/>
  <c r="AA49" i="2" s="1"/>
  <c r="AB50" i="2" s="1"/>
  <c r="B51" i="2" l="1"/>
  <c r="G50" i="2"/>
  <c r="H50" i="2" s="1"/>
  <c r="F50" i="2"/>
  <c r="AC50" i="2"/>
  <c r="AE50" i="2"/>
  <c r="U50" i="2"/>
  <c r="AF51" i="2" l="1"/>
  <c r="C51" i="2"/>
  <c r="J50" i="2"/>
  <c r="W50" i="2"/>
  <c r="X50" i="2" s="1"/>
  <c r="AD50" i="2"/>
  <c r="L50" i="2" s="1"/>
  <c r="I50" i="2" l="1"/>
  <c r="D51" i="2"/>
  <c r="E51" i="2" s="1"/>
  <c r="T51" i="2" s="1"/>
  <c r="K50" i="2"/>
  <c r="V51" i="2" l="1"/>
  <c r="N50" i="2"/>
  <c r="M50" i="2" s="1"/>
  <c r="P50" i="2" s="1"/>
  <c r="AG50" i="2" l="1"/>
  <c r="O50" i="2"/>
  <c r="R50" i="2" l="1"/>
  <c r="Q50" i="2"/>
  <c r="S50" i="2" l="1"/>
  <c r="Z50" i="2" s="1"/>
  <c r="Y50" i="2" l="1"/>
  <c r="AA50" i="2" s="1"/>
  <c r="AB51" i="2" s="1"/>
  <c r="B52" i="2" l="1"/>
  <c r="G51" i="2"/>
  <c r="H51" i="2" s="1"/>
  <c r="F51" i="2"/>
  <c r="AC51" i="2"/>
  <c r="AE51" i="2"/>
  <c r="U51" i="2"/>
  <c r="AD51" i="2" l="1"/>
  <c r="L51" i="2" s="1"/>
  <c r="AF52" i="2"/>
  <c r="C52" i="2"/>
  <c r="J51" i="2"/>
  <c r="W51" i="2"/>
  <c r="X51" i="2" s="1"/>
  <c r="K51" i="2" l="1"/>
  <c r="I51" i="2"/>
  <c r="D52" i="2"/>
  <c r="E52" i="2" s="1"/>
  <c r="T52" i="2" s="1"/>
  <c r="N51" i="2" l="1"/>
  <c r="M51" i="2" s="1"/>
  <c r="P51" i="2" s="1"/>
  <c r="V52" i="2"/>
  <c r="AG51" i="2" l="1"/>
  <c r="O51" i="2"/>
  <c r="Q51" i="2" s="1"/>
  <c r="R51" i="2" l="1"/>
  <c r="S51" i="2" s="1"/>
  <c r="Y51" i="2" s="1"/>
  <c r="AA51" i="2" s="1"/>
  <c r="Z51" i="2" l="1"/>
  <c r="AB52" i="2"/>
  <c r="B53" i="2" l="1"/>
  <c r="G52" i="2"/>
  <c r="H52" i="2" s="1"/>
  <c r="F52" i="2"/>
  <c r="AC52" i="2"/>
  <c r="AE52" i="2"/>
  <c r="U52" i="2"/>
  <c r="AD52" i="2" l="1"/>
  <c r="L52" i="2" s="1"/>
  <c r="AF53" i="2"/>
  <c r="C53" i="2"/>
  <c r="J52" i="2"/>
  <c r="W52" i="2"/>
  <c r="X52" i="2" s="1"/>
  <c r="K52" i="2" l="1"/>
  <c r="I52" i="2"/>
  <c r="D53" i="2"/>
  <c r="E53" i="2" s="1"/>
  <c r="T53" i="2" s="1"/>
  <c r="V53" i="2" l="1"/>
  <c r="N52" i="2"/>
  <c r="M52" i="2" s="1"/>
  <c r="P52" i="2" s="1"/>
  <c r="AG52" i="2" l="1"/>
  <c r="O52" i="2"/>
  <c r="R52" i="2" l="1"/>
  <c r="Q52" i="2"/>
  <c r="S52" i="2" l="1"/>
  <c r="Y52" i="2" s="1"/>
  <c r="AA52" i="2" s="1"/>
  <c r="Z52" i="2" l="1"/>
  <c r="AB53" i="2"/>
  <c r="B54" i="2" l="1"/>
  <c r="G53" i="2"/>
  <c r="H53" i="2" s="1"/>
  <c r="F53" i="2"/>
  <c r="AC53" i="2"/>
  <c r="AE53" i="2"/>
  <c r="U53" i="2"/>
  <c r="J53" i="2" l="1"/>
  <c r="W53" i="2"/>
  <c r="X53" i="2" s="1"/>
  <c r="AF54" i="2"/>
  <c r="C54" i="2"/>
  <c r="AD53" i="2"/>
  <c r="L53" i="2" s="1"/>
  <c r="K53" i="2" l="1"/>
  <c r="D54" i="2"/>
  <c r="E54" i="2" s="1"/>
  <c r="T54" i="2" s="1"/>
  <c r="I53" i="2"/>
  <c r="N53" i="2" l="1"/>
  <c r="M53" i="2" s="1"/>
  <c r="P53" i="2" s="1"/>
  <c r="V54" i="2"/>
  <c r="AG53" i="2" l="1"/>
  <c r="O53" i="2"/>
  <c r="Q53" i="2" s="1"/>
  <c r="R53" i="2" l="1"/>
  <c r="S53" i="2" s="1"/>
  <c r="Z53" i="2" s="1"/>
  <c r="Y53" i="2" l="1"/>
  <c r="AA53" i="2" s="1"/>
  <c r="AB54" i="2" s="1"/>
  <c r="B55" i="2" l="1"/>
  <c r="G54" i="2"/>
  <c r="H54" i="2" s="1"/>
  <c r="F54" i="2"/>
  <c r="AC54" i="2"/>
  <c r="AE54" i="2"/>
  <c r="U54" i="2"/>
  <c r="J54" i="2" l="1"/>
  <c r="W54" i="2"/>
  <c r="X54" i="2" s="1"/>
  <c r="AF55" i="2"/>
  <c r="C55" i="2"/>
  <c r="AD54" i="2"/>
  <c r="L54" i="2" s="1"/>
  <c r="I54" i="2" l="1"/>
  <c r="D55" i="2"/>
  <c r="E55" i="2" s="1"/>
  <c r="T55" i="2" s="1"/>
  <c r="K54" i="2"/>
  <c r="V55" i="2" l="1"/>
  <c r="N54" i="2"/>
  <c r="M54" i="2" s="1"/>
  <c r="P54" i="2" s="1"/>
  <c r="AG54" i="2" l="1"/>
  <c r="O54" i="2"/>
  <c r="R54" i="2" l="1"/>
  <c r="Q54" i="2"/>
  <c r="S54" i="2" l="1"/>
  <c r="Y54" i="2" s="1"/>
  <c r="AA54" i="2" s="1"/>
  <c r="Z54" i="2" l="1"/>
  <c r="AB55" i="2"/>
  <c r="B56" i="2" l="1"/>
  <c r="G55" i="2"/>
  <c r="H55" i="2" s="1"/>
  <c r="F55" i="2"/>
  <c r="AC55" i="2"/>
  <c r="AE55" i="2"/>
  <c r="U55" i="2"/>
  <c r="AD55" i="2" l="1"/>
  <c r="L55" i="2" s="1"/>
  <c r="AF56" i="2"/>
  <c r="C56" i="2"/>
  <c r="J55" i="2"/>
  <c r="W55" i="2"/>
  <c r="X55" i="2" s="1"/>
  <c r="D56" i="2" l="1"/>
  <c r="E56" i="2" s="1"/>
  <c r="T56" i="2" s="1"/>
  <c r="K55" i="2"/>
  <c r="I55" i="2"/>
  <c r="N55" i="2" l="1"/>
  <c r="M55" i="2" s="1"/>
  <c r="P55" i="2" s="1"/>
  <c r="V56" i="2"/>
  <c r="AG55" i="2" l="1"/>
  <c r="O55" i="2"/>
  <c r="R55" i="2" s="1"/>
  <c r="Q55" i="2" l="1"/>
  <c r="S55" i="2" s="1"/>
  <c r="Z55" i="2" s="1"/>
  <c r="Y55" i="2" l="1"/>
  <c r="AA55" i="2" s="1"/>
  <c r="AB56" i="2" s="1"/>
  <c r="B57" i="2" l="1"/>
  <c r="G56" i="2"/>
  <c r="H56" i="2" s="1"/>
  <c r="F56" i="2"/>
  <c r="AC56" i="2"/>
  <c r="AE56" i="2"/>
  <c r="U56" i="2"/>
  <c r="J56" i="2" l="1"/>
  <c r="W56" i="2"/>
  <c r="X56" i="2" s="1"/>
  <c r="AF57" i="2"/>
  <c r="C57" i="2"/>
  <c r="AD56" i="2"/>
  <c r="L56" i="2" s="1"/>
  <c r="I56" i="2" l="1"/>
  <c r="D57" i="2"/>
  <c r="E57" i="2" s="1"/>
  <c r="T57" i="2" s="1"/>
  <c r="K56" i="2"/>
  <c r="V57" i="2" l="1"/>
  <c r="N56" i="2"/>
  <c r="M56" i="2" s="1"/>
  <c r="P56" i="2" s="1"/>
  <c r="AG56" i="2" l="1"/>
  <c r="O56" i="2"/>
  <c r="R56" i="2" l="1"/>
  <c r="Q56" i="2"/>
  <c r="S56" i="2" l="1"/>
  <c r="Y56" i="2" s="1"/>
  <c r="AA56" i="2" s="1"/>
  <c r="Z56" i="2" l="1"/>
  <c r="AB57" i="2"/>
  <c r="B58" i="2" l="1"/>
  <c r="G57" i="2"/>
  <c r="H57" i="2" s="1"/>
  <c r="F57" i="2"/>
  <c r="AC57" i="2"/>
  <c r="AE57" i="2"/>
  <c r="U57" i="2"/>
  <c r="J57" i="2" l="1"/>
  <c r="W57" i="2"/>
  <c r="X57" i="2" s="1"/>
  <c r="AD57" i="2"/>
  <c r="L57" i="2" s="1"/>
  <c r="C58" i="2"/>
  <c r="AF58" i="2"/>
  <c r="D58" i="2" l="1"/>
  <c r="E58" i="2" s="1"/>
  <c r="T58" i="2" s="1"/>
  <c r="K57" i="2"/>
  <c r="I57" i="2"/>
  <c r="N57" i="2" l="1"/>
  <c r="M57" i="2" s="1"/>
  <c r="P57" i="2" s="1"/>
  <c r="V58" i="2"/>
  <c r="AG57" i="2" l="1"/>
  <c r="O57" i="2"/>
  <c r="R57" i="2" s="1"/>
  <c r="Q57" i="2" l="1"/>
  <c r="S57" i="2" s="1"/>
  <c r="Y57" i="2" s="1"/>
  <c r="AA57" i="2" s="1"/>
  <c r="Z57" i="2" l="1"/>
  <c r="AB58" i="2"/>
  <c r="B59" i="2" l="1"/>
  <c r="G58" i="2"/>
  <c r="H58" i="2" s="1"/>
  <c r="F58" i="2"/>
  <c r="AE58" i="2"/>
  <c r="AC58" i="2"/>
  <c r="U58" i="2"/>
  <c r="J58" i="2" l="1"/>
  <c r="W58" i="2"/>
  <c r="X58" i="2" s="1"/>
  <c r="C59" i="2"/>
  <c r="AF59" i="2"/>
  <c r="AD58" i="2"/>
  <c r="L58" i="2" s="1"/>
  <c r="I58" i="2" l="1"/>
  <c r="D59" i="2"/>
  <c r="E59" i="2" s="1"/>
  <c r="T59" i="2" s="1"/>
  <c r="K58" i="2"/>
  <c r="V59" i="2" l="1"/>
  <c r="N58" i="2"/>
  <c r="M58" i="2" s="1"/>
  <c r="P58" i="2" s="1"/>
  <c r="AG58" i="2" l="1"/>
  <c r="O58" i="2"/>
  <c r="R58" i="2" l="1"/>
  <c r="Q58" i="2"/>
  <c r="S58" i="2" l="1"/>
  <c r="Z58" i="2" s="1"/>
  <c r="Y58" i="2" l="1"/>
  <c r="AA58" i="2" s="1"/>
  <c r="AB59" i="2" s="1"/>
  <c r="B60" i="2" l="1"/>
  <c r="G59" i="2"/>
  <c r="H59" i="2" s="1"/>
  <c r="F59" i="2"/>
  <c r="AE59" i="2"/>
  <c r="AC59" i="2"/>
  <c r="U59" i="2"/>
  <c r="J59" i="2" l="1"/>
  <c r="W59" i="2"/>
  <c r="X59" i="2" s="1"/>
  <c r="AF60" i="2"/>
  <c r="C60" i="2"/>
  <c r="AD59" i="2"/>
  <c r="L59" i="2" s="1"/>
  <c r="K59" i="2" l="1"/>
  <c r="D60" i="2"/>
  <c r="E60" i="2" s="1"/>
  <c r="T60" i="2" s="1"/>
  <c r="I59" i="2"/>
  <c r="N59" i="2" l="1"/>
  <c r="M59" i="2" s="1"/>
  <c r="P59" i="2" s="1"/>
  <c r="V60" i="2"/>
  <c r="AG59" i="2" l="1"/>
  <c r="O59" i="2"/>
  <c r="Q59" i="2" s="1"/>
  <c r="R59" i="2" l="1"/>
  <c r="S59" i="2" s="1"/>
  <c r="Y59" i="2" l="1"/>
  <c r="AA59" i="2" s="1"/>
  <c r="AB60" i="2" s="1"/>
  <c r="Z59" i="2"/>
  <c r="B61" i="2" l="1"/>
  <c r="G60" i="2"/>
  <c r="H60" i="2" s="1"/>
  <c r="F60" i="2"/>
  <c r="AE60" i="2"/>
  <c r="AC60" i="2"/>
  <c r="U60" i="2"/>
  <c r="AD60" i="2" l="1"/>
  <c r="L60" i="2" s="1"/>
  <c r="AF61" i="2"/>
  <c r="C61" i="2"/>
  <c r="J60" i="2"/>
  <c r="W60" i="2"/>
  <c r="X60" i="2" s="1"/>
  <c r="K60" i="2" l="1"/>
  <c r="D61" i="2"/>
  <c r="E61" i="2" s="1"/>
  <c r="T61" i="2" s="1"/>
  <c r="I60" i="2"/>
  <c r="N60" i="2" l="1"/>
  <c r="M60" i="2" s="1"/>
  <c r="P60" i="2" s="1"/>
  <c r="V61" i="2"/>
  <c r="AG60" i="2" l="1"/>
  <c r="O60" i="2"/>
  <c r="Q60" i="2" s="1"/>
  <c r="R60" i="2" l="1"/>
  <c r="S60" i="2" s="1"/>
  <c r="Y60" i="2" s="1"/>
  <c r="AA60" i="2" s="1"/>
  <c r="Z60" i="2" l="1"/>
  <c r="AB61" i="2"/>
  <c r="B62" i="2" l="1"/>
  <c r="G61" i="2"/>
  <c r="H61" i="2" s="1"/>
  <c r="F61" i="2"/>
  <c r="AC61" i="2"/>
  <c r="AE61" i="2"/>
  <c r="U61" i="2"/>
  <c r="AF62" i="2" l="1"/>
  <c r="C62" i="2"/>
  <c r="AD61" i="2"/>
  <c r="L61" i="2" s="1"/>
  <c r="J61" i="2"/>
  <c r="W61" i="2"/>
  <c r="X61" i="2" s="1"/>
  <c r="K61" i="2" l="1"/>
  <c r="I61" i="2"/>
  <c r="D62" i="2"/>
  <c r="E62" i="2" s="1"/>
  <c r="T62" i="2" s="1"/>
  <c r="N61" i="2" l="1"/>
  <c r="M61" i="2" s="1"/>
  <c r="P61" i="2" s="1"/>
  <c r="V62" i="2"/>
  <c r="AG61" i="2" l="1"/>
  <c r="O61" i="2"/>
  <c r="R61" i="2" s="1"/>
  <c r="Q61" i="2" l="1"/>
  <c r="S61" i="2" s="1"/>
  <c r="Z61" i="2" s="1"/>
  <c r="Y61" i="2" l="1"/>
  <c r="AA61" i="2" s="1"/>
  <c r="AB62" i="2" s="1"/>
  <c r="B63" i="2" l="1"/>
  <c r="G62" i="2"/>
  <c r="H62" i="2" s="1"/>
  <c r="F62" i="2"/>
  <c r="AE62" i="2"/>
  <c r="AC62" i="2"/>
  <c r="U62" i="2"/>
  <c r="J62" i="2" l="1"/>
  <c r="W62" i="2"/>
  <c r="X62" i="2" s="1"/>
  <c r="AF63" i="2"/>
  <c r="C63" i="2"/>
  <c r="AD62" i="2"/>
  <c r="L62" i="2" s="1"/>
  <c r="D63" i="2" l="1"/>
  <c r="E63" i="2" s="1"/>
  <c r="T63" i="2" s="1"/>
  <c r="K62" i="2"/>
  <c r="I62" i="2"/>
  <c r="N62" i="2" l="1"/>
  <c r="M62" i="2" s="1"/>
  <c r="P62" i="2" s="1"/>
  <c r="V63" i="2"/>
  <c r="AG62" i="2" l="1"/>
  <c r="O62" i="2"/>
  <c r="Q62" i="2" s="1"/>
  <c r="R62" i="2" l="1"/>
  <c r="S62" i="2" s="1"/>
  <c r="Z62" i="2" s="1"/>
  <c r="Y62" i="2" l="1"/>
  <c r="AA62" i="2" s="1"/>
  <c r="AB63" i="2" s="1"/>
  <c r="B64" i="2" l="1"/>
  <c r="G63" i="2"/>
  <c r="H63" i="2" s="1"/>
  <c r="F63" i="2"/>
  <c r="AE63" i="2"/>
  <c r="AC63" i="2"/>
  <c r="U63" i="2"/>
  <c r="J63" i="2" l="1"/>
  <c r="W63" i="2"/>
  <c r="X63" i="2" s="1"/>
  <c r="AD63" i="2"/>
  <c r="L63" i="2" s="1"/>
  <c r="AF64" i="2"/>
  <c r="C64" i="2"/>
  <c r="K63" i="2" l="1"/>
  <c r="D64" i="2"/>
  <c r="E64" i="2" s="1"/>
  <c r="T64" i="2" s="1"/>
  <c r="I63" i="2"/>
  <c r="N63" i="2" l="1"/>
  <c r="M63" i="2" s="1"/>
  <c r="P63" i="2" s="1"/>
  <c r="V64" i="2"/>
  <c r="AG63" i="2" l="1"/>
  <c r="O63" i="2"/>
  <c r="Q63" i="2" s="1"/>
  <c r="R63" i="2" l="1"/>
  <c r="S63" i="2" s="1"/>
  <c r="Y63" i="2" l="1"/>
  <c r="AA63" i="2" s="1"/>
  <c r="AB64" i="2" s="1"/>
  <c r="Z63" i="2"/>
  <c r="B65" i="2" l="1"/>
  <c r="G64" i="2"/>
  <c r="H64" i="2" s="1"/>
  <c r="F64" i="2"/>
  <c r="AE64" i="2"/>
  <c r="AC64" i="2"/>
  <c r="U64" i="2"/>
  <c r="J64" i="2" l="1"/>
  <c r="W64" i="2"/>
  <c r="X64" i="2" s="1"/>
  <c r="AD64" i="2"/>
  <c r="L64" i="2" s="1"/>
  <c r="AF65" i="2"/>
  <c r="C65" i="2"/>
  <c r="K64" i="2" l="1"/>
  <c r="D65" i="2"/>
  <c r="E65" i="2" s="1"/>
  <c r="T65" i="2" s="1"/>
  <c r="I64" i="2"/>
  <c r="N64" i="2" l="1"/>
  <c r="M64" i="2" s="1"/>
  <c r="P64" i="2" s="1"/>
  <c r="V65" i="2"/>
  <c r="AG64" i="2" l="1"/>
  <c r="O64" i="2"/>
  <c r="Q64" i="2" s="1"/>
  <c r="R64" i="2" l="1"/>
  <c r="S64" i="2" s="1"/>
  <c r="Y64" i="2" s="1"/>
  <c r="AA64" i="2" s="1"/>
  <c r="Z64" i="2" l="1"/>
  <c r="AB65" i="2"/>
  <c r="B66" i="2" l="1"/>
  <c r="G65" i="2"/>
  <c r="H65" i="2" s="1"/>
  <c r="F65" i="2"/>
  <c r="AE65" i="2"/>
  <c r="AC65" i="2"/>
  <c r="U65" i="2"/>
  <c r="C66" i="2" l="1"/>
  <c r="AF66" i="2"/>
  <c r="J65" i="2"/>
  <c r="W65" i="2"/>
  <c r="X65" i="2" s="1"/>
  <c r="AD65" i="2"/>
  <c r="L65" i="2" s="1"/>
  <c r="K65" i="2" l="1"/>
  <c r="D66" i="2"/>
  <c r="E66" i="2" s="1"/>
  <c r="T66" i="2" s="1"/>
  <c r="I65" i="2"/>
  <c r="N65" i="2" l="1"/>
  <c r="M65" i="2" s="1"/>
  <c r="P65" i="2" s="1"/>
  <c r="V66" i="2"/>
  <c r="AG65" i="2" l="1"/>
  <c r="O65" i="2"/>
  <c r="R65" i="2" s="1"/>
  <c r="Q65" i="2" l="1"/>
  <c r="S65" i="2" s="1"/>
  <c r="Y65" i="2" s="1"/>
  <c r="AA65" i="2" s="1"/>
  <c r="Z65" i="2" l="1"/>
  <c r="AB66" i="2"/>
  <c r="B67" i="2" l="1"/>
  <c r="G66" i="2"/>
  <c r="H66" i="2" s="1"/>
  <c r="F66" i="2"/>
  <c r="AE66" i="2"/>
  <c r="AC66" i="2"/>
  <c r="U66" i="2"/>
  <c r="AF67" i="2" l="1"/>
  <c r="C67" i="2"/>
  <c r="J66" i="2"/>
  <c r="W66" i="2"/>
  <c r="X66" i="2" s="1"/>
  <c r="AD66" i="2"/>
  <c r="L66" i="2" s="1"/>
  <c r="K66" i="2" l="1"/>
  <c r="D67" i="2"/>
  <c r="E67" i="2" s="1"/>
  <c r="T67" i="2" s="1"/>
  <c r="I66" i="2"/>
  <c r="N66" i="2" l="1"/>
  <c r="M66" i="2" s="1"/>
  <c r="P66" i="2" s="1"/>
  <c r="V67" i="2"/>
  <c r="AG66" i="2" l="1"/>
  <c r="O66" i="2"/>
  <c r="R66" i="2" s="1"/>
  <c r="Q66" i="2" l="1"/>
  <c r="S66" i="2" s="1"/>
  <c r="Y66" i="2" l="1"/>
  <c r="AA66" i="2" s="1"/>
  <c r="Z66" i="2"/>
  <c r="AB67" i="2" l="1"/>
  <c r="B68" i="2" l="1"/>
  <c r="G67" i="2"/>
  <c r="H67" i="2" s="1"/>
  <c r="F67" i="2"/>
  <c r="AE67" i="2"/>
  <c r="AC67" i="2"/>
  <c r="U67" i="2"/>
  <c r="J67" i="2" l="1"/>
  <c r="W67" i="2"/>
  <c r="X67" i="2" s="1"/>
  <c r="AF68" i="2"/>
  <c r="C68" i="2"/>
  <c r="AD67" i="2"/>
  <c r="L67" i="2" s="1"/>
  <c r="D68" i="2" l="1"/>
  <c r="E68" i="2" s="1"/>
  <c r="T68" i="2" s="1"/>
  <c r="K67" i="2"/>
  <c r="I67" i="2"/>
  <c r="N67" i="2" l="1"/>
  <c r="M67" i="2" s="1"/>
  <c r="P67" i="2" s="1"/>
  <c r="V68" i="2"/>
  <c r="AG67" i="2" l="1"/>
  <c r="O67" i="2"/>
  <c r="Q67" i="2" s="1"/>
  <c r="R67" i="2" l="1"/>
  <c r="S67" i="2" s="1"/>
  <c r="Z67" i="2" s="1"/>
  <c r="Y67" i="2" l="1"/>
  <c r="AA67" i="2" s="1"/>
  <c r="AB68" i="2" s="1"/>
  <c r="B69" i="2" l="1"/>
  <c r="G68" i="2"/>
  <c r="H68" i="2" s="1"/>
  <c r="F68" i="2"/>
  <c r="AE68" i="2"/>
  <c r="AC68" i="2"/>
  <c r="U68" i="2"/>
  <c r="AF69" i="2" l="1"/>
  <c r="C69" i="2"/>
  <c r="J68" i="2"/>
  <c r="W68" i="2"/>
  <c r="X68" i="2" s="1"/>
  <c r="AD68" i="2"/>
  <c r="L68" i="2" s="1"/>
  <c r="D69" i="2" l="1"/>
  <c r="E69" i="2" s="1"/>
  <c r="T69" i="2" s="1"/>
  <c r="K68" i="2"/>
  <c r="I68" i="2"/>
  <c r="N68" i="2" l="1"/>
  <c r="M68" i="2" s="1"/>
  <c r="P68" i="2" s="1"/>
  <c r="V69" i="2"/>
  <c r="AG68" i="2" l="1"/>
  <c r="O68" i="2"/>
  <c r="R68" i="2" s="1"/>
  <c r="Q68" i="2" l="1"/>
  <c r="S68" i="2" s="1"/>
  <c r="Y68" i="2" l="1"/>
  <c r="AA68" i="2" s="1"/>
  <c r="Z68" i="2"/>
  <c r="AB69" i="2" l="1"/>
  <c r="B70" i="2" l="1"/>
  <c r="G69" i="2"/>
  <c r="H69" i="2" s="1"/>
  <c r="F69" i="2"/>
  <c r="AC69" i="2"/>
  <c r="AE69" i="2"/>
  <c r="U69" i="2"/>
  <c r="AF70" i="2" l="1"/>
  <c r="C70" i="2"/>
  <c r="J69" i="2"/>
  <c r="W69" i="2"/>
  <c r="X69" i="2" s="1"/>
  <c r="AD69" i="2"/>
  <c r="L69" i="2" s="1"/>
  <c r="I69" i="2" l="1"/>
  <c r="D70" i="2"/>
  <c r="E70" i="2" s="1"/>
  <c r="T70" i="2" s="1"/>
  <c r="K69" i="2"/>
  <c r="V70" i="2" l="1"/>
  <c r="N69" i="2"/>
  <c r="M69" i="2" s="1"/>
  <c r="P69" i="2" s="1"/>
  <c r="AG69" i="2" l="1"/>
  <c r="O69" i="2"/>
  <c r="R69" i="2" l="1"/>
  <c r="Q69" i="2"/>
  <c r="S69" i="2" l="1"/>
  <c r="Z69" i="2" s="1"/>
  <c r="Y69" i="2" l="1"/>
  <c r="AA69" i="2" s="1"/>
  <c r="AB70" i="2" s="1"/>
  <c r="B71" i="2" l="1"/>
  <c r="G70" i="2"/>
  <c r="H70" i="2" s="1"/>
  <c r="F70" i="2"/>
  <c r="AC70" i="2"/>
  <c r="AE70" i="2"/>
  <c r="U70" i="2"/>
  <c r="J70" i="2" l="1"/>
  <c r="W70" i="2"/>
  <c r="X70" i="2" s="1"/>
  <c r="AF71" i="2"/>
  <c r="C71" i="2"/>
  <c r="AD70" i="2"/>
  <c r="L70" i="2" s="1"/>
  <c r="K70" i="2" l="1"/>
  <c r="D71" i="2"/>
  <c r="E71" i="2" s="1"/>
  <c r="T71" i="2" s="1"/>
  <c r="I70" i="2"/>
  <c r="N70" i="2" l="1"/>
  <c r="M70" i="2" s="1"/>
  <c r="P70" i="2" s="1"/>
  <c r="V71" i="2"/>
  <c r="AG70" i="2" l="1"/>
  <c r="O70" i="2"/>
  <c r="Q70" i="2" s="1"/>
  <c r="R70" i="2" l="1"/>
  <c r="S70" i="2" s="1"/>
  <c r="Y70" i="2" s="1"/>
  <c r="AA70" i="2" s="1"/>
  <c r="Z70" i="2" l="1"/>
  <c r="AB71" i="2"/>
  <c r="B72" i="2" l="1"/>
  <c r="G71" i="2"/>
  <c r="H71" i="2" s="1"/>
  <c r="F71" i="2"/>
  <c r="AC71" i="2"/>
  <c r="AE71" i="2"/>
  <c r="U71" i="2"/>
  <c r="AD71" i="2" l="1"/>
  <c r="L71" i="2" s="1"/>
  <c r="AF72" i="2"/>
  <c r="C72" i="2"/>
  <c r="J71" i="2"/>
  <c r="W71" i="2"/>
  <c r="X71" i="2" s="1"/>
  <c r="K71" i="2" l="1"/>
  <c r="I71" i="2"/>
  <c r="D72" i="2"/>
  <c r="E72" i="2" s="1"/>
  <c r="T72" i="2" s="1"/>
  <c r="N71" i="2" l="1"/>
  <c r="M71" i="2" s="1"/>
  <c r="P71" i="2" s="1"/>
  <c r="V72" i="2"/>
  <c r="AG71" i="2" l="1"/>
  <c r="O71" i="2"/>
  <c r="R71" i="2" s="1"/>
  <c r="Q71" i="2" l="1"/>
  <c r="S71" i="2" s="1"/>
  <c r="Y71" i="2" l="1"/>
  <c r="AA71" i="2" s="1"/>
  <c r="Z71" i="2"/>
  <c r="AB72" i="2" l="1"/>
  <c r="B73" i="2" l="1"/>
  <c r="G72" i="2"/>
  <c r="H72" i="2" s="1"/>
  <c r="F72" i="2"/>
  <c r="AC72" i="2"/>
  <c r="AE72" i="2"/>
  <c r="U72" i="2"/>
  <c r="J72" i="2" l="1"/>
  <c r="W72" i="2"/>
  <c r="X72" i="2" s="1"/>
  <c r="AD72" i="2"/>
  <c r="L72" i="2" s="1"/>
  <c r="AF73" i="2"/>
  <c r="C73" i="2"/>
  <c r="I72" i="2" l="1"/>
  <c r="D73" i="2"/>
  <c r="E73" i="2" s="1"/>
  <c r="T73" i="2" s="1"/>
  <c r="K72" i="2"/>
  <c r="N72" i="2" l="1"/>
  <c r="M72" i="2" s="1"/>
  <c r="P72" i="2" s="1"/>
  <c r="V73" i="2"/>
  <c r="AG72" i="2" l="1"/>
  <c r="O72" i="2"/>
  <c r="R72" i="2" l="1"/>
  <c r="Q72" i="2"/>
  <c r="S72" i="2" l="1"/>
  <c r="Y72" i="2" s="1"/>
  <c r="AA72" i="2" s="1"/>
  <c r="Z72" i="2" l="1"/>
  <c r="AB73" i="2"/>
  <c r="B74" i="2" l="1"/>
  <c r="G73" i="2"/>
  <c r="H73" i="2" s="1"/>
  <c r="F73" i="2"/>
  <c r="AE73" i="2"/>
  <c r="AC73" i="2"/>
  <c r="U73" i="2"/>
  <c r="J73" i="2" l="1"/>
  <c r="W73" i="2"/>
  <c r="X73" i="2" s="1"/>
  <c r="AF74" i="2"/>
  <c r="C74" i="2"/>
  <c r="AD73" i="2"/>
  <c r="L73" i="2" s="1"/>
  <c r="K73" i="2" l="1"/>
  <c r="D74" i="2"/>
  <c r="E74" i="2" s="1"/>
  <c r="T74" i="2" s="1"/>
  <c r="I73" i="2"/>
  <c r="N73" i="2" l="1"/>
  <c r="M73" i="2" s="1"/>
  <c r="P73" i="2" s="1"/>
  <c r="V74" i="2"/>
  <c r="AG73" i="2" l="1"/>
  <c r="O73" i="2"/>
  <c r="Q73" i="2" s="1"/>
  <c r="R73" i="2" l="1"/>
  <c r="S73" i="2" s="1"/>
  <c r="Z73" i="2" s="1"/>
  <c r="Y73" i="2" l="1"/>
  <c r="AA73" i="2" s="1"/>
  <c r="AB74" i="2" s="1"/>
  <c r="B75" i="2" l="1"/>
  <c r="G74" i="2"/>
  <c r="H74" i="2" s="1"/>
  <c r="F74" i="2"/>
  <c r="AE74" i="2"/>
  <c r="AC74" i="2"/>
  <c r="U74" i="2"/>
  <c r="J74" i="2" l="1"/>
  <c r="W74" i="2"/>
  <c r="X74" i="2" s="1"/>
  <c r="AF75" i="2"/>
  <c r="C75" i="2"/>
  <c r="AD74" i="2"/>
  <c r="L74" i="2" s="1"/>
  <c r="D75" i="2" l="1"/>
  <c r="E75" i="2" s="1"/>
  <c r="T75" i="2" s="1"/>
  <c r="K74" i="2"/>
  <c r="I74" i="2"/>
  <c r="N74" i="2" l="1"/>
  <c r="M74" i="2" s="1"/>
  <c r="P74" i="2" s="1"/>
  <c r="V75" i="2"/>
  <c r="AG74" i="2" l="1"/>
  <c r="O74" i="2"/>
  <c r="Q74" i="2" s="1"/>
  <c r="R74" i="2" l="1"/>
  <c r="S74" i="2" s="1"/>
  <c r="Y74" i="2" s="1"/>
  <c r="AA74" i="2" s="1"/>
  <c r="Z74" i="2" l="1"/>
  <c r="AB75" i="2"/>
  <c r="B76" i="2" l="1"/>
  <c r="G75" i="2"/>
  <c r="H75" i="2" s="1"/>
  <c r="F75" i="2"/>
  <c r="AE75" i="2"/>
  <c r="AC75" i="2"/>
  <c r="U75" i="2"/>
  <c r="J75" i="2" l="1"/>
  <c r="W75" i="2"/>
  <c r="X75" i="2" s="1"/>
  <c r="AF76" i="2"/>
  <c r="C76" i="2"/>
  <c r="AD75" i="2"/>
  <c r="L75" i="2" s="1"/>
  <c r="K75" i="2" l="1"/>
  <c r="D76" i="2"/>
  <c r="E76" i="2" s="1"/>
  <c r="T76" i="2" s="1"/>
  <c r="I75" i="2"/>
  <c r="N75" i="2" l="1"/>
  <c r="M75" i="2" s="1"/>
  <c r="P75" i="2" s="1"/>
  <c r="V76" i="2"/>
  <c r="AG75" i="2" l="1"/>
  <c r="O75" i="2"/>
  <c r="R75" i="2" s="1"/>
  <c r="Q75" i="2" l="1"/>
  <c r="S75" i="2" s="1"/>
  <c r="Y75" i="2" s="1"/>
  <c r="AA75" i="2" s="1"/>
  <c r="Z75" i="2" l="1"/>
  <c r="AB76" i="2"/>
  <c r="B77" i="2" l="1"/>
  <c r="G76" i="2"/>
  <c r="H76" i="2" s="1"/>
  <c r="F76" i="2"/>
  <c r="AE76" i="2"/>
  <c r="AC76" i="2"/>
  <c r="U76" i="2"/>
  <c r="J76" i="2" l="1"/>
  <c r="W76" i="2"/>
  <c r="X76" i="2" s="1"/>
  <c r="AF77" i="2"/>
  <c r="C77" i="2"/>
  <c r="AD76" i="2"/>
  <c r="L76" i="2" s="1"/>
  <c r="D77" i="2" l="1"/>
  <c r="E77" i="2" s="1"/>
  <c r="T77" i="2" s="1"/>
  <c r="K76" i="2"/>
  <c r="I76" i="2"/>
  <c r="N76" i="2" l="1"/>
  <c r="M76" i="2" s="1"/>
  <c r="P76" i="2" s="1"/>
  <c r="V77" i="2"/>
  <c r="AG76" i="2" l="1"/>
  <c r="O76" i="2"/>
  <c r="Q76" i="2" s="1"/>
  <c r="R76" i="2" l="1"/>
  <c r="S76" i="2" s="1"/>
  <c r="Y76" i="2" l="1"/>
  <c r="AA76" i="2" s="1"/>
  <c r="Z76" i="2"/>
  <c r="AB77" i="2" l="1"/>
  <c r="B78" i="2" l="1"/>
  <c r="G77" i="2"/>
  <c r="H77" i="2" s="1"/>
  <c r="F77" i="2"/>
  <c r="AE77" i="2"/>
  <c r="AC77" i="2"/>
  <c r="U77" i="2"/>
  <c r="AF78" i="2" l="1"/>
  <c r="C78" i="2"/>
  <c r="J77" i="2"/>
  <c r="W77" i="2"/>
  <c r="X77" i="2" s="1"/>
  <c r="AD77" i="2"/>
  <c r="L77" i="2" s="1"/>
  <c r="I77" i="2" l="1"/>
  <c r="D78" i="2"/>
  <c r="E78" i="2" s="1"/>
  <c r="T78" i="2" s="1"/>
  <c r="K77" i="2"/>
  <c r="V78" i="2" l="1"/>
  <c r="N77" i="2"/>
  <c r="M77" i="2" s="1"/>
  <c r="P77" i="2" s="1"/>
  <c r="AG77" i="2" l="1"/>
  <c r="O77" i="2"/>
  <c r="R77" i="2" l="1"/>
  <c r="Q77" i="2"/>
  <c r="S77" i="2" l="1"/>
  <c r="Z77" i="2" s="1"/>
  <c r="Y77" i="2" l="1"/>
  <c r="AA77" i="2" s="1"/>
  <c r="AB78" i="2" s="1"/>
  <c r="B79" i="2" l="1"/>
  <c r="G78" i="2"/>
  <c r="H78" i="2" s="1"/>
  <c r="F78" i="2"/>
  <c r="AE78" i="2"/>
  <c r="AC78" i="2"/>
  <c r="U78" i="2"/>
  <c r="J78" i="2" l="1"/>
  <c r="W78" i="2"/>
  <c r="X78" i="2" s="1"/>
  <c r="AF79" i="2"/>
  <c r="C79" i="2"/>
  <c r="AD78" i="2"/>
  <c r="L78" i="2" s="1"/>
  <c r="K78" i="2" l="1"/>
  <c r="D79" i="2"/>
  <c r="E79" i="2" s="1"/>
  <c r="T79" i="2" s="1"/>
  <c r="I78" i="2"/>
  <c r="N78" i="2" l="1"/>
  <c r="M78" i="2" s="1"/>
  <c r="P78" i="2" s="1"/>
  <c r="V79" i="2"/>
  <c r="AG78" i="2" l="1"/>
  <c r="O78" i="2"/>
  <c r="Q78" i="2" s="1"/>
  <c r="R78" i="2" l="1"/>
  <c r="S78" i="2" s="1"/>
  <c r="Y78" i="2" s="1"/>
  <c r="AA78" i="2" s="1"/>
  <c r="Z78" i="2" l="1"/>
  <c r="AB79" i="2"/>
  <c r="B80" i="2" l="1"/>
  <c r="G79" i="2"/>
  <c r="H79" i="2" s="1"/>
  <c r="F79" i="2"/>
  <c r="AE79" i="2"/>
  <c r="AC79" i="2"/>
  <c r="U79" i="2"/>
  <c r="J79" i="2" l="1"/>
  <c r="W79" i="2"/>
  <c r="X79" i="2" s="1"/>
  <c r="AD79" i="2"/>
  <c r="L79" i="2" s="1"/>
  <c r="AF80" i="2"/>
  <c r="C80" i="2"/>
  <c r="I79" i="2" l="1"/>
  <c r="D80" i="2"/>
  <c r="E80" i="2" s="1"/>
  <c r="T80" i="2" s="1"/>
  <c r="K79" i="2"/>
  <c r="V80" i="2" l="1"/>
  <c r="N79" i="2"/>
  <c r="M79" i="2" s="1"/>
  <c r="P79" i="2" s="1"/>
  <c r="AG79" i="2" l="1"/>
  <c r="O79" i="2"/>
  <c r="Q79" i="2" l="1"/>
  <c r="R79" i="2"/>
  <c r="S79" i="2" l="1"/>
  <c r="Y79" i="2" l="1"/>
  <c r="AA79" i="2" s="1"/>
  <c r="Z79" i="2"/>
  <c r="AB80" i="2" l="1"/>
  <c r="B81" i="2" l="1"/>
  <c r="G80" i="2"/>
  <c r="H80" i="2" s="1"/>
  <c r="F80" i="2"/>
  <c r="AE80" i="2"/>
  <c r="AC80" i="2"/>
  <c r="U80" i="2"/>
  <c r="J80" i="2" l="1"/>
  <c r="W80" i="2"/>
  <c r="X80" i="2" s="1"/>
  <c r="AD80" i="2"/>
  <c r="L80" i="2" s="1"/>
  <c r="C81" i="2"/>
  <c r="AF81" i="2"/>
  <c r="D81" i="2" l="1"/>
  <c r="E81" i="2" s="1"/>
  <c r="T81" i="2" s="1"/>
  <c r="K80" i="2"/>
  <c r="I80" i="2"/>
  <c r="N80" i="2" l="1"/>
  <c r="M80" i="2" s="1"/>
  <c r="P80" i="2" s="1"/>
  <c r="V81" i="2"/>
  <c r="AG80" i="2" l="1"/>
  <c r="O80" i="2"/>
  <c r="Q80" i="2" s="1"/>
  <c r="R80" i="2" l="1"/>
  <c r="S80" i="2" s="1"/>
  <c r="Z80" i="2" s="1"/>
  <c r="Y80" i="2" l="1"/>
  <c r="AA80" i="2" s="1"/>
  <c r="AB81" i="2" s="1"/>
  <c r="B82" i="2" l="1"/>
  <c r="G81" i="2"/>
  <c r="H81" i="2" s="1"/>
  <c r="F81" i="2"/>
  <c r="AE81" i="2"/>
  <c r="AC81" i="2"/>
  <c r="U81" i="2"/>
  <c r="J81" i="2" l="1"/>
  <c r="W81" i="2"/>
  <c r="X81" i="2" s="1"/>
  <c r="AF82" i="2"/>
  <c r="C82" i="2"/>
  <c r="AD81" i="2"/>
  <c r="L81" i="2" s="1"/>
  <c r="I81" i="2" l="1"/>
  <c r="K81" i="2"/>
  <c r="D82" i="2"/>
  <c r="E82" i="2" s="1"/>
  <c r="T82" i="2" s="1"/>
  <c r="V82" i="2" l="1"/>
  <c r="N81" i="2"/>
  <c r="M81" i="2" s="1"/>
  <c r="P81" i="2" s="1"/>
  <c r="AG81" i="2" l="1"/>
  <c r="O81" i="2"/>
  <c r="R81" i="2" l="1"/>
  <c r="Q81" i="2"/>
  <c r="S81" i="2" l="1"/>
  <c r="Z81" i="2" s="1"/>
  <c r="Y81" i="2" l="1"/>
  <c r="AA81" i="2" s="1"/>
  <c r="AB82" i="2" s="1"/>
  <c r="B83" i="2" l="1"/>
  <c r="G82" i="2"/>
  <c r="H82" i="2" s="1"/>
  <c r="F82" i="2"/>
  <c r="AC82" i="2"/>
  <c r="AE82" i="2"/>
  <c r="U82" i="2"/>
  <c r="J82" i="2" l="1"/>
  <c r="W82" i="2"/>
  <c r="X82" i="2" s="1"/>
  <c r="AF83" i="2"/>
  <c r="C83" i="2"/>
  <c r="AD82" i="2"/>
  <c r="L82" i="2" s="1"/>
  <c r="D83" i="2" l="1"/>
  <c r="E83" i="2" s="1"/>
  <c r="T83" i="2" s="1"/>
  <c r="K82" i="2"/>
  <c r="I82" i="2"/>
  <c r="N82" i="2" l="1"/>
  <c r="M82" i="2" s="1"/>
  <c r="P82" i="2" s="1"/>
  <c r="V83" i="2"/>
  <c r="AG82" i="2" l="1"/>
  <c r="O82" i="2"/>
  <c r="R82" i="2" s="1"/>
  <c r="Q82" i="2" l="1"/>
  <c r="S82" i="2" s="1"/>
  <c r="Z82" i="2" s="1"/>
  <c r="Y82" i="2" l="1"/>
  <c r="AA82" i="2" s="1"/>
  <c r="AB83" i="2" s="1"/>
  <c r="B84" i="2" l="1"/>
  <c r="G83" i="2"/>
  <c r="H83" i="2" s="1"/>
  <c r="F83" i="2"/>
  <c r="AC83" i="2"/>
  <c r="AE83" i="2"/>
  <c r="U83" i="2"/>
  <c r="AF84" i="2" l="1"/>
  <c r="C84" i="2"/>
  <c r="J83" i="2"/>
  <c r="W83" i="2"/>
  <c r="X83" i="2" s="1"/>
  <c r="AD83" i="2"/>
  <c r="L83" i="2" s="1"/>
  <c r="I83" i="2" l="1"/>
  <c r="D84" i="2"/>
  <c r="E84" i="2" s="1"/>
  <c r="T84" i="2" s="1"/>
  <c r="K83" i="2"/>
  <c r="V84" i="2" l="1"/>
  <c r="N83" i="2"/>
  <c r="M83" i="2" s="1"/>
  <c r="P83" i="2" s="1"/>
  <c r="AG83" i="2" l="1"/>
  <c r="O83" i="2"/>
  <c r="Q83" i="2" l="1"/>
  <c r="R83" i="2"/>
  <c r="S83" i="2" l="1"/>
  <c r="Y83" i="2" l="1"/>
  <c r="AA83" i="2" s="1"/>
  <c r="Z83" i="2"/>
  <c r="AB84" i="2" l="1"/>
  <c r="B85" i="2" l="1"/>
  <c r="G84" i="2"/>
  <c r="H84" i="2" s="1"/>
  <c r="F84" i="2"/>
  <c r="AC84" i="2"/>
  <c r="AE84" i="2"/>
  <c r="U84" i="2"/>
  <c r="J84" i="2" l="1"/>
  <c r="W84" i="2"/>
  <c r="X84" i="2" s="1"/>
  <c r="AD84" i="2"/>
  <c r="L84" i="2" s="1"/>
  <c r="AF85" i="2"/>
  <c r="C85" i="2"/>
  <c r="I84" i="2" l="1"/>
  <c r="D85" i="2"/>
  <c r="E85" i="2" s="1"/>
  <c r="T85" i="2" s="1"/>
  <c r="K84" i="2"/>
  <c r="N84" i="2" l="1"/>
  <c r="M84" i="2" s="1"/>
  <c r="P84" i="2" s="1"/>
  <c r="V85" i="2"/>
  <c r="AG84" i="2" l="1"/>
  <c r="O84" i="2"/>
  <c r="R84" i="2" l="1"/>
  <c r="Q84" i="2"/>
  <c r="S84" i="2" l="1"/>
  <c r="Z84" i="2" s="1"/>
  <c r="Y84" i="2" l="1"/>
  <c r="AA84" i="2" s="1"/>
  <c r="AB85" i="2" s="1"/>
  <c r="B86" i="2" l="1"/>
  <c r="G85" i="2"/>
  <c r="H85" i="2" s="1"/>
  <c r="F85" i="2"/>
  <c r="AE85" i="2"/>
  <c r="AC85" i="2"/>
  <c r="U85" i="2"/>
  <c r="J85" i="2" l="1"/>
  <c r="W85" i="2"/>
  <c r="X85" i="2" s="1"/>
  <c r="AF86" i="2"/>
  <c r="C86" i="2"/>
  <c r="AD85" i="2"/>
  <c r="L85" i="2" s="1"/>
  <c r="I85" i="2" l="1"/>
  <c r="D86" i="2"/>
  <c r="E86" i="2" s="1"/>
  <c r="T86" i="2" s="1"/>
  <c r="K85" i="2"/>
  <c r="N85" i="2" l="1"/>
  <c r="M85" i="2" s="1"/>
  <c r="P85" i="2" s="1"/>
  <c r="V86" i="2"/>
  <c r="AG85" i="2" l="1"/>
  <c r="O85" i="2"/>
  <c r="Q85" i="2" s="1"/>
  <c r="R85" i="2" l="1"/>
  <c r="S85" i="2" s="1"/>
  <c r="Y85" i="2" l="1"/>
  <c r="AA85" i="2" s="1"/>
  <c r="Z85" i="2"/>
  <c r="AB86" i="2" l="1"/>
  <c r="B87" i="2" l="1"/>
  <c r="G86" i="2"/>
  <c r="H86" i="2" s="1"/>
  <c r="F86" i="2"/>
  <c r="AE86" i="2"/>
  <c r="AC86" i="2"/>
  <c r="U86" i="2"/>
  <c r="J86" i="2" l="1"/>
  <c r="W86" i="2"/>
  <c r="X86" i="2" s="1"/>
  <c r="AD86" i="2"/>
  <c r="L86" i="2" s="1"/>
  <c r="AF87" i="2"/>
  <c r="C87" i="2"/>
  <c r="K86" i="2" l="1"/>
  <c r="D87" i="2"/>
  <c r="E87" i="2" s="1"/>
  <c r="T87" i="2" s="1"/>
  <c r="I86" i="2"/>
  <c r="N86" i="2" l="1"/>
  <c r="M86" i="2" s="1"/>
  <c r="P86" i="2" s="1"/>
  <c r="V87" i="2"/>
  <c r="AG86" i="2" l="1"/>
  <c r="O86" i="2"/>
  <c r="R86" i="2" s="1"/>
  <c r="Q86" i="2" l="1"/>
  <c r="S86" i="2" s="1"/>
  <c r="Z86" i="2" s="1"/>
  <c r="Y86" i="2" l="1"/>
  <c r="AA86" i="2" s="1"/>
  <c r="AB87" i="2" s="1"/>
  <c r="B88" i="2" l="1"/>
  <c r="G87" i="2"/>
  <c r="H87" i="2" s="1"/>
  <c r="F87" i="2"/>
  <c r="AE87" i="2"/>
  <c r="AC87" i="2"/>
  <c r="U87" i="2"/>
  <c r="AF88" i="2" l="1"/>
  <c r="C88" i="2"/>
  <c r="J87" i="2"/>
  <c r="W87" i="2"/>
  <c r="X87" i="2" s="1"/>
  <c r="AD87" i="2"/>
  <c r="L87" i="2" s="1"/>
  <c r="I87" i="2" l="1"/>
  <c r="D88" i="2"/>
  <c r="E88" i="2" s="1"/>
  <c r="T88" i="2" s="1"/>
  <c r="K87" i="2"/>
  <c r="V88" i="2" l="1"/>
  <c r="N87" i="2"/>
  <c r="M87" i="2" s="1"/>
  <c r="P87" i="2" s="1"/>
  <c r="AG87" i="2" l="1"/>
  <c r="O87" i="2"/>
  <c r="R87" i="2" l="1"/>
  <c r="Q87" i="2"/>
  <c r="S87" i="2" l="1"/>
  <c r="Y87" i="2" s="1"/>
  <c r="AA87" i="2" s="1"/>
  <c r="Z87" i="2" l="1"/>
  <c r="AB88" i="2"/>
  <c r="B89" i="2" l="1"/>
  <c r="G88" i="2"/>
  <c r="H88" i="2" s="1"/>
  <c r="F88" i="2"/>
  <c r="AE88" i="2"/>
  <c r="AC88" i="2"/>
  <c r="U88" i="2"/>
  <c r="J88" i="2" l="1"/>
  <c r="W88" i="2"/>
  <c r="X88" i="2" s="1"/>
  <c r="AF89" i="2"/>
  <c r="C89" i="2"/>
  <c r="AD88" i="2"/>
  <c r="L88" i="2" s="1"/>
  <c r="I88" i="2" l="1"/>
  <c r="D89" i="2"/>
  <c r="E89" i="2" s="1"/>
  <c r="T89" i="2" s="1"/>
  <c r="K88" i="2"/>
  <c r="V89" i="2" l="1"/>
  <c r="N88" i="2"/>
  <c r="M88" i="2" s="1"/>
  <c r="P88" i="2" s="1"/>
  <c r="AG88" i="2" l="1"/>
  <c r="O88" i="2"/>
  <c r="Q88" i="2" l="1"/>
  <c r="R88" i="2"/>
  <c r="S88" i="2" l="1"/>
  <c r="Y88" i="2" l="1"/>
  <c r="AA88" i="2" s="1"/>
  <c r="Z88" i="2"/>
  <c r="AB89" i="2" l="1"/>
  <c r="B90" i="2" l="1"/>
  <c r="G89" i="2"/>
  <c r="H89" i="2" s="1"/>
  <c r="F89" i="2"/>
  <c r="AE89" i="2"/>
  <c r="AC89" i="2"/>
  <c r="U89" i="2"/>
  <c r="J89" i="2" l="1"/>
  <c r="W89" i="2"/>
  <c r="X89" i="2" s="1"/>
  <c r="C90" i="2"/>
  <c r="AF90" i="2"/>
  <c r="AD89" i="2"/>
  <c r="L89" i="2" s="1"/>
  <c r="D90" i="2" l="1"/>
  <c r="E90" i="2" s="1"/>
  <c r="T90" i="2" s="1"/>
  <c r="K89" i="2"/>
  <c r="I89" i="2"/>
  <c r="N89" i="2" l="1"/>
  <c r="M89" i="2" s="1"/>
  <c r="P89" i="2" s="1"/>
  <c r="V90" i="2"/>
  <c r="AG89" i="2" l="1"/>
  <c r="O89" i="2"/>
  <c r="Q89" i="2" s="1"/>
  <c r="R89" i="2" l="1"/>
  <c r="S89" i="2" s="1"/>
  <c r="Y89" i="2" s="1"/>
  <c r="AA89" i="2" s="1"/>
  <c r="Z89" i="2" l="1"/>
  <c r="AB90" i="2"/>
  <c r="B91" i="2" l="1"/>
  <c r="G90" i="2"/>
  <c r="H90" i="2" s="1"/>
  <c r="F90" i="2"/>
  <c r="AE90" i="2"/>
  <c r="AC90" i="2"/>
  <c r="U90" i="2"/>
  <c r="AF91" i="2" l="1"/>
  <c r="C91" i="2"/>
  <c r="J90" i="2"/>
  <c r="W90" i="2"/>
  <c r="X90" i="2" s="1"/>
  <c r="AD90" i="2"/>
  <c r="L90" i="2" s="1"/>
  <c r="I90" i="2" l="1"/>
  <c r="D91" i="2"/>
  <c r="E91" i="2" s="1"/>
  <c r="T91" i="2" s="1"/>
  <c r="K90" i="2"/>
  <c r="V91" i="2" l="1"/>
  <c r="N90" i="2"/>
  <c r="M90" i="2" s="1"/>
  <c r="P90" i="2" s="1"/>
  <c r="AG90" i="2" l="1"/>
  <c r="O90" i="2"/>
  <c r="Q90" i="2" l="1"/>
  <c r="R90" i="2"/>
  <c r="S90" i="2" l="1"/>
  <c r="Y90" i="2" l="1"/>
  <c r="AA90" i="2" s="1"/>
  <c r="Z90" i="2"/>
  <c r="AB91" i="2" l="1"/>
  <c r="B92" i="2" l="1"/>
  <c r="G91" i="2"/>
  <c r="H91" i="2" s="1"/>
  <c r="F91" i="2"/>
  <c r="AE91" i="2"/>
  <c r="AC91" i="2"/>
  <c r="U91" i="2"/>
  <c r="AF92" i="2" l="1"/>
  <c r="C92" i="2"/>
  <c r="J91" i="2"/>
  <c r="W91" i="2"/>
  <c r="X91" i="2" s="1"/>
  <c r="AD91" i="2"/>
  <c r="L91" i="2" s="1"/>
  <c r="I91" i="2" l="1"/>
  <c r="D92" i="2"/>
  <c r="E92" i="2" s="1"/>
  <c r="T92" i="2" s="1"/>
  <c r="K91" i="2"/>
  <c r="V92" i="2" l="1"/>
  <c r="N91" i="2"/>
  <c r="M91" i="2" s="1"/>
  <c r="P91" i="2" s="1"/>
  <c r="AG91" i="2" l="1"/>
  <c r="O91" i="2"/>
  <c r="R91" i="2" l="1"/>
  <c r="Q91" i="2"/>
  <c r="S91" i="2" l="1"/>
  <c r="Z91" i="2" s="1"/>
  <c r="Y91" i="2" l="1"/>
  <c r="AA91" i="2" s="1"/>
  <c r="AB92" i="2" s="1"/>
  <c r="B93" i="2" l="1"/>
  <c r="G92" i="2"/>
  <c r="H92" i="2" s="1"/>
  <c r="F92" i="2"/>
  <c r="AE92" i="2"/>
  <c r="AC92" i="2"/>
  <c r="U92" i="2"/>
  <c r="C93" i="2" l="1"/>
  <c r="AF93" i="2"/>
  <c r="J92" i="2"/>
  <c r="W92" i="2"/>
  <c r="X92" i="2" s="1"/>
  <c r="AD92" i="2"/>
  <c r="L92" i="2" s="1"/>
  <c r="I92" i="2" l="1"/>
  <c r="D93" i="2"/>
  <c r="E93" i="2" s="1"/>
  <c r="T93" i="2" s="1"/>
  <c r="K92" i="2"/>
  <c r="V93" i="2" l="1"/>
  <c r="N92" i="2"/>
  <c r="M92" i="2" s="1"/>
  <c r="P92" i="2" s="1"/>
  <c r="AG92" i="2" l="1"/>
  <c r="O92" i="2"/>
  <c r="R92" i="2" l="1"/>
  <c r="Q92" i="2"/>
  <c r="S92" i="2" l="1"/>
  <c r="Z92" i="2" s="1"/>
  <c r="Y92" i="2" l="1"/>
  <c r="AA92" i="2" s="1"/>
  <c r="AB93" i="2" s="1"/>
  <c r="B94" i="2" l="1"/>
  <c r="G93" i="2"/>
  <c r="H93" i="2" s="1"/>
  <c r="F93" i="2"/>
  <c r="AC93" i="2"/>
  <c r="AE93" i="2"/>
  <c r="U93" i="2"/>
  <c r="AF94" i="2" l="1"/>
  <c r="C94" i="2"/>
  <c r="J93" i="2"/>
  <c r="W93" i="2"/>
  <c r="X93" i="2" s="1"/>
  <c r="AD93" i="2"/>
  <c r="L93" i="2" s="1"/>
  <c r="I93" i="2" l="1"/>
  <c r="D94" i="2"/>
  <c r="E94" i="2" s="1"/>
  <c r="T94" i="2" s="1"/>
  <c r="K93" i="2"/>
  <c r="V94" i="2" l="1"/>
  <c r="N93" i="2"/>
  <c r="M93" i="2" s="1"/>
  <c r="P93" i="2" s="1"/>
  <c r="AG93" i="2" l="1"/>
  <c r="O93" i="2"/>
  <c r="R93" i="2" l="1"/>
  <c r="Q93" i="2"/>
  <c r="S93" i="2" l="1"/>
  <c r="Y93" i="2" s="1"/>
  <c r="AA93" i="2" s="1"/>
  <c r="Z93" i="2" l="1"/>
  <c r="AB94" i="2"/>
  <c r="B95" i="2" l="1"/>
  <c r="G94" i="2"/>
  <c r="H94" i="2" s="1"/>
  <c r="F94" i="2"/>
  <c r="AC94" i="2"/>
  <c r="AE94" i="2"/>
  <c r="U94" i="2"/>
  <c r="J94" i="2" l="1"/>
  <c r="W94" i="2"/>
  <c r="X94" i="2" s="1"/>
  <c r="AD94" i="2"/>
  <c r="L94" i="2" s="1"/>
  <c r="AF95" i="2"/>
  <c r="C95" i="2"/>
  <c r="D95" i="2" l="1"/>
  <c r="E95" i="2" s="1"/>
  <c r="T95" i="2" s="1"/>
  <c r="K94" i="2"/>
  <c r="I94" i="2"/>
  <c r="N94" i="2" l="1"/>
  <c r="M94" i="2" s="1"/>
  <c r="P94" i="2" s="1"/>
  <c r="V95" i="2"/>
  <c r="AG94" i="2" l="1"/>
  <c r="O94" i="2"/>
  <c r="R94" i="2" s="1"/>
  <c r="Q94" i="2" l="1"/>
  <c r="S94" i="2" s="1"/>
  <c r="Z94" i="2" s="1"/>
  <c r="Y94" i="2" l="1"/>
  <c r="AA94" i="2" s="1"/>
  <c r="AB95" i="2" s="1"/>
  <c r="B96" i="2" l="1"/>
  <c r="G95" i="2"/>
  <c r="H95" i="2" s="1"/>
  <c r="F95" i="2"/>
  <c r="AE95" i="2"/>
  <c r="AC95" i="2"/>
  <c r="U95" i="2"/>
  <c r="J95" i="2" l="1"/>
  <c r="W95" i="2"/>
  <c r="X95" i="2" s="1"/>
  <c r="AF96" i="2"/>
  <c r="C96" i="2"/>
  <c r="AD95" i="2"/>
  <c r="L95" i="2" s="1"/>
  <c r="I95" i="2" l="1"/>
  <c r="D96" i="2"/>
  <c r="E96" i="2" s="1"/>
  <c r="T96" i="2" s="1"/>
  <c r="K95" i="2"/>
  <c r="N95" i="2" l="1"/>
  <c r="M95" i="2" s="1"/>
  <c r="P95" i="2" s="1"/>
  <c r="V96" i="2"/>
  <c r="AG95" i="2" l="1"/>
  <c r="O95" i="2"/>
  <c r="Q95" i="2" l="1"/>
  <c r="R95" i="2"/>
  <c r="S95" i="2" l="1"/>
  <c r="Y95" i="2" l="1"/>
  <c r="AA95" i="2" s="1"/>
  <c r="Z95" i="2"/>
  <c r="AB96" i="2" l="1"/>
  <c r="B97" i="2" l="1"/>
  <c r="G96" i="2"/>
  <c r="H96" i="2" s="1"/>
  <c r="F96" i="2"/>
  <c r="AE96" i="2"/>
  <c r="AC96" i="2"/>
  <c r="U96" i="2"/>
  <c r="AF97" i="2" l="1"/>
  <c r="C97" i="2"/>
  <c r="J96" i="2"/>
  <c r="W96" i="2"/>
  <c r="X96" i="2" s="1"/>
  <c r="AD96" i="2"/>
  <c r="L96" i="2" s="1"/>
  <c r="I96" i="2" l="1"/>
  <c r="D97" i="2"/>
  <c r="E97" i="2" s="1"/>
  <c r="T97" i="2" s="1"/>
  <c r="K96" i="2"/>
  <c r="V97" i="2" l="1"/>
  <c r="N96" i="2"/>
  <c r="M96" i="2" s="1"/>
  <c r="P96" i="2" s="1"/>
  <c r="AG96" i="2" l="1"/>
  <c r="O96" i="2"/>
  <c r="R96" i="2" l="1"/>
  <c r="Q96" i="2"/>
  <c r="S96" i="2" l="1"/>
  <c r="Z96" i="2" s="1"/>
  <c r="Y96" i="2" l="1"/>
  <c r="AA96" i="2" s="1"/>
  <c r="AB97" i="2" s="1"/>
  <c r="B98" i="2" l="1"/>
  <c r="G97" i="2"/>
  <c r="H97" i="2" s="1"/>
  <c r="F97" i="2"/>
  <c r="AE97" i="2"/>
  <c r="AC97" i="2"/>
  <c r="U97" i="2"/>
  <c r="AF98" i="2" l="1"/>
  <c r="C98" i="2"/>
  <c r="J97" i="2"/>
  <c r="W97" i="2"/>
  <c r="X97" i="2" s="1"/>
  <c r="AD97" i="2"/>
  <c r="L97" i="2" s="1"/>
  <c r="K97" i="2" l="1"/>
  <c r="D98" i="2"/>
  <c r="E98" i="2" s="1"/>
  <c r="T98" i="2" s="1"/>
  <c r="I97" i="2"/>
  <c r="N97" i="2" l="1"/>
  <c r="M97" i="2" s="1"/>
  <c r="P97" i="2" s="1"/>
  <c r="V98" i="2"/>
  <c r="AG97" i="2" l="1"/>
  <c r="O97" i="2"/>
  <c r="Q97" i="2" s="1"/>
  <c r="R97" i="2" l="1"/>
  <c r="S97" i="2" s="1"/>
  <c r="Z97" i="2" s="1"/>
  <c r="Y97" i="2" l="1"/>
  <c r="AA97" i="2" s="1"/>
  <c r="AB98" i="2" s="1"/>
  <c r="B99" i="2" l="1"/>
  <c r="G98" i="2"/>
  <c r="H98" i="2" s="1"/>
  <c r="F98" i="2"/>
  <c r="AE98" i="2"/>
  <c r="AC98" i="2"/>
  <c r="U98" i="2"/>
  <c r="J98" i="2" l="1"/>
  <c r="W98" i="2"/>
  <c r="X98" i="2" s="1"/>
  <c r="AF99" i="2"/>
  <c r="C99" i="2"/>
  <c r="AD98" i="2"/>
  <c r="L98" i="2" s="1"/>
  <c r="K98" i="2" l="1"/>
  <c r="D99" i="2"/>
  <c r="E99" i="2" s="1"/>
  <c r="T99" i="2" s="1"/>
  <c r="I98" i="2"/>
  <c r="N98" i="2" l="1"/>
  <c r="M98" i="2" s="1"/>
  <c r="P98" i="2" s="1"/>
  <c r="V99" i="2"/>
  <c r="AG98" i="2" l="1"/>
  <c r="O98" i="2"/>
  <c r="R98" i="2" s="1"/>
  <c r="Q98" i="2" l="1"/>
  <c r="S98" i="2" s="1"/>
  <c r="Y98" i="2" s="1"/>
  <c r="AA98" i="2" s="1"/>
  <c r="Z98" i="2" l="1"/>
  <c r="AB99" i="2"/>
  <c r="B100" i="2" l="1"/>
  <c r="G99" i="2"/>
  <c r="H99" i="2" s="1"/>
  <c r="F99" i="2"/>
  <c r="AE99" i="2"/>
  <c r="AC99" i="2"/>
  <c r="U99" i="2"/>
  <c r="J99" i="2" l="1"/>
  <c r="W99" i="2"/>
  <c r="X99" i="2" s="1"/>
  <c r="AF100" i="2"/>
  <c r="C100" i="2"/>
  <c r="AD99" i="2"/>
  <c r="L99" i="2" s="1"/>
  <c r="I99" i="2" l="1"/>
  <c r="D100" i="2"/>
  <c r="E100" i="2" s="1"/>
  <c r="T100" i="2" s="1"/>
  <c r="K99" i="2"/>
  <c r="N99" i="2" l="1"/>
  <c r="M99" i="2" s="1"/>
  <c r="P99" i="2" s="1"/>
  <c r="V100" i="2"/>
  <c r="AG99" i="2" l="1"/>
  <c r="O99" i="2"/>
  <c r="Q99" i="2" s="1"/>
  <c r="R99" i="2" l="1"/>
  <c r="S99" i="2" s="1"/>
  <c r="Y99" i="2" l="1"/>
  <c r="AA99" i="2" s="1"/>
  <c r="Z99" i="2"/>
  <c r="AB100" i="2" l="1"/>
  <c r="B101" i="2" l="1"/>
  <c r="G100" i="2"/>
  <c r="H100" i="2" s="1"/>
  <c r="F100" i="2"/>
  <c r="AE100" i="2"/>
  <c r="AC100" i="2"/>
  <c r="U100" i="2"/>
  <c r="AF101" i="2" l="1"/>
  <c r="C101" i="2"/>
  <c r="J100" i="2"/>
  <c r="W100" i="2"/>
  <c r="X100" i="2" s="1"/>
  <c r="AD100" i="2"/>
  <c r="L100" i="2" s="1"/>
  <c r="K100" i="2" l="1"/>
  <c r="D101" i="2"/>
  <c r="E101" i="2" s="1"/>
  <c r="T101" i="2" s="1"/>
  <c r="I100" i="2"/>
  <c r="N100" i="2" l="1"/>
  <c r="M100" i="2" s="1"/>
  <c r="P100" i="2" s="1"/>
  <c r="V101" i="2"/>
  <c r="AG100" i="2" l="1"/>
  <c r="O100" i="2"/>
  <c r="Q100" i="2" s="1"/>
  <c r="R100" i="2" l="1"/>
  <c r="S100" i="2" s="1"/>
  <c r="Y100" i="2" s="1"/>
  <c r="AA100" i="2" s="1"/>
  <c r="Z100" i="2" l="1"/>
  <c r="AB101" i="2"/>
  <c r="B102" i="2" l="1"/>
  <c r="G101" i="2"/>
  <c r="H101" i="2" s="1"/>
  <c r="F101" i="2"/>
  <c r="AE101" i="2"/>
  <c r="AC101" i="2"/>
  <c r="U101" i="2"/>
  <c r="AF102" i="2" l="1"/>
  <c r="C102" i="2"/>
  <c r="AD101" i="2"/>
  <c r="L101" i="2" s="1"/>
  <c r="J101" i="2"/>
  <c r="W101" i="2"/>
  <c r="X101" i="2" s="1"/>
  <c r="I101" i="2" l="1"/>
  <c r="K101" i="2"/>
  <c r="D102" i="2"/>
  <c r="E102" i="2" s="1"/>
  <c r="T102" i="2" s="1"/>
  <c r="N101" i="2" l="1"/>
  <c r="M101" i="2" s="1"/>
  <c r="P101" i="2" s="1"/>
  <c r="V102" i="2"/>
  <c r="AG101" i="2" l="1"/>
  <c r="O101" i="2"/>
  <c r="R101" i="2" s="1"/>
  <c r="Q101" i="2" l="1"/>
  <c r="S101" i="2" s="1"/>
  <c r="Z101" i="2" s="1"/>
  <c r="Y101" i="2" l="1"/>
  <c r="AA101" i="2" s="1"/>
  <c r="AB102" i="2" s="1"/>
  <c r="B103" i="2" l="1"/>
  <c r="G102" i="2"/>
  <c r="H102" i="2" s="1"/>
  <c r="F102" i="2"/>
  <c r="AE102" i="2"/>
  <c r="AC102" i="2"/>
  <c r="U102" i="2"/>
  <c r="J102" i="2" l="1"/>
  <c r="W102" i="2"/>
  <c r="X102" i="2" s="1"/>
  <c r="AF103" i="2"/>
  <c r="C103" i="2"/>
  <c r="AD102" i="2"/>
  <c r="L102" i="2" s="1"/>
  <c r="D103" i="2" l="1"/>
  <c r="E103" i="2" s="1"/>
  <c r="T103" i="2" s="1"/>
  <c r="K102" i="2"/>
  <c r="I102" i="2"/>
  <c r="N102" i="2" l="1"/>
  <c r="M102" i="2" s="1"/>
  <c r="P102" i="2" s="1"/>
  <c r="V103" i="2"/>
  <c r="AG102" i="2" l="1"/>
  <c r="O102" i="2"/>
  <c r="R102" i="2" s="1"/>
  <c r="Q102" i="2" l="1"/>
  <c r="S102" i="2" s="1"/>
  <c r="Y102" i="2" s="1"/>
  <c r="AA102" i="2" s="1"/>
  <c r="Z102" i="2" l="1"/>
  <c r="AB103" i="2"/>
  <c r="B104" i="2" l="1"/>
  <c r="G103" i="2"/>
  <c r="H103" i="2" s="1"/>
  <c r="F103" i="2"/>
  <c r="AE103" i="2"/>
  <c r="AC103" i="2"/>
  <c r="U103" i="2"/>
  <c r="J103" i="2" l="1"/>
  <c r="W103" i="2"/>
  <c r="X103" i="2" s="1"/>
  <c r="AF104" i="2"/>
  <c r="C104" i="2"/>
  <c r="AD103" i="2"/>
  <c r="L103" i="2" s="1"/>
  <c r="D104" i="2" l="1"/>
  <c r="E104" i="2" s="1"/>
  <c r="T104" i="2" s="1"/>
  <c r="K103" i="2"/>
  <c r="I103" i="2"/>
  <c r="N103" i="2" l="1"/>
  <c r="M103" i="2" s="1"/>
  <c r="P103" i="2" s="1"/>
  <c r="V104" i="2"/>
  <c r="AG103" i="2" l="1"/>
  <c r="O103" i="2"/>
  <c r="R103" i="2" s="1"/>
  <c r="Q103" i="2" l="1"/>
  <c r="S103" i="2" s="1"/>
  <c r="Y103" i="2" s="1"/>
  <c r="AA103" i="2" s="1"/>
  <c r="Z103" i="2" l="1"/>
  <c r="AB104" i="2"/>
  <c r="B105" i="2" l="1"/>
  <c r="G104" i="2"/>
  <c r="H104" i="2" s="1"/>
  <c r="F104" i="2"/>
  <c r="AE104" i="2"/>
  <c r="AC104" i="2"/>
  <c r="U104" i="2"/>
  <c r="J104" i="2" l="1"/>
  <c r="W104" i="2"/>
  <c r="X104" i="2" s="1"/>
  <c r="AF105" i="2"/>
  <c r="C105" i="2"/>
  <c r="AD104" i="2"/>
  <c r="L104" i="2" s="1"/>
  <c r="I104" i="2" l="1"/>
  <c r="D105" i="2"/>
  <c r="E105" i="2" s="1"/>
  <c r="T105" i="2" s="1"/>
  <c r="K104" i="2"/>
  <c r="N104" i="2" l="1"/>
  <c r="M104" i="2" s="1"/>
  <c r="P104" i="2" s="1"/>
  <c r="V105" i="2"/>
  <c r="AG104" i="2" l="1"/>
  <c r="O104" i="2"/>
  <c r="Q104" i="2" s="1"/>
  <c r="R104" i="2" l="1"/>
  <c r="S104" i="2" s="1"/>
  <c r="Z104" i="2" s="1"/>
  <c r="Y104" i="2" l="1"/>
  <c r="AA104" i="2" s="1"/>
  <c r="AB105" i="2" s="1"/>
  <c r="B106" i="2" l="1"/>
  <c r="G105" i="2"/>
  <c r="H105" i="2" s="1"/>
  <c r="F105" i="2"/>
  <c r="AE105" i="2"/>
  <c r="AC105" i="2"/>
  <c r="U105" i="2"/>
  <c r="AF106" i="2" l="1"/>
  <c r="C106" i="2"/>
  <c r="J105" i="2"/>
  <c r="W105" i="2"/>
  <c r="X105" i="2" s="1"/>
  <c r="AD105" i="2"/>
  <c r="L105" i="2" s="1"/>
  <c r="I105" i="2" l="1"/>
  <c r="D106" i="2"/>
  <c r="E106" i="2" s="1"/>
  <c r="T106" i="2" s="1"/>
  <c r="K105" i="2"/>
  <c r="V106" i="2" l="1"/>
  <c r="N105" i="2"/>
  <c r="M105" i="2" s="1"/>
  <c r="P105" i="2" s="1"/>
  <c r="AG105" i="2" l="1"/>
  <c r="O105" i="2"/>
  <c r="R105" i="2" l="1"/>
  <c r="Q105" i="2"/>
  <c r="S105" i="2" l="1"/>
  <c r="Z105" i="2" s="1"/>
  <c r="Y105" i="2" l="1"/>
  <c r="AA105" i="2" s="1"/>
  <c r="AB106" i="2" s="1"/>
  <c r="B107" i="2" l="1"/>
  <c r="G106" i="2"/>
  <c r="H106" i="2" s="1"/>
  <c r="F106" i="2"/>
  <c r="AE106" i="2"/>
  <c r="AC106" i="2"/>
  <c r="U106" i="2"/>
  <c r="J106" i="2" l="1"/>
  <c r="W106" i="2"/>
  <c r="X106" i="2" s="1"/>
  <c r="AF107" i="2"/>
  <c r="C107" i="2"/>
  <c r="AD106" i="2"/>
  <c r="L106" i="2" s="1"/>
  <c r="I106" i="2" l="1"/>
  <c r="D107" i="2"/>
  <c r="E107" i="2" s="1"/>
  <c r="T107" i="2" s="1"/>
  <c r="K106" i="2"/>
  <c r="V107" i="2" l="1"/>
  <c r="N106" i="2"/>
  <c r="M106" i="2" s="1"/>
  <c r="P106" i="2" s="1"/>
  <c r="AG106" i="2" l="1"/>
  <c r="O106" i="2"/>
  <c r="Q106" i="2" l="1"/>
  <c r="R106" i="2"/>
  <c r="S106" i="2" l="1"/>
  <c r="Z106" i="2" s="1"/>
  <c r="Y106" i="2" l="1"/>
  <c r="AA106" i="2" s="1"/>
  <c r="AB107" i="2" s="1"/>
  <c r="B108" i="2" l="1"/>
  <c r="G107" i="2"/>
  <c r="H107" i="2" s="1"/>
  <c r="F107" i="2"/>
  <c r="AE107" i="2"/>
  <c r="AC107" i="2"/>
  <c r="U107" i="2"/>
  <c r="AF108" i="2" l="1"/>
  <c r="C108" i="2"/>
  <c r="J107" i="2"/>
  <c r="W107" i="2"/>
  <c r="X107" i="2" s="1"/>
  <c r="AD107" i="2"/>
  <c r="L107" i="2" s="1"/>
  <c r="K107" i="2" l="1"/>
  <c r="D108" i="2"/>
  <c r="E108" i="2" s="1"/>
  <c r="T108" i="2" s="1"/>
  <c r="I107" i="2"/>
  <c r="N107" i="2" l="1"/>
  <c r="M107" i="2" s="1"/>
  <c r="P107" i="2" s="1"/>
  <c r="V108" i="2"/>
  <c r="AG107" i="2" l="1"/>
  <c r="O107" i="2"/>
  <c r="Q107" i="2" s="1"/>
  <c r="R107" i="2" l="1"/>
  <c r="S107" i="2" s="1"/>
  <c r="Y107" i="2" l="1"/>
  <c r="AA107" i="2" s="1"/>
  <c r="AB108" i="2" s="1"/>
  <c r="Z107" i="2"/>
  <c r="B109" i="2" l="1"/>
  <c r="G108" i="2"/>
  <c r="H108" i="2" s="1"/>
  <c r="F108" i="2"/>
  <c r="AC108" i="2"/>
  <c r="AE108" i="2"/>
  <c r="U108" i="2"/>
  <c r="AD108" i="2" l="1"/>
  <c r="L108" i="2" s="1"/>
  <c r="AF109" i="2"/>
  <c r="C109" i="2"/>
  <c r="J108" i="2"/>
  <c r="W108" i="2"/>
  <c r="X108" i="2" s="1"/>
  <c r="I108" i="2" l="1"/>
  <c r="K108" i="2"/>
  <c r="D109" i="2"/>
  <c r="E109" i="2" s="1"/>
  <c r="T109" i="2" s="1"/>
  <c r="V109" i="2" l="1"/>
  <c r="N108" i="2"/>
  <c r="M108" i="2" s="1"/>
  <c r="P108" i="2" s="1"/>
  <c r="AG108" i="2" l="1"/>
  <c r="O108" i="2"/>
  <c r="R108" i="2" l="1"/>
  <c r="Q108" i="2"/>
  <c r="S108" i="2" l="1"/>
  <c r="Z108" i="2" s="1"/>
  <c r="Y108" i="2" l="1"/>
  <c r="AA108" i="2" s="1"/>
  <c r="AB109" i="2" s="1"/>
  <c r="B110" i="2" l="1"/>
  <c r="G109" i="2"/>
  <c r="H109" i="2" s="1"/>
  <c r="F109" i="2"/>
  <c r="AE109" i="2"/>
  <c r="AC109" i="2"/>
  <c r="U109" i="2"/>
  <c r="AF110" i="2" l="1"/>
  <c r="C110" i="2"/>
  <c r="J109" i="2"/>
  <c r="W109" i="2"/>
  <c r="X109" i="2" s="1"/>
  <c r="AD109" i="2"/>
  <c r="L109" i="2" s="1"/>
  <c r="D110" i="2" l="1"/>
  <c r="E110" i="2" s="1"/>
  <c r="T110" i="2" s="1"/>
  <c r="K109" i="2"/>
  <c r="I109" i="2"/>
  <c r="N109" i="2" l="1"/>
  <c r="M109" i="2" s="1"/>
  <c r="P109" i="2" s="1"/>
  <c r="V110" i="2"/>
  <c r="AG109" i="2" l="1"/>
  <c r="O109" i="2"/>
  <c r="R109" i="2" s="1"/>
  <c r="Q109" i="2" l="1"/>
  <c r="S109" i="2" s="1"/>
  <c r="Y109" i="2" s="1"/>
  <c r="AA109" i="2" s="1"/>
  <c r="Z109" i="2" l="1"/>
  <c r="AB110" i="2"/>
  <c r="B111" i="2" l="1"/>
  <c r="G110" i="2"/>
  <c r="H110" i="2" s="1"/>
  <c r="F110" i="2"/>
  <c r="AC110" i="2"/>
  <c r="AE110" i="2"/>
  <c r="U110" i="2"/>
  <c r="AD110" i="2" l="1"/>
  <c r="L110" i="2" s="1"/>
  <c r="C111" i="2"/>
  <c r="AF111" i="2"/>
  <c r="J110" i="2"/>
  <c r="W110" i="2"/>
  <c r="X110" i="2" s="1"/>
  <c r="K110" i="2" l="1"/>
  <c r="D111" i="2"/>
  <c r="E111" i="2" s="1"/>
  <c r="T111" i="2" s="1"/>
  <c r="I110" i="2"/>
  <c r="N110" i="2" l="1"/>
  <c r="M110" i="2" s="1"/>
  <c r="P110" i="2" s="1"/>
  <c r="V111" i="2"/>
  <c r="AG110" i="2" l="1"/>
  <c r="O110" i="2"/>
  <c r="Q110" i="2" s="1"/>
  <c r="R110" i="2" l="1"/>
  <c r="S110" i="2" s="1"/>
  <c r="Y110" i="2" l="1"/>
  <c r="AA110" i="2" s="1"/>
  <c r="AB111" i="2" s="1"/>
  <c r="Z110" i="2"/>
  <c r="B112" i="2" l="1"/>
  <c r="G111" i="2"/>
  <c r="H111" i="2" s="1"/>
  <c r="F111" i="2"/>
  <c r="AC111" i="2"/>
  <c r="AE111" i="2"/>
  <c r="U111" i="2"/>
  <c r="AD111" i="2" l="1"/>
  <c r="L111" i="2" s="1"/>
  <c r="AF112" i="2"/>
  <c r="C112" i="2"/>
  <c r="J111" i="2"/>
  <c r="W111" i="2"/>
  <c r="X111" i="2" s="1"/>
  <c r="I111" i="2" l="1"/>
  <c r="D112" i="2"/>
  <c r="E112" i="2" s="1"/>
  <c r="T112" i="2" s="1"/>
  <c r="K111" i="2"/>
  <c r="V112" i="2" l="1"/>
  <c r="N111" i="2"/>
  <c r="M111" i="2" s="1"/>
  <c r="P111" i="2" s="1"/>
  <c r="AG111" i="2" l="1"/>
  <c r="O111" i="2"/>
  <c r="R111" i="2" l="1"/>
  <c r="Q111" i="2"/>
  <c r="S111" i="2" l="1"/>
  <c r="Z111" i="2" s="1"/>
  <c r="Y111" i="2" l="1"/>
  <c r="AA111" i="2" s="1"/>
  <c r="AB112" i="2" s="1"/>
  <c r="B113" i="2" l="1"/>
  <c r="G112" i="2"/>
  <c r="H112" i="2" s="1"/>
  <c r="F112" i="2"/>
  <c r="AC112" i="2"/>
  <c r="AE112" i="2"/>
  <c r="U112" i="2"/>
  <c r="J112" i="2" l="1"/>
  <c r="W112" i="2"/>
  <c r="X112" i="2" s="1"/>
  <c r="AD112" i="2"/>
  <c r="L112" i="2" s="1"/>
  <c r="AF113" i="2"/>
  <c r="C113" i="2"/>
  <c r="D113" i="2" l="1"/>
  <c r="E113" i="2" s="1"/>
  <c r="T113" i="2" s="1"/>
  <c r="K112" i="2"/>
  <c r="I112" i="2"/>
  <c r="N112" i="2" l="1"/>
  <c r="M112" i="2" s="1"/>
  <c r="P112" i="2" s="1"/>
  <c r="V113" i="2"/>
  <c r="AG112" i="2" l="1"/>
  <c r="O112" i="2"/>
  <c r="Q112" i="2" s="1"/>
  <c r="R112" i="2" l="1"/>
  <c r="S112" i="2" s="1"/>
  <c r="Y112" i="2" l="1"/>
  <c r="AA112" i="2" s="1"/>
  <c r="AB113" i="2" s="1"/>
  <c r="Z112" i="2"/>
  <c r="B114" i="2" l="1"/>
  <c r="G113" i="2"/>
  <c r="H113" i="2" s="1"/>
  <c r="F113" i="2"/>
  <c r="AE113" i="2"/>
  <c r="AC113" i="2"/>
  <c r="U113" i="2"/>
  <c r="AF114" i="2" l="1"/>
  <c r="C114" i="2"/>
  <c r="J113" i="2"/>
  <c r="W113" i="2"/>
  <c r="X113" i="2" s="1"/>
  <c r="AD113" i="2"/>
  <c r="L113" i="2" s="1"/>
  <c r="K113" i="2" l="1"/>
  <c r="D114" i="2"/>
  <c r="E114" i="2" s="1"/>
  <c r="T114" i="2" s="1"/>
  <c r="I113" i="2"/>
  <c r="N113" i="2" l="1"/>
  <c r="M113" i="2" s="1"/>
  <c r="P113" i="2" s="1"/>
  <c r="V114" i="2"/>
  <c r="AG113" i="2" l="1"/>
  <c r="O113" i="2"/>
  <c r="Q113" i="2" s="1"/>
  <c r="R113" i="2" l="1"/>
  <c r="S113" i="2" s="1"/>
  <c r="Y113" i="2" s="1"/>
  <c r="AA113" i="2" s="1"/>
  <c r="Z113" i="2" l="1"/>
  <c r="AB114" i="2"/>
  <c r="B115" i="2" l="1"/>
  <c r="G114" i="2"/>
  <c r="H114" i="2" s="1"/>
  <c r="F114" i="2"/>
  <c r="AC114" i="2"/>
  <c r="AE114" i="2"/>
  <c r="U114" i="2"/>
  <c r="AF115" i="2" l="1"/>
  <c r="C115" i="2"/>
  <c r="J114" i="2"/>
  <c r="W114" i="2"/>
  <c r="X114" i="2" s="1"/>
  <c r="AD114" i="2"/>
  <c r="L114" i="2" s="1"/>
  <c r="I114" i="2" l="1"/>
  <c r="D115" i="2"/>
  <c r="E115" i="2" s="1"/>
  <c r="T115" i="2" s="1"/>
  <c r="K114" i="2"/>
  <c r="V115" i="2" l="1"/>
  <c r="N114" i="2"/>
  <c r="M114" i="2" s="1"/>
  <c r="P114" i="2" s="1"/>
  <c r="AG114" i="2" l="1"/>
  <c r="O114" i="2"/>
  <c r="R114" i="2" l="1"/>
  <c r="Q114" i="2"/>
  <c r="S114" i="2" l="1"/>
  <c r="Z114" i="2" s="1"/>
  <c r="Y114" i="2" l="1"/>
  <c r="AA114" i="2" s="1"/>
  <c r="AB115" i="2" s="1"/>
  <c r="B116" i="2" l="1"/>
  <c r="G115" i="2"/>
  <c r="H115" i="2" s="1"/>
  <c r="F115" i="2"/>
  <c r="AC115" i="2"/>
  <c r="AE115" i="2"/>
  <c r="U115" i="2"/>
  <c r="AD115" i="2" l="1"/>
  <c r="L115" i="2" s="1"/>
  <c r="J115" i="2"/>
  <c r="W115" i="2"/>
  <c r="X115" i="2" s="1"/>
  <c r="AF116" i="2"/>
  <c r="C116" i="2"/>
  <c r="K115" i="2" l="1"/>
  <c r="I115" i="2"/>
  <c r="D116" i="2"/>
  <c r="E116" i="2" s="1"/>
  <c r="T116" i="2" s="1"/>
  <c r="N115" i="2" l="1"/>
  <c r="M115" i="2" s="1"/>
  <c r="P115" i="2" s="1"/>
  <c r="V116" i="2"/>
  <c r="AG115" i="2" l="1"/>
  <c r="O115" i="2"/>
  <c r="Q115" i="2" s="1"/>
  <c r="R115" i="2" l="1"/>
  <c r="S115" i="2" s="1"/>
  <c r="Y115" i="2" s="1"/>
  <c r="AA115" i="2" s="1"/>
  <c r="Z115" i="2" l="1"/>
  <c r="AB116" i="2"/>
  <c r="B117" i="2" l="1"/>
  <c r="G116" i="2"/>
  <c r="H116" i="2" s="1"/>
  <c r="F116" i="2"/>
  <c r="AC116" i="2"/>
  <c r="AE116" i="2"/>
  <c r="U116" i="2"/>
  <c r="C117" i="2" l="1"/>
  <c r="AF117" i="2"/>
  <c r="J116" i="2"/>
  <c r="W116" i="2"/>
  <c r="X116" i="2" s="1"/>
  <c r="AD116" i="2"/>
  <c r="L116" i="2" s="1"/>
  <c r="I116" i="2" l="1"/>
  <c r="K116" i="2"/>
  <c r="D117" i="2"/>
  <c r="E117" i="2" s="1"/>
  <c r="T117" i="2" s="1"/>
  <c r="N116" i="2" l="1"/>
  <c r="M116" i="2" s="1"/>
  <c r="P116" i="2" s="1"/>
  <c r="V117" i="2"/>
  <c r="AG116" i="2" l="1"/>
  <c r="O116" i="2"/>
  <c r="R116" i="2" s="1"/>
  <c r="Q116" i="2" l="1"/>
  <c r="S116" i="2" s="1"/>
  <c r="Y116" i="2" s="1"/>
  <c r="AA116" i="2" s="1"/>
  <c r="Z116" i="2" l="1"/>
  <c r="AB117" i="2"/>
  <c r="B118" i="2" l="1"/>
  <c r="G117" i="2"/>
  <c r="H117" i="2" s="1"/>
  <c r="F117" i="2"/>
  <c r="AC117" i="2"/>
  <c r="AE117" i="2"/>
  <c r="U117" i="2"/>
  <c r="AF118" i="2" l="1"/>
  <c r="C118" i="2"/>
  <c r="J117" i="2"/>
  <c r="W117" i="2"/>
  <c r="X117" i="2" s="1"/>
  <c r="AD117" i="2"/>
  <c r="L117" i="2" s="1"/>
  <c r="I117" i="2" l="1"/>
  <c r="D118" i="2"/>
  <c r="E118" i="2" s="1"/>
  <c r="T118" i="2" s="1"/>
  <c r="K117" i="2"/>
  <c r="V118" i="2" l="1"/>
  <c r="N117" i="2"/>
  <c r="M117" i="2" s="1"/>
  <c r="P117" i="2" s="1"/>
  <c r="AG117" i="2" l="1"/>
  <c r="O117" i="2"/>
  <c r="R117" i="2" l="1"/>
  <c r="Q117" i="2"/>
  <c r="S117" i="2" l="1"/>
  <c r="Z117" i="2" s="1"/>
  <c r="Y117" i="2" l="1"/>
  <c r="AA117" i="2" s="1"/>
  <c r="AB118" i="2" s="1"/>
  <c r="B119" i="2" l="1"/>
  <c r="G118" i="2"/>
  <c r="H118" i="2" s="1"/>
  <c r="F118" i="2"/>
  <c r="AC118" i="2"/>
  <c r="AE118" i="2"/>
  <c r="U118" i="2"/>
  <c r="AD118" i="2" l="1"/>
  <c r="L118" i="2" s="1"/>
  <c r="C119" i="2"/>
  <c r="AF119" i="2"/>
  <c r="J118" i="2"/>
  <c r="W118" i="2"/>
  <c r="X118" i="2" s="1"/>
  <c r="I118" i="2" l="1"/>
  <c r="D119" i="2"/>
  <c r="E119" i="2" s="1"/>
  <c r="T119" i="2" s="1"/>
  <c r="K118" i="2"/>
  <c r="V119" i="2" l="1"/>
  <c r="N118" i="2"/>
  <c r="M118" i="2" s="1"/>
  <c r="P118" i="2" s="1"/>
  <c r="AG118" i="2" l="1"/>
  <c r="O118" i="2"/>
  <c r="Q118" i="2" l="1"/>
  <c r="R118" i="2"/>
  <c r="S118" i="2" l="1"/>
  <c r="Y118" i="2" l="1"/>
  <c r="AA118" i="2" s="1"/>
  <c r="AB119" i="2" s="1"/>
  <c r="Z118" i="2"/>
  <c r="B120" i="2" l="1"/>
  <c r="G119" i="2"/>
  <c r="H119" i="2" s="1"/>
  <c r="F119" i="2"/>
  <c r="AC119" i="2"/>
  <c r="AE119" i="2"/>
  <c r="U119" i="2"/>
  <c r="J119" i="2" l="1"/>
  <c r="W119" i="2"/>
  <c r="X119" i="2" s="1"/>
  <c r="AD119" i="2"/>
  <c r="L119" i="2" s="1"/>
  <c r="AF120" i="2"/>
  <c r="C120" i="2"/>
  <c r="I119" i="2" l="1"/>
  <c r="D120" i="2"/>
  <c r="E120" i="2" s="1"/>
  <c r="T120" i="2" s="1"/>
  <c r="K119" i="2"/>
  <c r="V120" i="2" l="1"/>
  <c r="N119" i="2"/>
  <c r="M119" i="2" s="1"/>
  <c r="P119" i="2" s="1"/>
  <c r="AG119" i="2" l="1"/>
  <c r="O119" i="2"/>
  <c r="R119" i="2" l="1"/>
  <c r="Q119" i="2"/>
  <c r="S119" i="2" l="1"/>
  <c r="Z119" i="2" s="1"/>
  <c r="Y119" i="2" l="1"/>
  <c r="AA119" i="2" s="1"/>
  <c r="AB120" i="2" s="1"/>
  <c r="B121" i="2" l="1"/>
  <c r="G120" i="2"/>
  <c r="H120" i="2" s="1"/>
  <c r="F120" i="2"/>
  <c r="AC120" i="2"/>
  <c r="AE120" i="2"/>
  <c r="U120" i="2"/>
  <c r="AF121" i="2" l="1"/>
  <c r="C121" i="2"/>
  <c r="J120" i="2"/>
  <c r="W120" i="2"/>
  <c r="X120" i="2" s="1"/>
  <c r="AD120" i="2"/>
  <c r="L120" i="2" s="1"/>
  <c r="I120" i="2" l="1"/>
  <c r="D121" i="2"/>
  <c r="E121" i="2" s="1"/>
  <c r="T121" i="2" s="1"/>
  <c r="K120" i="2"/>
  <c r="V121" i="2" l="1"/>
  <c r="N120" i="2"/>
  <c r="M120" i="2" s="1"/>
  <c r="P120" i="2" s="1"/>
  <c r="AG120" i="2" l="1"/>
  <c r="O120" i="2"/>
  <c r="R120" i="2" l="1"/>
  <c r="Q120" i="2"/>
  <c r="S120" i="2" l="1"/>
  <c r="Z120" i="2" s="1"/>
  <c r="Y120" i="2" l="1"/>
  <c r="AA120" i="2" s="1"/>
  <c r="AB121" i="2" s="1"/>
  <c r="B122" i="2" l="1"/>
  <c r="G121" i="2"/>
  <c r="H121" i="2" s="1"/>
  <c r="F121" i="2"/>
  <c r="AC121" i="2"/>
  <c r="AE121" i="2"/>
  <c r="U121" i="2"/>
  <c r="J121" i="2" l="1"/>
  <c r="W121" i="2"/>
  <c r="X121" i="2" s="1"/>
  <c r="AF122" i="2"/>
  <c r="C122" i="2"/>
  <c r="AD121" i="2"/>
  <c r="L121" i="2" s="1"/>
  <c r="K121" i="2" l="1"/>
  <c r="D122" i="2"/>
  <c r="E122" i="2" s="1"/>
  <c r="T122" i="2" s="1"/>
  <c r="I121" i="2"/>
  <c r="N121" i="2" l="1"/>
  <c r="M121" i="2" s="1"/>
  <c r="P121" i="2" s="1"/>
  <c r="V122" i="2"/>
  <c r="AG121" i="2" l="1"/>
  <c r="O121" i="2"/>
  <c r="Q121" i="2" s="1"/>
  <c r="R121" i="2" l="1"/>
  <c r="S121" i="2" s="1"/>
  <c r="Y121" i="2" l="1"/>
  <c r="AA121" i="2" s="1"/>
  <c r="Z121" i="2"/>
  <c r="AB122" i="2" l="1"/>
  <c r="B123" i="2" l="1"/>
  <c r="G122" i="2"/>
  <c r="H122" i="2" s="1"/>
  <c r="F122" i="2"/>
  <c r="AC122" i="2"/>
  <c r="AE122" i="2"/>
  <c r="U122" i="2"/>
  <c r="AD122" i="2" l="1"/>
  <c r="L122" i="2" s="1"/>
  <c r="AF123" i="2"/>
  <c r="C123" i="2"/>
  <c r="J122" i="2"/>
  <c r="W122" i="2"/>
  <c r="X122" i="2" s="1"/>
  <c r="I122" i="2" l="1"/>
  <c r="K122" i="2"/>
  <c r="D123" i="2"/>
  <c r="E123" i="2" s="1"/>
  <c r="T123" i="2" s="1"/>
  <c r="V123" i="2" l="1"/>
  <c r="N122" i="2"/>
  <c r="M122" i="2" s="1"/>
  <c r="P122" i="2" s="1"/>
  <c r="AG122" i="2" l="1"/>
  <c r="O122" i="2"/>
  <c r="R122" i="2" l="1"/>
  <c r="Q122" i="2"/>
  <c r="S122" i="2" l="1"/>
  <c r="Z122" i="2" s="1"/>
  <c r="Y122" i="2" l="1"/>
  <c r="AA122" i="2" s="1"/>
  <c r="AB123" i="2" s="1"/>
  <c r="B124" i="2" l="1"/>
  <c r="G123" i="2"/>
  <c r="H123" i="2" s="1"/>
  <c r="F123" i="2"/>
  <c r="AC123" i="2"/>
  <c r="AE123" i="2"/>
  <c r="U123" i="2"/>
  <c r="J123" i="2" l="1"/>
  <c r="W123" i="2"/>
  <c r="X123" i="2" s="1"/>
  <c r="C124" i="2"/>
  <c r="AF124" i="2"/>
  <c r="AD123" i="2"/>
  <c r="L123" i="2" s="1"/>
  <c r="D124" i="2" l="1"/>
  <c r="E124" i="2" s="1"/>
  <c r="T124" i="2" s="1"/>
  <c r="K123" i="2"/>
  <c r="I123" i="2"/>
  <c r="N123" i="2" l="1"/>
  <c r="M123" i="2" s="1"/>
  <c r="P123" i="2" s="1"/>
  <c r="V124" i="2"/>
  <c r="AG123" i="2" l="1"/>
  <c r="O123" i="2"/>
  <c r="Q123" i="2" s="1"/>
  <c r="R123" i="2" l="1"/>
  <c r="S123" i="2" s="1"/>
  <c r="Y123" i="2" l="1"/>
  <c r="AA123" i="2" s="1"/>
  <c r="AB124" i="2" s="1"/>
  <c r="Z123" i="2"/>
  <c r="B125" i="2" l="1"/>
  <c r="G124" i="2"/>
  <c r="H124" i="2" s="1"/>
  <c r="F124" i="2"/>
  <c r="AC124" i="2"/>
  <c r="AE124" i="2"/>
  <c r="U124" i="2"/>
  <c r="AF125" i="2" l="1"/>
  <c r="C125" i="2"/>
  <c r="AD124" i="2"/>
  <c r="L124" i="2" s="1"/>
  <c r="J124" i="2"/>
  <c r="W124" i="2"/>
  <c r="X124" i="2" s="1"/>
  <c r="K124" i="2" l="1"/>
  <c r="I124" i="2"/>
  <c r="D125" i="2"/>
  <c r="E125" i="2" s="1"/>
  <c r="T125" i="2" s="1"/>
  <c r="N124" i="2" l="1"/>
  <c r="M124" i="2" s="1"/>
  <c r="P124" i="2" s="1"/>
  <c r="V125" i="2"/>
  <c r="AG124" i="2" l="1"/>
  <c r="O124" i="2"/>
  <c r="Q124" i="2" s="1"/>
  <c r="R124" i="2" l="1"/>
  <c r="S124" i="2" s="1"/>
  <c r="Y124" i="2" l="1"/>
  <c r="AA124" i="2" s="1"/>
  <c r="AB125" i="2" s="1"/>
  <c r="Z124" i="2"/>
  <c r="B126" i="2" l="1"/>
  <c r="G125" i="2"/>
  <c r="H125" i="2" s="1"/>
  <c r="F125" i="2"/>
  <c r="AC125" i="2"/>
  <c r="AE125" i="2"/>
  <c r="U125" i="2"/>
  <c r="AD125" i="2" l="1"/>
  <c r="L125" i="2" s="1"/>
  <c r="AF126" i="2"/>
  <c r="C126" i="2"/>
  <c r="J125" i="2"/>
  <c r="W125" i="2"/>
  <c r="X125" i="2" s="1"/>
  <c r="I125" i="2" l="1"/>
  <c r="K125" i="2"/>
  <c r="D126" i="2"/>
  <c r="E126" i="2" s="1"/>
  <c r="T126" i="2" s="1"/>
  <c r="V126" i="2" l="1"/>
  <c r="N125" i="2"/>
  <c r="M125" i="2" s="1"/>
  <c r="P125" i="2" s="1"/>
  <c r="AG125" i="2" l="1"/>
  <c r="O125" i="2"/>
  <c r="R125" i="2" l="1"/>
  <c r="Q125" i="2"/>
  <c r="S125" i="2" l="1"/>
  <c r="Z125" i="2" s="1"/>
  <c r="Y125" i="2" l="1"/>
  <c r="AA125" i="2" s="1"/>
  <c r="AB126" i="2" s="1"/>
  <c r="B127" i="2" l="1"/>
  <c r="G126" i="2"/>
  <c r="H126" i="2" s="1"/>
  <c r="F126" i="2"/>
  <c r="AC126" i="2"/>
  <c r="AE126" i="2"/>
  <c r="U126" i="2"/>
  <c r="AD126" i="2" l="1"/>
  <c r="L126" i="2" s="1"/>
  <c r="AF127" i="2"/>
  <c r="C127" i="2"/>
  <c r="J126" i="2"/>
  <c r="W126" i="2"/>
  <c r="X126" i="2" s="1"/>
  <c r="K126" i="2" l="1"/>
  <c r="I126" i="2"/>
  <c r="D127" i="2"/>
  <c r="E127" i="2" s="1"/>
  <c r="T127" i="2" s="1"/>
  <c r="V127" i="2" l="1"/>
  <c r="N126" i="2"/>
  <c r="M126" i="2" s="1"/>
  <c r="P126" i="2" s="1"/>
  <c r="AG126" i="2" l="1"/>
  <c r="O126" i="2"/>
  <c r="R126" i="2" l="1"/>
  <c r="Q126" i="2"/>
  <c r="S126" i="2" l="1"/>
  <c r="Z126" i="2" s="1"/>
  <c r="Y126" i="2" l="1"/>
  <c r="AA126" i="2" s="1"/>
  <c r="AB127" i="2" s="1"/>
  <c r="B128" i="2" l="1"/>
  <c r="G127" i="2"/>
  <c r="H127" i="2" s="1"/>
  <c r="F127" i="2"/>
  <c r="AC127" i="2"/>
  <c r="AE127" i="2"/>
  <c r="U127" i="2"/>
  <c r="J127" i="2" l="1"/>
  <c r="W127" i="2"/>
  <c r="X127" i="2" s="1"/>
  <c r="AF128" i="2"/>
  <c r="C128" i="2"/>
  <c r="AD127" i="2"/>
  <c r="L127" i="2" s="1"/>
  <c r="K127" i="2" l="1"/>
  <c r="D128" i="2"/>
  <c r="E128" i="2" s="1"/>
  <c r="T128" i="2" s="1"/>
  <c r="I127" i="2"/>
  <c r="N127" i="2" l="1"/>
  <c r="M127" i="2" s="1"/>
  <c r="V128" i="2"/>
  <c r="P127" i="2" l="1"/>
  <c r="AG127" i="2" s="1"/>
  <c r="O127" i="2"/>
  <c r="R127" i="2" s="1"/>
  <c r="Q127" i="2" l="1"/>
  <c r="S127" i="2" s="1"/>
  <c r="Y127" i="2" s="1"/>
  <c r="AA127" i="2" s="1"/>
  <c r="Z127" i="2" l="1"/>
  <c r="AB128" i="2"/>
  <c r="B129" i="2" l="1"/>
  <c r="G128" i="2"/>
  <c r="H128" i="2" s="1"/>
  <c r="F128" i="2"/>
  <c r="AC128" i="2"/>
  <c r="AE128" i="2"/>
  <c r="U128" i="2"/>
  <c r="AF129" i="2" l="1"/>
  <c r="C129" i="2"/>
  <c r="J128" i="2"/>
  <c r="W128" i="2"/>
  <c r="X128" i="2" s="1"/>
  <c r="AD128" i="2"/>
  <c r="L128" i="2" s="1"/>
  <c r="K128" i="2" l="1"/>
  <c r="D129" i="2"/>
  <c r="E129" i="2" s="1"/>
  <c r="T129" i="2" s="1"/>
  <c r="I128" i="2"/>
  <c r="N128" i="2" l="1"/>
  <c r="M128" i="2" s="1"/>
  <c r="P128" i="2" s="1"/>
  <c r="V129" i="2"/>
  <c r="AG128" i="2" l="1"/>
  <c r="O128" i="2"/>
  <c r="Q128" i="2" s="1"/>
  <c r="R128" i="2" l="1"/>
  <c r="S128" i="2" s="1"/>
  <c r="Z128" i="2" s="1"/>
  <c r="Y128" i="2" l="1"/>
  <c r="AA128" i="2" s="1"/>
  <c r="AB129" i="2" s="1"/>
  <c r="B130" i="2" l="1"/>
  <c r="G129" i="2"/>
  <c r="H129" i="2" s="1"/>
  <c r="F129" i="2"/>
  <c r="AC129" i="2"/>
  <c r="AE129" i="2"/>
  <c r="U129" i="2"/>
  <c r="AD129" i="2" l="1"/>
  <c r="L129" i="2" s="1"/>
  <c r="AF130" i="2"/>
  <c r="C130" i="2"/>
  <c r="J129" i="2"/>
  <c r="W129" i="2"/>
  <c r="X129" i="2" s="1"/>
  <c r="I129" i="2" l="1"/>
  <c r="D130" i="2"/>
  <c r="E130" i="2" s="1"/>
  <c r="T130" i="2" s="1"/>
  <c r="K129" i="2"/>
  <c r="N129" i="2" l="1"/>
  <c r="M129" i="2" s="1"/>
  <c r="P129" i="2" s="1"/>
  <c r="V130" i="2"/>
  <c r="AG129" i="2" l="1"/>
  <c r="O129" i="2"/>
  <c r="Q129" i="2" s="1"/>
  <c r="R129" i="2" l="1"/>
  <c r="S129" i="2" s="1"/>
  <c r="Y129" i="2" s="1"/>
  <c r="AA129" i="2" s="1"/>
  <c r="Z129" i="2" l="1"/>
  <c r="AB130" i="2"/>
  <c r="B131" i="2" l="1"/>
  <c r="G130" i="2"/>
  <c r="H130" i="2" s="1"/>
  <c r="F130" i="2"/>
  <c r="AC130" i="2"/>
  <c r="AE130" i="2"/>
  <c r="U130" i="2"/>
  <c r="AD130" i="2" l="1"/>
  <c r="L130" i="2" s="1"/>
  <c r="C131" i="2"/>
  <c r="AF131" i="2"/>
  <c r="J130" i="2"/>
  <c r="W130" i="2"/>
  <c r="X130" i="2" s="1"/>
  <c r="I130" i="2" l="1"/>
  <c r="D131" i="2"/>
  <c r="E131" i="2" s="1"/>
  <c r="T131" i="2" s="1"/>
  <c r="K130" i="2"/>
  <c r="V131" i="2" l="1"/>
  <c r="N130" i="2"/>
  <c r="M130" i="2" s="1"/>
  <c r="P130" i="2" s="1"/>
  <c r="AG130" i="2" l="1"/>
  <c r="O130" i="2"/>
  <c r="R130" i="2" l="1"/>
  <c r="Q130" i="2"/>
  <c r="S130" i="2" l="1"/>
  <c r="Z130" i="2" s="1"/>
  <c r="Y130" i="2" l="1"/>
  <c r="AA130" i="2" s="1"/>
  <c r="AB131" i="2" s="1"/>
  <c r="B132" i="2" l="1"/>
  <c r="G131" i="2"/>
  <c r="H131" i="2" s="1"/>
  <c r="F131" i="2"/>
  <c r="AC131" i="2"/>
  <c r="AE131" i="2"/>
  <c r="U131" i="2"/>
  <c r="J131" i="2" l="1"/>
  <c r="W131" i="2"/>
  <c r="X131" i="2" s="1"/>
  <c r="AF132" i="2"/>
  <c r="C132" i="2"/>
  <c r="AD131" i="2"/>
  <c r="L131" i="2" s="1"/>
  <c r="D132" i="2" l="1"/>
  <c r="E132" i="2" s="1"/>
  <c r="T132" i="2" s="1"/>
  <c r="K131" i="2"/>
  <c r="I131" i="2"/>
  <c r="N131" i="2" l="1"/>
  <c r="M131" i="2" s="1"/>
  <c r="P131" i="2" s="1"/>
  <c r="V132" i="2"/>
  <c r="AG131" i="2" l="1"/>
  <c r="O131" i="2"/>
  <c r="Q131" i="2" s="1"/>
  <c r="R131" i="2" l="1"/>
  <c r="S131" i="2" s="1"/>
  <c r="Y131" i="2" l="1"/>
  <c r="AA131" i="2" s="1"/>
  <c r="AB132" i="2" s="1"/>
  <c r="Z131" i="2"/>
  <c r="B133" i="2" l="1"/>
  <c r="G132" i="2"/>
  <c r="H132" i="2" s="1"/>
  <c r="F132" i="2"/>
  <c r="AC132" i="2"/>
  <c r="AE132" i="2"/>
  <c r="U132" i="2"/>
  <c r="AD132" i="2" l="1"/>
  <c r="L132" i="2" s="1"/>
  <c r="AF133" i="2"/>
  <c r="C133" i="2"/>
  <c r="J132" i="2"/>
  <c r="W132" i="2"/>
  <c r="X132" i="2" s="1"/>
  <c r="K132" i="2" l="1"/>
  <c r="I132" i="2"/>
  <c r="D133" i="2"/>
  <c r="E133" i="2" s="1"/>
  <c r="T133" i="2" s="1"/>
  <c r="V133" i="2" l="1"/>
  <c r="N132" i="2"/>
  <c r="M132" i="2" s="1"/>
  <c r="P132" i="2" s="1"/>
  <c r="AG132" i="2" l="1"/>
  <c r="O132" i="2"/>
  <c r="R132" i="2" l="1"/>
  <c r="Q132" i="2"/>
  <c r="S132" i="2" l="1"/>
  <c r="Y132" i="2" s="1"/>
  <c r="AA132" i="2" s="1"/>
  <c r="Z132" i="2" l="1"/>
  <c r="AB133" i="2"/>
  <c r="B134" i="2" l="1"/>
  <c r="G133" i="2"/>
  <c r="H133" i="2" s="1"/>
  <c r="F133" i="2"/>
  <c r="AC133" i="2"/>
  <c r="AE133" i="2"/>
  <c r="U133" i="2"/>
  <c r="J133" i="2" l="1"/>
  <c r="W133" i="2"/>
  <c r="X133" i="2" s="1"/>
  <c r="AF134" i="2"/>
  <c r="C134" i="2"/>
  <c r="AD133" i="2"/>
  <c r="L133" i="2" s="1"/>
  <c r="I133" i="2" l="1"/>
  <c r="D134" i="2"/>
  <c r="E134" i="2" s="1"/>
  <c r="T134" i="2" s="1"/>
  <c r="K133" i="2"/>
  <c r="V134" i="2" l="1"/>
  <c r="N133" i="2"/>
  <c r="M133" i="2" s="1"/>
  <c r="P133" i="2" s="1"/>
  <c r="AG133" i="2" l="1"/>
  <c r="O133" i="2"/>
  <c r="R133" i="2" l="1"/>
  <c r="Q133" i="2"/>
  <c r="S133" i="2" l="1"/>
  <c r="Z133" i="2" s="1"/>
  <c r="Y133" i="2" l="1"/>
  <c r="AA133" i="2" s="1"/>
  <c r="AB134" i="2" s="1"/>
  <c r="B135" i="2" l="1"/>
  <c r="G134" i="2"/>
  <c r="H134" i="2" s="1"/>
  <c r="F134" i="2"/>
  <c r="AC134" i="2"/>
  <c r="AE134" i="2"/>
  <c r="U134" i="2"/>
  <c r="J134" i="2" l="1"/>
  <c r="W134" i="2"/>
  <c r="X134" i="2" s="1"/>
  <c r="C135" i="2"/>
  <c r="AF135" i="2"/>
  <c r="AD134" i="2"/>
  <c r="L134" i="2" s="1"/>
  <c r="D135" i="2" l="1"/>
  <c r="E135" i="2" s="1"/>
  <c r="T135" i="2" s="1"/>
  <c r="K134" i="2"/>
  <c r="I134" i="2"/>
  <c r="N134" i="2" l="1"/>
  <c r="M134" i="2" s="1"/>
  <c r="P134" i="2" s="1"/>
  <c r="V135" i="2"/>
  <c r="AG134" i="2" l="1"/>
  <c r="O134" i="2"/>
  <c r="R134" i="2" s="1"/>
  <c r="Q134" i="2" l="1"/>
  <c r="S134" i="2" s="1"/>
  <c r="Y134" i="2" l="1"/>
  <c r="AA134" i="2" s="1"/>
  <c r="AB135" i="2" s="1"/>
  <c r="Z134" i="2"/>
  <c r="B136" i="2" l="1"/>
  <c r="G135" i="2"/>
  <c r="H135" i="2" s="1"/>
  <c r="F135" i="2"/>
  <c r="AC135" i="2"/>
  <c r="AE135" i="2"/>
  <c r="U135" i="2"/>
  <c r="AF136" i="2" l="1"/>
  <c r="C136" i="2"/>
  <c r="J135" i="2"/>
  <c r="W135" i="2"/>
  <c r="X135" i="2" s="1"/>
  <c r="AD135" i="2"/>
  <c r="L135" i="2" s="1"/>
  <c r="D136" i="2" l="1"/>
  <c r="E136" i="2" s="1"/>
  <c r="T136" i="2" s="1"/>
  <c r="K135" i="2"/>
  <c r="I135" i="2"/>
  <c r="N135" i="2" l="1"/>
  <c r="M135" i="2" s="1"/>
  <c r="P135" i="2" s="1"/>
  <c r="V136" i="2"/>
  <c r="AG135" i="2" l="1"/>
  <c r="O135" i="2"/>
  <c r="R135" i="2" s="1"/>
  <c r="Q135" i="2" l="1"/>
  <c r="S135" i="2" s="1"/>
  <c r="Y135" i="2" s="1"/>
  <c r="AA135" i="2" s="1"/>
  <c r="Z135" i="2" l="1"/>
  <c r="AB136" i="2"/>
  <c r="B137" i="2" l="1"/>
  <c r="G136" i="2"/>
  <c r="H136" i="2" s="1"/>
  <c r="F136" i="2"/>
  <c r="AC136" i="2"/>
  <c r="AE136" i="2"/>
  <c r="U136" i="2"/>
  <c r="AF137" i="2" l="1"/>
  <c r="C137" i="2"/>
  <c r="J136" i="2"/>
  <c r="W136" i="2"/>
  <c r="X136" i="2" s="1"/>
  <c r="AD136" i="2"/>
  <c r="L136" i="2" s="1"/>
  <c r="I136" i="2" l="1"/>
  <c r="D137" i="2"/>
  <c r="E137" i="2" s="1"/>
  <c r="T137" i="2" s="1"/>
  <c r="K136" i="2"/>
  <c r="N136" i="2" l="1"/>
  <c r="M136" i="2" s="1"/>
  <c r="P136" i="2" s="1"/>
  <c r="V137" i="2"/>
  <c r="AG136" i="2" l="1"/>
  <c r="O136" i="2"/>
  <c r="R136" i="2" l="1"/>
  <c r="Q136" i="2"/>
  <c r="S136" i="2" l="1"/>
  <c r="Z136" i="2" s="1"/>
  <c r="Y136" i="2" l="1"/>
  <c r="AA136" i="2" s="1"/>
  <c r="AB137" i="2" s="1"/>
  <c r="B138" i="2" l="1"/>
  <c r="G137" i="2"/>
  <c r="H137" i="2" s="1"/>
  <c r="F137" i="2"/>
  <c r="AC137" i="2"/>
  <c r="AE137" i="2"/>
  <c r="U137" i="2"/>
  <c r="J137" i="2" l="1"/>
  <c r="W137" i="2"/>
  <c r="X137" i="2" s="1"/>
  <c r="AF138" i="2"/>
  <c r="C138" i="2"/>
  <c r="AD137" i="2"/>
  <c r="L137" i="2" s="1"/>
  <c r="K137" i="2" l="1"/>
  <c r="D138" i="2"/>
  <c r="E138" i="2" s="1"/>
  <c r="T138" i="2" s="1"/>
  <c r="I137" i="2"/>
  <c r="N137" i="2" l="1"/>
  <c r="M137" i="2" s="1"/>
  <c r="P137" i="2" s="1"/>
  <c r="V138" i="2"/>
  <c r="AG137" i="2" l="1"/>
  <c r="O137" i="2"/>
  <c r="Q137" i="2" s="1"/>
  <c r="R137" i="2" l="1"/>
  <c r="S137" i="2" s="1"/>
  <c r="Y137" i="2" s="1"/>
  <c r="AA137" i="2" s="1"/>
  <c r="Z137" i="2" l="1"/>
  <c r="AB138" i="2"/>
  <c r="B139" i="2" l="1"/>
  <c r="G138" i="2"/>
  <c r="H138" i="2" s="1"/>
  <c r="F138" i="2"/>
  <c r="AC138" i="2"/>
  <c r="AE138" i="2"/>
  <c r="U138" i="2"/>
  <c r="J138" i="2" l="1"/>
  <c r="W138" i="2"/>
  <c r="X138" i="2" s="1"/>
  <c r="AF139" i="2"/>
  <c r="C139" i="2"/>
  <c r="AD138" i="2"/>
  <c r="L138" i="2" s="1"/>
  <c r="K138" i="2" l="1"/>
  <c r="D139" i="2"/>
  <c r="E139" i="2" s="1"/>
  <c r="T139" i="2" s="1"/>
  <c r="I138" i="2"/>
  <c r="N138" i="2" l="1"/>
  <c r="M138" i="2" s="1"/>
  <c r="P138" i="2" s="1"/>
  <c r="V139" i="2"/>
  <c r="AG138" i="2" l="1"/>
  <c r="O138" i="2"/>
  <c r="R138" i="2" s="1"/>
  <c r="Q138" i="2" l="1"/>
  <c r="S138" i="2" s="1"/>
  <c r="Y138" i="2" s="1"/>
  <c r="AA138" i="2" s="1"/>
  <c r="Z138" i="2" l="1"/>
  <c r="AB139" i="2"/>
  <c r="B140" i="2" l="1"/>
  <c r="G139" i="2"/>
  <c r="H139" i="2" s="1"/>
  <c r="F139" i="2"/>
  <c r="AC139" i="2"/>
  <c r="AE139" i="2"/>
  <c r="U139" i="2"/>
  <c r="J139" i="2" l="1"/>
  <c r="W139" i="2"/>
  <c r="X139" i="2" s="1"/>
  <c r="AF140" i="2"/>
  <c r="C140" i="2"/>
  <c r="AD139" i="2"/>
  <c r="L139" i="2" s="1"/>
  <c r="K139" i="2" l="1"/>
  <c r="D140" i="2"/>
  <c r="E140" i="2" s="1"/>
  <c r="T140" i="2" s="1"/>
  <c r="I139" i="2"/>
  <c r="N139" i="2" l="1"/>
  <c r="M139" i="2" s="1"/>
  <c r="P139" i="2" s="1"/>
  <c r="V140" i="2"/>
  <c r="AG139" i="2" l="1"/>
  <c r="O139" i="2"/>
  <c r="Q139" i="2" s="1"/>
  <c r="R139" i="2" l="1"/>
  <c r="S139" i="2" s="1"/>
  <c r="Z139" i="2" s="1"/>
  <c r="Y139" i="2" l="1"/>
  <c r="AA139" i="2" s="1"/>
  <c r="AB140" i="2" s="1"/>
  <c r="B141" i="2" l="1"/>
  <c r="G140" i="2"/>
  <c r="H140" i="2" s="1"/>
  <c r="F140" i="2"/>
  <c r="AC140" i="2"/>
  <c r="AE140" i="2"/>
  <c r="U140" i="2"/>
  <c r="AF141" i="2" l="1"/>
  <c r="C141" i="2"/>
  <c r="J140" i="2"/>
  <c r="W140" i="2"/>
  <c r="X140" i="2" s="1"/>
  <c r="AD140" i="2"/>
  <c r="L140" i="2" s="1"/>
  <c r="I140" i="2" l="1"/>
  <c r="D141" i="2"/>
  <c r="E141" i="2" s="1"/>
  <c r="T141" i="2" s="1"/>
  <c r="K140" i="2"/>
  <c r="N140" i="2" l="1"/>
  <c r="M140" i="2" s="1"/>
  <c r="P140" i="2" s="1"/>
  <c r="V141" i="2"/>
  <c r="AG140" i="2" l="1"/>
  <c r="O140" i="2"/>
  <c r="Q140" i="2" s="1"/>
  <c r="R140" i="2" l="1"/>
  <c r="S140" i="2" s="1"/>
  <c r="Z140" i="2" s="1"/>
  <c r="Y140" i="2" l="1"/>
  <c r="AA140" i="2" s="1"/>
  <c r="AB141" i="2" s="1"/>
  <c r="B142" i="2" l="1"/>
  <c r="G141" i="2"/>
  <c r="H141" i="2" s="1"/>
  <c r="F141" i="2"/>
  <c r="AC141" i="2"/>
  <c r="AE141" i="2"/>
  <c r="U141" i="2"/>
  <c r="AD141" i="2" l="1"/>
  <c r="L141" i="2" s="1"/>
  <c r="AF142" i="2"/>
  <c r="C142" i="2"/>
  <c r="J141" i="2"/>
  <c r="W141" i="2"/>
  <c r="X141" i="2" s="1"/>
  <c r="I141" i="2" l="1"/>
  <c r="K141" i="2"/>
  <c r="D142" i="2"/>
  <c r="E142" i="2" s="1"/>
  <c r="T142" i="2" s="1"/>
  <c r="N141" i="2" l="1"/>
  <c r="M141" i="2" s="1"/>
  <c r="P141" i="2" s="1"/>
  <c r="V142" i="2"/>
  <c r="AG141" i="2" l="1"/>
  <c r="O141" i="2"/>
  <c r="Q141" i="2" s="1"/>
  <c r="R141" i="2" l="1"/>
  <c r="S141" i="2" s="1"/>
  <c r="Z141" i="2" s="1"/>
  <c r="Y141" i="2" l="1"/>
  <c r="AA141" i="2" s="1"/>
  <c r="AB142" i="2" s="1"/>
  <c r="B143" i="2" l="1"/>
  <c r="G142" i="2"/>
  <c r="H142" i="2" s="1"/>
  <c r="F142" i="2"/>
  <c r="AC142" i="2"/>
  <c r="AE142" i="2"/>
  <c r="U142" i="2"/>
  <c r="AD142" i="2" l="1"/>
  <c r="L142" i="2" s="1"/>
  <c r="AF143" i="2"/>
  <c r="C143" i="2"/>
  <c r="J142" i="2"/>
  <c r="W142" i="2"/>
  <c r="X142" i="2" s="1"/>
  <c r="K142" i="2" l="1"/>
  <c r="I142" i="2"/>
  <c r="D143" i="2"/>
  <c r="E143" i="2" s="1"/>
  <c r="T143" i="2" s="1"/>
  <c r="N142" i="2" l="1"/>
  <c r="M142" i="2" s="1"/>
  <c r="P142" i="2" s="1"/>
  <c r="V143" i="2"/>
  <c r="AG142" i="2" l="1"/>
  <c r="O142" i="2"/>
  <c r="Q142" i="2" s="1"/>
  <c r="R142" i="2" l="1"/>
  <c r="S142" i="2" s="1"/>
  <c r="Y142" i="2" l="1"/>
  <c r="AA142" i="2" s="1"/>
  <c r="AB143" i="2" s="1"/>
  <c r="Z142" i="2"/>
  <c r="B144" i="2" l="1"/>
  <c r="G143" i="2"/>
  <c r="H143" i="2" s="1"/>
  <c r="F143" i="2"/>
  <c r="AC143" i="2"/>
  <c r="AE143" i="2"/>
  <c r="U143" i="2"/>
  <c r="J143" i="2" l="1"/>
  <c r="W143" i="2"/>
  <c r="X143" i="2" s="1"/>
  <c r="C144" i="2"/>
  <c r="AF144" i="2"/>
  <c r="AD143" i="2"/>
  <c r="L143" i="2" s="1"/>
  <c r="D144" i="2" l="1"/>
  <c r="E144" i="2" s="1"/>
  <c r="T144" i="2" s="1"/>
  <c r="K143" i="2"/>
  <c r="I143" i="2"/>
  <c r="N143" i="2" l="1"/>
  <c r="M143" i="2" s="1"/>
  <c r="P143" i="2" s="1"/>
  <c r="V144" i="2"/>
  <c r="AG143" i="2" l="1"/>
  <c r="O143" i="2"/>
  <c r="Q143" i="2" s="1"/>
  <c r="R143" i="2" l="1"/>
  <c r="S143" i="2" s="1"/>
  <c r="Y143" i="2" l="1"/>
  <c r="AA143" i="2" s="1"/>
  <c r="AB144" i="2" s="1"/>
  <c r="Z143" i="2"/>
  <c r="B145" i="2" l="1"/>
  <c r="G144" i="2"/>
  <c r="H144" i="2" s="1"/>
  <c r="F144" i="2"/>
  <c r="AC144" i="2"/>
  <c r="AE144" i="2"/>
  <c r="U144" i="2"/>
  <c r="J144" i="2" l="1"/>
  <c r="W144" i="2"/>
  <c r="X144" i="2" s="1"/>
  <c r="AF145" i="2"/>
  <c r="C145" i="2"/>
  <c r="AD144" i="2"/>
  <c r="L144" i="2" s="1"/>
  <c r="D145" i="2" l="1"/>
  <c r="E145" i="2" s="1"/>
  <c r="T145" i="2" s="1"/>
  <c r="K144" i="2"/>
  <c r="I144" i="2"/>
  <c r="N144" i="2" l="1"/>
  <c r="M144" i="2" s="1"/>
  <c r="P144" i="2" s="1"/>
  <c r="V145" i="2"/>
  <c r="AG144" i="2" l="1"/>
  <c r="O144" i="2"/>
  <c r="R144" i="2" s="1"/>
  <c r="Q144" i="2" l="1"/>
  <c r="S144" i="2" s="1"/>
  <c r="Y144" i="2" l="1"/>
  <c r="AA144" i="2" s="1"/>
  <c r="Z144" i="2"/>
  <c r="AB145" i="2" l="1"/>
  <c r="B146" i="2" l="1"/>
  <c r="G145" i="2"/>
  <c r="H145" i="2" s="1"/>
  <c r="F145" i="2"/>
  <c r="AC145" i="2"/>
  <c r="AE145" i="2"/>
  <c r="U145" i="2"/>
  <c r="J145" i="2" l="1"/>
  <c r="W145" i="2"/>
  <c r="X145" i="2" s="1"/>
  <c r="AD145" i="2"/>
  <c r="L145" i="2" s="1"/>
  <c r="AF146" i="2"/>
  <c r="C146" i="2"/>
  <c r="D146" i="2" l="1"/>
  <c r="E146" i="2" s="1"/>
  <c r="T146" i="2" s="1"/>
  <c r="K145" i="2"/>
  <c r="I145" i="2"/>
  <c r="N145" i="2" l="1"/>
  <c r="M145" i="2" s="1"/>
  <c r="P145" i="2" s="1"/>
  <c r="V146" i="2"/>
  <c r="AG145" i="2" l="1"/>
  <c r="O145" i="2"/>
  <c r="Q145" i="2" s="1"/>
  <c r="R145" i="2" l="1"/>
  <c r="S145" i="2" s="1"/>
  <c r="Z145" i="2" s="1"/>
  <c r="Y145" i="2" l="1"/>
  <c r="AA145" i="2" s="1"/>
  <c r="AB146" i="2" s="1"/>
  <c r="B147" i="2" l="1"/>
  <c r="G146" i="2"/>
  <c r="H146" i="2" s="1"/>
  <c r="F146" i="2"/>
  <c r="AE146" i="2"/>
  <c r="AC146" i="2"/>
  <c r="U146" i="2"/>
  <c r="J146" i="2" l="1"/>
  <c r="W146" i="2"/>
  <c r="X146" i="2" s="1"/>
  <c r="AF147" i="2"/>
  <c r="C147" i="2"/>
  <c r="AD146" i="2"/>
  <c r="L146" i="2" s="1"/>
  <c r="D147" i="2" l="1"/>
  <c r="E147" i="2" s="1"/>
  <c r="T147" i="2" s="1"/>
  <c r="K146" i="2"/>
  <c r="I146" i="2"/>
  <c r="N146" i="2" l="1"/>
  <c r="M146" i="2" s="1"/>
  <c r="P146" i="2" s="1"/>
  <c r="V147" i="2"/>
  <c r="AG146" i="2" l="1"/>
  <c r="O146" i="2"/>
  <c r="Q146" i="2" s="1"/>
  <c r="R146" i="2" l="1"/>
  <c r="S146" i="2" s="1"/>
  <c r="Y146" i="2" l="1"/>
  <c r="AA146" i="2" s="1"/>
  <c r="AB147" i="2" s="1"/>
  <c r="Z146" i="2"/>
  <c r="B148" i="2" l="1"/>
  <c r="G147" i="2"/>
  <c r="H147" i="2" s="1"/>
  <c r="F147" i="2"/>
  <c r="AE147" i="2"/>
  <c r="AC147" i="2"/>
  <c r="U147" i="2"/>
  <c r="AF148" i="2" l="1"/>
  <c r="C148" i="2"/>
  <c r="J147" i="2"/>
  <c r="W147" i="2"/>
  <c r="X147" i="2" s="1"/>
  <c r="AD147" i="2"/>
  <c r="L147" i="2" s="1"/>
  <c r="I147" i="2" l="1"/>
  <c r="D148" i="2"/>
  <c r="E148" i="2" s="1"/>
  <c r="T148" i="2" s="1"/>
  <c r="K147" i="2"/>
  <c r="V148" i="2" l="1"/>
  <c r="N147" i="2"/>
  <c r="M147" i="2" s="1"/>
  <c r="P147" i="2" s="1"/>
  <c r="AG147" i="2" l="1"/>
  <c r="O147" i="2"/>
  <c r="R147" i="2" l="1"/>
  <c r="Q147" i="2"/>
  <c r="S147" i="2" l="1"/>
  <c r="Z147" i="2" s="1"/>
  <c r="Y147" i="2" l="1"/>
  <c r="AA147" i="2" s="1"/>
  <c r="AB148" i="2" s="1"/>
  <c r="B149" i="2" l="1"/>
  <c r="G148" i="2"/>
  <c r="H148" i="2" s="1"/>
  <c r="F148" i="2"/>
  <c r="AC148" i="2"/>
  <c r="AE148" i="2"/>
  <c r="U148" i="2"/>
  <c r="J148" i="2" l="1"/>
  <c r="W148" i="2"/>
  <c r="X148" i="2" s="1"/>
  <c r="AF149" i="2"/>
  <c r="C149" i="2"/>
  <c r="AD148" i="2"/>
  <c r="L148" i="2" s="1"/>
  <c r="I148" i="2" l="1"/>
  <c r="D149" i="2"/>
  <c r="E149" i="2" s="1"/>
  <c r="T149" i="2" s="1"/>
  <c r="K148" i="2"/>
  <c r="V149" i="2" l="1"/>
  <c r="N148" i="2"/>
  <c r="M148" i="2" s="1"/>
  <c r="P148" i="2" s="1"/>
  <c r="AG148" i="2" l="1"/>
  <c r="O148" i="2"/>
  <c r="R148" i="2" l="1"/>
  <c r="Q148" i="2"/>
  <c r="S148" i="2" l="1"/>
  <c r="Z148" i="2" s="1"/>
  <c r="Y148" i="2" l="1"/>
  <c r="AA148" i="2" s="1"/>
  <c r="AB149" i="2" s="1"/>
  <c r="B150" i="2" l="1"/>
  <c r="G149" i="2"/>
  <c r="H149" i="2" s="1"/>
  <c r="F149" i="2"/>
  <c r="AC149" i="2"/>
  <c r="AE149" i="2"/>
  <c r="U149" i="2"/>
  <c r="AD149" i="2" l="1"/>
  <c r="L149" i="2" s="1"/>
  <c r="AF150" i="2"/>
  <c r="C150" i="2"/>
  <c r="J149" i="2"/>
  <c r="W149" i="2"/>
  <c r="X149" i="2" s="1"/>
  <c r="K149" i="2" l="1"/>
  <c r="I149" i="2"/>
  <c r="D150" i="2"/>
  <c r="E150" i="2" s="1"/>
  <c r="T150" i="2" s="1"/>
  <c r="V150" i="2" l="1"/>
  <c r="N149" i="2"/>
  <c r="M149" i="2" s="1"/>
  <c r="P149" i="2" s="1"/>
  <c r="AG149" i="2" l="1"/>
  <c r="O149" i="2"/>
  <c r="R149" i="2" l="1"/>
  <c r="Q149" i="2"/>
  <c r="S149" i="2" l="1"/>
  <c r="Z149" i="2" s="1"/>
  <c r="Y149" i="2" l="1"/>
  <c r="AA149" i="2" s="1"/>
  <c r="AB150" i="2" s="1"/>
  <c r="B151" i="2" l="1"/>
  <c r="G150" i="2"/>
  <c r="H150" i="2" s="1"/>
  <c r="F150" i="2"/>
  <c r="AC150" i="2"/>
  <c r="AE150" i="2"/>
  <c r="U150" i="2"/>
  <c r="AD150" i="2" l="1"/>
  <c r="L150" i="2" s="1"/>
  <c r="AF151" i="2"/>
  <c r="C151" i="2"/>
  <c r="J150" i="2"/>
  <c r="W150" i="2"/>
  <c r="X150" i="2" s="1"/>
  <c r="I150" i="2" l="1"/>
  <c r="K150" i="2"/>
  <c r="D151" i="2"/>
  <c r="E151" i="2" s="1"/>
  <c r="T151" i="2" s="1"/>
  <c r="V151" i="2" l="1"/>
  <c r="N150" i="2"/>
  <c r="M150" i="2" s="1"/>
  <c r="P150" i="2" s="1"/>
  <c r="AG150" i="2" l="1"/>
  <c r="O150" i="2"/>
  <c r="R150" i="2" l="1"/>
  <c r="Q150" i="2"/>
  <c r="S150" i="2" l="1"/>
  <c r="Z150" i="2" s="1"/>
  <c r="Y150" i="2" l="1"/>
  <c r="AA150" i="2" s="1"/>
  <c r="AB151" i="2" s="1"/>
  <c r="B152" i="2" l="1"/>
  <c r="G151" i="2"/>
  <c r="H151" i="2" s="1"/>
  <c r="F151" i="2"/>
  <c r="AE151" i="2"/>
  <c r="AC151" i="2"/>
  <c r="U151" i="2"/>
  <c r="J151" i="2" l="1"/>
  <c r="W151" i="2"/>
  <c r="X151" i="2" s="1"/>
  <c r="AD151" i="2"/>
  <c r="L151" i="2" s="1"/>
  <c r="AF152" i="2"/>
  <c r="C152" i="2"/>
  <c r="K151" i="2" l="1"/>
  <c r="D152" i="2"/>
  <c r="E152" i="2" s="1"/>
  <c r="T152" i="2" s="1"/>
  <c r="I151" i="2"/>
  <c r="N151" i="2" l="1"/>
  <c r="M151" i="2" s="1"/>
  <c r="P151" i="2" s="1"/>
  <c r="V152" i="2"/>
  <c r="AG151" i="2" l="1"/>
  <c r="O151" i="2"/>
  <c r="R151" i="2" s="1"/>
  <c r="Q151" i="2" l="1"/>
  <c r="S151" i="2" s="1"/>
  <c r="Y151" i="2" l="1"/>
  <c r="AA151" i="2" s="1"/>
  <c r="AB152" i="2" s="1"/>
  <c r="Z151" i="2"/>
  <c r="B153" i="2" l="1"/>
  <c r="G152" i="2"/>
  <c r="H152" i="2" s="1"/>
  <c r="F152" i="2"/>
  <c r="AE152" i="2"/>
  <c r="AC152" i="2"/>
  <c r="U152" i="2"/>
  <c r="AF153" i="2" l="1"/>
  <c r="C153" i="2"/>
  <c r="J152" i="2"/>
  <c r="W152" i="2"/>
  <c r="X152" i="2" s="1"/>
  <c r="AD152" i="2"/>
  <c r="L152" i="2" s="1"/>
  <c r="D153" i="2" l="1"/>
  <c r="E153" i="2" s="1"/>
  <c r="T153" i="2" s="1"/>
  <c r="K152" i="2"/>
  <c r="I152" i="2"/>
  <c r="N152" i="2" l="1"/>
  <c r="M152" i="2" s="1"/>
  <c r="P152" i="2" s="1"/>
  <c r="V153" i="2"/>
  <c r="AG152" i="2" l="1"/>
  <c r="O152" i="2"/>
  <c r="R152" i="2" s="1"/>
  <c r="Q152" i="2" l="1"/>
  <c r="S152" i="2" s="1"/>
  <c r="Y152" i="2" s="1"/>
  <c r="AA152" i="2" s="1"/>
  <c r="Z152" i="2" l="1"/>
  <c r="AB153" i="2"/>
  <c r="B154" i="2" l="1"/>
  <c r="G153" i="2"/>
  <c r="H153" i="2" s="1"/>
  <c r="F153" i="2"/>
  <c r="AC153" i="2"/>
  <c r="AE153" i="2"/>
  <c r="U153" i="2"/>
  <c r="AF154" i="2" l="1"/>
  <c r="C154" i="2"/>
  <c r="J153" i="2"/>
  <c r="W153" i="2"/>
  <c r="X153" i="2" s="1"/>
  <c r="AD153" i="2"/>
  <c r="L153" i="2" s="1"/>
  <c r="I153" i="2" l="1"/>
  <c r="D154" i="2"/>
  <c r="E154" i="2" s="1"/>
  <c r="T154" i="2" s="1"/>
  <c r="K153" i="2"/>
  <c r="V154" i="2" l="1"/>
  <c r="N153" i="2"/>
  <c r="M153" i="2" s="1"/>
  <c r="P153" i="2" s="1"/>
  <c r="AG153" i="2" l="1"/>
  <c r="O153" i="2"/>
  <c r="R153" i="2" l="1"/>
  <c r="Q153" i="2"/>
  <c r="S153" i="2" l="1"/>
  <c r="Y153" i="2" l="1"/>
  <c r="AA153" i="2" s="1"/>
  <c r="AB154" i="2" s="1"/>
  <c r="Z153" i="2"/>
  <c r="B155" i="2" l="1"/>
  <c r="G154" i="2"/>
  <c r="H154" i="2" s="1"/>
  <c r="F154" i="2"/>
  <c r="AC154" i="2"/>
  <c r="AE154" i="2"/>
  <c r="U154" i="2"/>
  <c r="J154" i="2" l="1"/>
  <c r="W154" i="2"/>
  <c r="X154" i="2" s="1"/>
  <c r="C155" i="2"/>
  <c r="AF155" i="2"/>
  <c r="AD154" i="2"/>
  <c r="L154" i="2" s="1"/>
  <c r="I154" i="2" l="1"/>
  <c r="D155" i="2"/>
  <c r="E155" i="2" s="1"/>
  <c r="T155" i="2" s="1"/>
  <c r="K154" i="2"/>
  <c r="N154" i="2" l="1"/>
  <c r="M154" i="2" s="1"/>
  <c r="P154" i="2" s="1"/>
  <c r="V155" i="2"/>
  <c r="AG154" i="2" l="1"/>
  <c r="O154" i="2"/>
  <c r="R154" i="2" l="1"/>
  <c r="Q154" i="2"/>
  <c r="S154" i="2" l="1"/>
  <c r="Y154" i="2" l="1"/>
  <c r="AA154" i="2" s="1"/>
  <c r="AB155" i="2" s="1"/>
  <c r="Z154" i="2"/>
  <c r="B156" i="2" l="1"/>
  <c r="G155" i="2"/>
  <c r="H155" i="2" s="1"/>
  <c r="F155" i="2"/>
  <c r="AC155" i="2"/>
  <c r="AE155" i="2"/>
  <c r="U155" i="2"/>
  <c r="AF156" i="2" l="1"/>
  <c r="C156" i="2"/>
  <c r="J155" i="2"/>
  <c r="W155" i="2"/>
  <c r="X155" i="2" s="1"/>
  <c r="AD155" i="2"/>
  <c r="L155" i="2" s="1"/>
  <c r="I155" i="2" l="1"/>
  <c r="D156" i="2"/>
  <c r="E156" i="2" s="1"/>
  <c r="T156" i="2" s="1"/>
  <c r="K155" i="2"/>
  <c r="V156" i="2" l="1"/>
  <c r="N155" i="2"/>
  <c r="M155" i="2" s="1"/>
  <c r="P155" i="2" s="1"/>
  <c r="AG155" i="2" l="1"/>
  <c r="O155" i="2"/>
  <c r="R155" i="2" l="1"/>
  <c r="Q155" i="2"/>
  <c r="S155" i="2" l="1"/>
  <c r="Y155" i="2" l="1"/>
  <c r="AA155" i="2" s="1"/>
  <c r="AB156" i="2" s="1"/>
  <c r="Z155" i="2"/>
  <c r="B157" i="2" l="1"/>
  <c r="G156" i="2"/>
  <c r="H156" i="2" s="1"/>
  <c r="F156" i="2"/>
  <c r="AC156" i="2"/>
  <c r="AE156" i="2"/>
  <c r="U156" i="2"/>
  <c r="J156" i="2" l="1"/>
  <c r="W156" i="2"/>
  <c r="X156" i="2" s="1"/>
  <c r="AF157" i="2"/>
  <c r="C157" i="2"/>
  <c r="AD156" i="2"/>
  <c r="L156" i="2" s="1"/>
  <c r="K156" i="2" l="1"/>
  <c r="D157" i="2"/>
  <c r="E157" i="2" s="1"/>
  <c r="T157" i="2" s="1"/>
  <c r="I156" i="2"/>
  <c r="N156" i="2" l="1"/>
  <c r="M156" i="2" s="1"/>
  <c r="P156" i="2" s="1"/>
  <c r="V157" i="2"/>
  <c r="AG156" i="2" l="1"/>
  <c r="O156" i="2"/>
  <c r="R156" i="2" s="1"/>
  <c r="Q156" i="2" l="1"/>
  <c r="S156" i="2" s="1"/>
  <c r="Z156" i="2" s="1"/>
  <c r="Y156" i="2" l="1"/>
  <c r="AA156" i="2" s="1"/>
  <c r="AB157" i="2" s="1"/>
  <c r="B158" i="2" l="1"/>
  <c r="G157" i="2"/>
  <c r="H157" i="2" s="1"/>
  <c r="F157" i="2"/>
  <c r="AC157" i="2"/>
  <c r="AE157" i="2"/>
  <c r="U157" i="2"/>
  <c r="AF158" i="2" l="1"/>
  <c r="C158" i="2"/>
  <c r="J157" i="2"/>
  <c r="W157" i="2"/>
  <c r="X157" i="2" s="1"/>
  <c r="AD157" i="2"/>
  <c r="L157" i="2" s="1"/>
  <c r="K157" i="2" l="1"/>
  <c r="D158" i="2"/>
  <c r="E158" i="2" s="1"/>
  <c r="T158" i="2" s="1"/>
  <c r="I157" i="2"/>
  <c r="N157" i="2" l="1"/>
  <c r="M157" i="2" s="1"/>
  <c r="P157" i="2" s="1"/>
  <c r="V158" i="2"/>
  <c r="AG157" i="2" l="1"/>
  <c r="O157" i="2"/>
  <c r="R157" i="2" s="1"/>
  <c r="Q157" i="2" l="1"/>
  <c r="S157" i="2" s="1"/>
  <c r="Y157" i="2" l="1"/>
  <c r="AA157" i="2" s="1"/>
  <c r="AB158" i="2" s="1"/>
  <c r="Z157" i="2"/>
  <c r="B159" i="2" l="1"/>
  <c r="G158" i="2"/>
  <c r="H158" i="2" s="1"/>
  <c r="F158" i="2"/>
  <c r="AC158" i="2"/>
  <c r="AE158" i="2"/>
  <c r="U158" i="2"/>
  <c r="AF159" i="2" l="1"/>
  <c r="C159" i="2"/>
  <c r="J158" i="2"/>
  <c r="W158" i="2"/>
  <c r="X158" i="2" s="1"/>
  <c r="AD158" i="2"/>
  <c r="L158" i="2" s="1"/>
  <c r="I158" i="2" l="1"/>
  <c r="D159" i="2"/>
  <c r="E159" i="2" s="1"/>
  <c r="T159" i="2" s="1"/>
  <c r="K158" i="2"/>
  <c r="V159" i="2" l="1"/>
  <c r="N158" i="2"/>
  <c r="M158" i="2" s="1"/>
  <c r="P158" i="2" s="1"/>
  <c r="AG158" i="2" l="1"/>
  <c r="O158" i="2"/>
  <c r="R158" i="2" l="1"/>
  <c r="Q158" i="2"/>
  <c r="S158" i="2" l="1"/>
  <c r="Y158" i="2" l="1"/>
  <c r="AA158" i="2" s="1"/>
  <c r="AB159" i="2" s="1"/>
  <c r="Z158" i="2"/>
  <c r="B160" i="2" l="1"/>
  <c r="G159" i="2"/>
  <c r="H159" i="2" s="1"/>
  <c r="F159" i="2"/>
  <c r="AC159" i="2"/>
  <c r="AE159" i="2"/>
  <c r="U159" i="2"/>
  <c r="AD159" i="2" l="1"/>
  <c r="L159" i="2" s="1"/>
  <c r="AF160" i="2"/>
  <c r="C160" i="2"/>
  <c r="J159" i="2"/>
  <c r="W159" i="2"/>
  <c r="X159" i="2" s="1"/>
  <c r="I159" i="2" l="1"/>
  <c r="D160" i="2"/>
  <c r="E160" i="2" s="1"/>
  <c r="T160" i="2" s="1"/>
  <c r="K159" i="2"/>
  <c r="N159" i="2" l="1"/>
  <c r="M159" i="2" s="1"/>
  <c r="P159" i="2" s="1"/>
  <c r="V160" i="2"/>
  <c r="AG159" i="2" l="1"/>
  <c r="O159" i="2"/>
  <c r="Q159" i="2" s="1"/>
  <c r="R159" i="2" l="1"/>
  <c r="S159" i="2" s="1"/>
  <c r="Z159" i="2" s="1"/>
  <c r="Y159" i="2" l="1"/>
  <c r="AA159" i="2" s="1"/>
  <c r="AB160" i="2" s="1"/>
  <c r="B161" i="2" l="1"/>
  <c r="G160" i="2"/>
  <c r="H160" i="2" s="1"/>
  <c r="F160" i="2"/>
  <c r="AC160" i="2"/>
  <c r="AE160" i="2"/>
  <c r="U160" i="2"/>
  <c r="AD160" i="2" l="1"/>
  <c r="L160" i="2" s="1"/>
  <c r="AF161" i="2"/>
  <c r="C161" i="2"/>
  <c r="J160" i="2"/>
  <c r="W160" i="2"/>
  <c r="X160" i="2" s="1"/>
  <c r="K160" i="2" l="1"/>
  <c r="D161" i="2"/>
  <c r="E161" i="2" s="1"/>
  <c r="T161" i="2" s="1"/>
  <c r="I160" i="2"/>
  <c r="N160" i="2" l="1"/>
  <c r="M160" i="2" s="1"/>
  <c r="P160" i="2" s="1"/>
  <c r="V161" i="2"/>
  <c r="AG160" i="2" l="1"/>
  <c r="O160" i="2"/>
  <c r="R160" i="2" s="1"/>
  <c r="Q160" i="2" l="1"/>
  <c r="S160" i="2" s="1"/>
  <c r="Z160" i="2" s="1"/>
  <c r="Y160" i="2" l="1"/>
  <c r="AA160" i="2" s="1"/>
  <c r="AB161" i="2" s="1"/>
  <c r="B162" i="2" l="1"/>
  <c r="G161" i="2"/>
  <c r="H161" i="2" s="1"/>
  <c r="F161" i="2"/>
  <c r="AE161" i="2"/>
  <c r="AC161" i="2"/>
  <c r="U161" i="2"/>
  <c r="J161" i="2" l="1"/>
  <c r="W161" i="2"/>
  <c r="X161" i="2" s="1"/>
  <c r="AF162" i="2"/>
  <c r="C162" i="2"/>
  <c r="AD161" i="2"/>
  <c r="L161" i="2" s="1"/>
  <c r="D162" i="2" l="1"/>
  <c r="E162" i="2" s="1"/>
  <c r="T162" i="2" s="1"/>
  <c r="K161" i="2"/>
  <c r="I161" i="2"/>
  <c r="N161" i="2" l="1"/>
  <c r="M161" i="2" s="1"/>
  <c r="P161" i="2" s="1"/>
  <c r="V162" i="2"/>
  <c r="AG161" i="2" l="1"/>
  <c r="O161" i="2"/>
  <c r="Q161" i="2" s="1"/>
  <c r="R161" i="2" l="1"/>
  <c r="S161" i="2" s="1"/>
  <c r="Y161" i="2" l="1"/>
  <c r="AA161" i="2" s="1"/>
  <c r="AB162" i="2" s="1"/>
  <c r="Z161" i="2"/>
  <c r="B163" i="2" l="1"/>
  <c r="G162" i="2"/>
  <c r="H162" i="2" s="1"/>
  <c r="F162" i="2"/>
  <c r="AE162" i="2"/>
  <c r="AC162" i="2"/>
  <c r="U162" i="2"/>
  <c r="AF163" i="2" l="1"/>
  <c r="C163" i="2"/>
  <c r="J162" i="2"/>
  <c r="W162" i="2"/>
  <c r="X162" i="2" s="1"/>
  <c r="AD162" i="2"/>
  <c r="L162" i="2" s="1"/>
  <c r="D163" i="2" l="1"/>
  <c r="E163" i="2" s="1"/>
  <c r="T163" i="2" s="1"/>
  <c r="K162" i="2"/>
  <c r="I162" i="2"/>
  <c r="N162" i="2" l="1"/>
  <c r="M162" i="2" s="1"/>
  <c r="P162" i="2" s="1"/>
  <c r="V163" i="2"/>
  <c r="AG162" i="2" l="1"/>
  <c r="O162" i="2"/>
  <c r="Q162" i="2" s="1"/>
  <c r="R162" i="2" l="1"/>
  <c r="S162" i="2" s="1"/>
  <c r="Y162" i="2" s="1"/>
  <c r="AA162" i="2" s="1"/>
  <c r="Z162" i="2" l="1"/>
  <c r="AB163" i="2"/>
  <c r="B164" i="2" l="1"/>
  <c r="G163" i="2"/>
  <c r="H163" i="2" s="1"/>
  <c r="F163" i="2"/>
  <c r="AC163" i="2"/>
  <c r="AE163" i="2"/>
  <c r="U163" i="2"/>
  <c r="AD163" i="2" l="1"/>
  <c r="L163" i="2" s="1"/>
  <c r="AF164" i="2"/>
  <c r="C164" i="2"/>
  <c r="J163" i="2"/>
  <c r="W163" i="2"/>
  <c r="X163" i="2" s="1"/>
  <c r="D164" i="2" l="1"/>
  <c r="E164" i="2" s="1"/>
  <c r="T164" i="2" s="1"/>
  <c r="K163" i="2"/>
  <c r="I163" i="2"/>
  <c r="V164" i="2" l="1"/>
  <c r="N163" i="2"/>
  <c r="M163" i="2" s="1"/>
  <c r="P163" i="2" s="1"/>
  <c r="AG163" i="2" l="1"/>
  <c r="O163" i="2"/>
  <c r="R163" i="2" l="1"/>
  <c r="Q163" i="2"/>
  <c r="S163" i="2" l="1"/>
  <c r="Y163" i="2" s="1"/>
  <c r="AA163" i="2" s="1"/>
  <c r="Z163" i="2" l="1"/>
  <c r="AB164" i="2"/>
  <c r="B165" i="2" l="1"/>
  <c r="G164" i="2"/>
  <c r="H164" i="2" s="1"/>
  <c r="F164" i="2"/>
  <c r="AC164" i="2"/>
  <c r="AE164" i="2"/>
  <c r="U164" i="2"/>
  <c r="J164" i="2" l="1"/>
  <c r="W164" i="2"/>
  <c r="X164" i="2" s="1"/>
  <c r="AF165" i="2"/>
  <c r="C165" i="2"/>
  <c r="AD164" i="2"/>
  <c r="L164" i="2" s="1"/>
  <c r="D165" i="2" l="1"/>
  <c r="E165" i="2" s="1"/>
  <c r="T165" i="2" s="1"/>
  <c r="K164" i="2"/>
  <c r="I164" i="2"/>
  <c r="N164" i="2" l="1"/>
  <c r="M164" i="2" s="1"/>
  <c r="P164" i="2" s="1"/>
  <c r="V165" i="2"/>
  <c r="AG164" i="2" l="1"/>
  <c r="O164" i="2"/>
  <c r="R164" i="2" l="1"/>
  <c r="Q164" i="2"/>
  <c r="S164" i="2" l="1"/>
  <c r="Y164" i="2" s="1"/>
  <c r="AA164" i="2" s="1"/>
  <c r="Z164" i="2" l="1"/>
  <c r="AB165" i="2"/>
  <c r="B166" i="2" l="1"/>
  <c r="G165" i="2"/>
  <c r="H165" i="2" s="1"/>
  <c r="F165" i="2"/>
  <c r="AC165" i="2"/>
  <c r="AE165" i="2"/>
  <c r="U165" i="2"/>
  <c r="AD165" i="2" l="1"/>
  <c r="L165" i="2" s="1"/>
  <c r="C166" i="2"/>
  <c r="AF166" i="2"/>
  <c r="J165" i="2"/>
  <c r="W165" i="2"/>
  <c r="X165" i="2" s="1"/>
  <c r="I165" i="2" l="1"/>
  <c r="D166" i="2"/>
  <c r="E166" i="2" s="1"/>
  <c r="T166" i="2" s="1"/>
  <c r="K165" i="2"/>
  <c r="V166" i="2" l="1"/>
  <c r="N165" i="2"/>
  <c r="M165" i="2" s="1"/>
  <c r="P165" i="2" s="1"/>
  <c r="AG165" i="2" l="1"/>
  <c r="O165" i="2"/>
  <c r="R165" i="2" l="1"/>
  <c r="Q165" i="2"/>
  <c r="S165" i="2" l="1"/>
  <c r="Z165" i="2" s="1"/>
  <c r="Y165" i="2" l="1"/>
  <c r="AA165" i="2" s="1"/>
  <c r="AB166" i="2" s="1"/>
  <c r="B167" i="2" l="1"/>
  <c r="G166" i="2"/>
  <c r="H166" i="2" s="1"/>
  <c r="F166" i="2"/>
  <c r="AC166" i="2"/>
  <c r="AE166" i="2"/>
  <c r="U166" i="2"/>
  <c r="AD166" i="2" l="1"/>
  <c r="L166" i="2" s="1"/>
  <c r="AF167" i="2"/>
  <c r="C167" i="2"/>
  <c r="J166" i="2"/>
  <c r="W166" i="2"/>
  <c r="X166" i="2" s="1"/>
  <c r="K166" i="2" l="1"/>
  <c r="I166" i="2"/>
  <c r="D167" i="2"/>
  <c r="E167" i="2" s="1"/>
  <c r="T167" i="2" s="1"/>
  <c r="N166" i="2" l="1"/>
  <c r="M166" i="2" s="1"/>
  <c r="P166" i="2" s="1"/>
  <c r="V167" i="2"/>
  <c r="AG166" i="2" l="1"/>
  <c r="O166" i="2"/>
  <c r="Q166" i="2" s="1"/>
  <c r="R166" i="2" l="1"/>
  <c r="S166" i="2" s="1"/>
  <c r="Y166" i="2" l="1"/>
  <c r="AA166" i="2" s="1"/>
  <c r="AB167" i="2" s="1"/>
  <c r="Z166" i="2"/>
  <c r="B168" i="2" l="1"/>
  <c r="G167" i="2"/>
  <c r="H167" i="2" s="1"/>
  <c r="F167" i="2"/>
  <c r="AC167" i="2"/>
  <c r="AE167" i="2"/>
  <c r="U167" i="2"/>
  <c r="AD167" i="2" l="1"/>
  <c r="L167" i="2" s="1"/>
  <c r="C168" i="2"/>
  <c r="AF168" i="2"/>
  <c r="J167" i="2"/>
  <c r="W167" i="2"/>
  <c r="X167" i="2" s="1"/>
  <c r="I167" i="2" l="1"/>
  <c r="D168" i="2"/>
  <c r="E168" i="2" s="1"/>
  <c r="T168" i="2" s="1"/>
  <c r="K167" i="2"/>
  <c r="V168" i="2" l="1"/>
  <c r="N167" i="2"/>
  <c r="M167" i="2" s="1"/>
  <c r="P167" i="2" s="1"/>
  <c r="AG167" i="2" l="1"/>
  <c r="O167" i="2"/>
  <c r="R167" i="2" l="1"/>
  <c r="Q167" i="2"/>
  <c r="S167" i="2" l="1"/>
  <c r="Y167" i="2" s="1"/>
  <c r="AA167" i="2" s="1"/>
  <c r="Z167" i="2" l="1"/>
  <c r="AB168" i="2"/>
  <c r="B169" i="2" l="1"/>
  <c r="G168" i="2"/>
  <c r="H168" i="2" s="1"/>
  <c r="F168" i="2"/>
  <c r="AC168" i="2"/>
  <c r="AE168" i="2"/>
  <c r="U168" i="2"/>
  <c r="AF169" i="2" l="1"/>
  <c r="C169" i="2"/>
  <c r="J168" i="2"/>
  <c r="W168" i="2"/>
  <c r="X168" i="2" s="1"/>
  <c r="AD168" i="2"/>
  <c r="L168" i="2" s="1"/>
  <c r="I168" i="2" l="1"/>
  <c r="D169" i="2"/>
  <c r="E169" i="2" s="1"/>
  <c r="T169" i="2" s="1"/>
  <c r="K168" i="2"/>
  <c r="N168" i="2" l="1"/>
  <c r="M168" i="2" s="1"/>
  <c r="P168" i="2" s="1"/>
  <c r="V169" i="2"/>
  <c r="AG168" i="2" l="1"/>
  <c r="O168" i="2"/>
  <c r="R168" i="2" l="1"/>
  <c r="Q168" i="2"/>
  <c r="S168" i="2" l="1"/>
  <c r="Y168" i="2" s="1"/>
  <c r="AA168" i="2" s="1"/>
  <c r="Z168" i="2" l="1"/>
  <c r="AB169" i="2"/>
  <c r="B170" i="2" l="1"/>
  <c r="G169" i="2"/>
  <c r="H169" i="2" s="1"/>
  <c r="F169" i="2"/>
  <c r="AC169" i="2"/>
  <c r="AE169" i="2"/>
  <c r="U169" i="2"/>
  <c r="J169" i="2" l="1"/>
  <c r="W169" i="2"/>
  <c r="X169" i="2" s="1"/>
  <c r="AF170" i="2"/>
  <c r="C170" i="2"/>
  <c r="AD169" i="2"/>
  <c r="L169" i="2" s="1"/>
  <c r="K169" i="2" l="1"/>
  <c r="D170" i="2"/>
  <c r="E170" i="2" s="1"/>
  <c r="T170" i="2" s="1"/>
  <c r="I169" i="2"/>
  <c r="N169" i="2" l="1"/>
  <c r="M169" i="2" s="1"/>
  <c r="P169" i="2" s="1"/>
  <c r="V170" i="2"/>
  <c r="AG169" i="2" l="1"/>
  <c r="O169" i="2"/>
  <c r="R169" i="2" s="1"/>
  <c r="Q169" i="2" l="1"/>
  <c r="S169" i="2" s="1"/>
  <c r="Y169" i="2" s="1"/>
  <c r="AA169" i="2" s="1"/>
  <c r="Z169" i="2" l="1"/>
  <c r="AB170" i="2"/>
  <c r="B171" i="2" l="1"/>
  <c r="G170" i="2"/>
  <c r="H170" i="2" s="1"/>
  <c r="F170" i="2"/>
  <c r="AC170" i="2"/>
  <c r="AE170" i="2"/>
  <c r="U170" i="2"/>
  <c r="AD170" i="2" l="1"/>
  <c r="L170" i="2" s="1"/>
  <c r="J170" i="2"/>
  <c r="W170" i="2"/>
  <c r="X170" i="2" s="1"/>
  <c r="AF171" i="2"/>
  <c r="C171" i="2"/>
  <c r="K170" i="2" l="1"/>
  <c r="I170" i="2"/>
  <c r="D171" i="2"/>
  <c r="E171" i="2" s="1"/>
  <c r="T171" i="2" s="1"/>
  <c r="N170" i="2" l="1"/>
  <c r="M170" i="2" s="1"/>
  <c r="P170" i="2" s="1"/>
  <c r="V171" i="2"/>
  <c r="AG170" i="2" l="1"/>
  <c r="O170" i="2"/>
  <c r="Q170" i="2" s="1"/>
  <c r="R170" i="2" l="1"/>
  <c r="S170" i="2" s="1"/>
  <c r="Y170" i="2" l="1"/>
  <c r="AA170" i="2" s="1"/>
  <c r="AB171" i="2" s="1"/>
  <c r="Z170" i="2"/>
  <c r="B172" i="2" l="1"/>
  <c r="G171" i="2"/>
  <c r="H171" i="2" s="1"/>
  <c r="F171" i="2"/>
  <c r="AE171" i="2"/>
  <c r="AC171" i="2"/>
  <c r="U171" i="2"/>
  <c r="J171" i="2" l="1"/>
  <c r="W171" i="2"/>
  <c r="X171" i="2" s="1"/>
  <c r="AD171" i="2"/>
  <c r="L171" i="2" s="1"/>
  <c r="AF172" i="2"/>
  <c r="C172" i="2"/>
  <c r="K171" i="2" l="1"/>
  <c r="I171" i="2"/>
  <c r="D172" i="2"/>
  <c r="E172" i="2" s="1"/>
  <c r="T172" i="2" s="1"/>
  <c r="N171" i="2" l="1"/>
  <c r="M171" i="2" s="1"/>
  <c r="P171" i="2" s="1"/>
  <c r="V172" i="2"/>
  <c r="AG171" i="2" l="1"/>
  <c r="O171" i="2"/>
  <c r="Q171" i="2" s="1"/>
  <c r="R171" i="2" l="1"/>
  <c r="S171" i="2" s="1"/>
  <c r="Y171" i="2" s="1"/>
  <c r="AA171" i="2" s="1"/>
  <c r="Z171" i="2" l="1"/>
  <c r="AB172" i="2"/>
  <c r="B173" i="2" l="1"/>
  <c r="G172" i="2"/>
  <c r="H172" i="2" s="1"/>
  <c r="F172" i="2"/>
  <c r="AC172" i="2"/>
  <c r="AE172" i="2"/>
  <c r="U172" i="2"/>
  <c r="J172" i="2" l="1"/>
  <c r="W172" i="2"/>
  <c r="X172" i="2" s="1"/>
  <c r="AD172" i="2"/>
  <c r="L172" i="2" s="1"/>
  <c r="AF173" i="2"/>
  <c r="C173" i="2"/>
  <c r="K172" i="2" l="1"/>
  <c r="D173" i="2"/>
  <c r="E173" i="2" s="1"/>
  <c r="T173" i="2" s="1"/>
  <c r="I172" i="2"/>
  <c r="N172" i="2" l="1"/>
  <c r="M172" i="2" s="1"/>
  <c r="P172" i="2" s="1"/>
  <c r="V173" i="2"/>
  <c r="AG172" i="2" l="1"/>
  <c r="O172" i="2"/>
  <c r="Q172" i="2" s="1"/>
  <c r="R172" i="2" l="1"/>
  <c r="S172" i="2" s="1"/>
  <c r="Y172" i="2" s="1"/>
  <c r="AA172" i="2" s="1"/>
  <c r="Z172" i="2" l="1"/>
  <c r="AB173" i="2"/>
  <c r="B174" i="2" l="1"/>
  <c r="G173" i="2"/>
  <c r="H173" i="2" s="1"/>
  <c r="F173" i="2"/>
  <c r="AE173" i="2"/>
  <c r="AC173" i="2"/>
  <c r="U173" i="2"/>
  <c r="J173" i="2" l="1"/>
  <c r="W173" i="2"/>
  <c r="X173" i="2" s="1"/>
  <c r="AD173" i="2"/>
  <c r="L173" i="2" s="1"/>
  <c r="AF174" i="2"/>
  <c r="C174" i="2"/>
  <c r="D174" i="2" l="1"/>
  <c r="E174" i="2" s="1"/>
  <c r="T174" i="2" s="1"/>
  <c r="K173" i="2"/>
  <c r="I173" i="2"/>
  <c r="N173" i="2" l="1"/>
  <c r="M173" i="2" s="1"/>
  <c r="P173" i="2" s="1"/>
  <c r="V174" i="2"/>
  <c r="AG173" i="2" l="1"/>
  <c r="O173" i="2"/>
  <c r="Q173" i="2" s="1"/>
  <c r="R173" i="2" l="1"/>
  <c r="S173" i="2" s="1"/>
  <c r="Z173" i="2" s="1"/>
  <c r="Y173" i="2" l="1"/>
  <c r="AA173" i="2" s="1"/>
  <c r="AB174" i="2" s="1"/>
  <c r="B175" i="2" l="1"/>
  <c r="G174" i="2"/>
  <c r="H174" i="2" s="1"/>
  <c r="F174" i="2"/>
  <c r="AE174" i="2"/>
  <c r="AC174" i="2"/>
  <c r="U174" i="2"/>
  <c r="J174" i="2" l="1"/>
  <c r="W174" i="2"/>
  <c r="X174" i="2" s="1"/>
  <c r="AD174" i="2"/>
  <c r="L174" i="2" s="1"/>
  <c r="AF175" i="2"/>
  <c r="C175" i="2"/>
  <c r="K174" i="2" l="1"/>
  <c r="D175" i="2"/>
  <c r="E175" i="2" s="1"/>
  <c r="T175" i="2" s="1"/>
  <c r="I174" i="2"/>
  <c r="N174" i="2" l="1"/>
  <c r="M174" i="2" s="1"/>
  <c r="P174" i="2" s="1"/>
  <c r="V175" i="2"/>
  <c r="AG174" i="2" l="1"/>
  <c r="O174" i="2"/>
  <c r="R174" i="2" s="1"/>
  <c r="Q174" i="2" l="1"/>
  <c r="S174" i="2" s="1"/>
  <c r="Z174" i="2" s="1"/>
  <c r="Y174" i="2" l="1"/>
  <c r="AA174" i="2" s="1"/>
  <c r="AB175" i="2" s="1"/>
  <c r="B176" i="2" l="1"/>
  <c r="G175" i="2"/>
  <c r="H175" i="2" s="1"/>
  <c r="F175" i="2"/>
  <c r="AE175" i="2"/>
  <c r="AC175" i="2"/>
  <c r="U175" i="2"/>
  <c r="J175" i="2" l="1"/>
  <c r="W175" i="2"/>
  <c r="X175" i="2" s="1"/>
  <c r="AD175" i="2"/>
  <c r="L175" i="2" s="1"/>
  <c r="C176" i="2"/>
  <c r="AF176" i="2"/>
  <c r="K175" i="2" l="1"/>
  <c r="D176" i="2"/>
  <c r="E176" i="2" s="1"/>
  <c r="T176" i="2" s="1"/>
  <c r="I175" i="2"/>
  <c r="N175" i="2" l="1"/>
  <c r="M175" i="2" s="1"/>
  <c r="P175" i="2" s="1"/>
  <c r="V176" i="2"/>
  <c r="AG175" i="2" l="1"/>
  <c r="O175" i="2"/>
  <c r="Q175" i="2" s="1"/>
  <c r="R175" i="2" l="1"/>
  <c r="S175" i="2" s="1"/>
  <c r="Y175" i="2" l="1"/>
  <c r="AA175" i="2" s="1"/>
  <c r="AB176" i="2" s="1"/>
  <c r="Z175" i="2"/>
  <c r="B177" i="2" l="1"/>
  <c r="G176" i="2"/>
  <c r="H176" i="2" s="1"/>
  <c r="F176" i="2"/>
  <c r="AE176" i="2"/>
  <c r="AC176" i="2"/>
  <c r="U176" i="2"/>
  <c r="J176" i="2" l="1"/>
  <c r="W176" i="2"/>
  <c r="X176" i="2" s="1"/>
  <c r="AF177" i="2"/>
  <c r="C177" i="2"/>
  <c r="AD176" i="2"/>
  <c r="L176" i="2" s="1"/>
  <c r="I176" i="2" l="1"/>
  <c r="D177" i="2"/>
  <c r="E177" i="2" s="1"/>
  <c r="T177" i="2" s="1"/>
  <c r="K176" i="2"/>
  <c r="V177" i="2" l="1"/>
  <c r="N176" i="2"/>
  <c r="M176" i="2" s="1"/>
  <c r="P176" i="2" s="1"/>
  <c r="AG176" i="2" l="1"/>
  <c r="O176" i="2"/>
  <c r="R176" i="2" l="1"/>
  <c r="Q176" i="2"/>
  <c r="S176" i="2" l="1"/>
  <c r="Y176" i="2" s="1"/>
  <c r="AA176" i="2" s="1"/>
  <c r="Z176" i="2" l="1"/>
  <c r="AB177" i="2"/>
  <c r="B178" i="2" l="1"/>
  <c r="G177" i="2"/>
  <c r="H177" i="2" s="1"/>
  <c r="F177" i="2"/>
  <c r="AE177" i="2"/>
  <c r="AC177" i="2"/>
  <c r="U177" i="2"/>
  <c r="J177" i="2" l="1"/>
  <c r="W177" i="2"/>
  <c r="X177" i="2" s="1"/>
  <c r="AF178" i="2"/>
  <c r="C178" i="2"/>
  <c r="AD177" i="2"/>
  <c r="L177" i="2" s="1"/>
  <c r="I177" i="2" l="1"/>
  <c r="D178" i="2"/>
  <c r="E178" i="2" s="1"/>
  <c r="T178" i="2" s="1"/>
  <c r="K177" i="2"/>
  <c r="V178" i="2" l="1"/>
  <c r="N177" i="2"/>
  <c r="M177" i="2" s="1"/>
  <c r="P177" i="2" s="1"/>
  <c r="AG177" i="2" l="1"/>
  <c r="O177" i="2"/>
  <c r="R177" i="2" l="1"/>
  <c r="Q177" i="2"/>
  <c r="S177" i="2" l="1"/>
  <c r="Y177" i="2" s="1"/>
  <c r="AA177" i="2" s="1"/>
  <c r="Z177" i="2" l="1"/>
  <c r="AB178" i="2"/>
  <c r="B179" i="2" l="1"/>
  <c r="G178" i="2"/>
  <c r="H178" i="2" s="1"/>
  <c r="F178" i="2"/>
  <c r="AE178" i="2"/>
  <c r="AC178" i="2"/>
  <c r="U178" i="2"/>
  <c r="C179" i="2" l="1"/>
  <c r="AF179" i="2"/>
  <c r="J178" i="2"/>
  <c r="W178" i="2"/>
  <c r="X178" i="2" s="1"/>
  <c r="AD178" i="2"/>
  <c r="L178" i="2" s="1"/>
  <c r="D179" i="2" l="1"/>
  <c r="E179" i="2" s="1"/>
  <c r="T179" i="2" s="1"/>
  <c r="K178" i="2"/>
  <c r="I178" i="2"/>
  <c r="N178" i="2" l="1"/>
  <c r="M178" i="2" s="1"/>
  <c r="P178" i="2" s="1"/>
  <c r="V179" i="2"/>
  <c r="AG178" i="2" l="1"/>
  <c r="O178" i="2"/>
  <c r="R178" i="2" s="1"/>
  <c r="Q178" i="2" l="1"/>
  <c r="S178" i="2" s="1"/>
  <c r="Z178" i="2" s="1"/>
  <c r="Y178" i="2" l="1"/>
  <c r="AA178" i="2" s="1"/>
  <c r="AB179" i="2" s="1"/>
  <c r="B180" i="2" l="1"/>
  <c r="G179" i="2"/>
  <c r="H179" i="2" s="1"/>
  <c r="F179" i="2"/>
  <c r="AC179" i="2"/>
  <c r="AE179" i="2"/>
  <c r="U179" i="2"/>
  <c r="AD179" i="2" l="1"/>
  <c r="L179" i="2" s="1"/>
  <c r="J179" i="2"/>
  <c r="W179" i="2"/>
  <c r="X179" i="2" s="1"/>
  <c r="AF180" i="2"/>
  <c r="C180" i="2"/>
  <c r="I179" i="2" l="1"/>
  <c r="K179" i="2"/>
  <c r="D180" i="2"/>
  <c r="E180" i="2" s="1"/>
  <c r="T180" i="2" s="1"/>
  <c r="V180" i="2" l="1"/>
  <c r="N179" i="2"/>
  <c r="M179" i="2" s="1"/>
  <c r="P179" i="2" s="1"/>
  <c r="AG179" i="2" l="1"/>
  <c r="O179" i="2"/>
  <c r="R179" i="2" l="1"/>
  <c r="Q179" i="2"/>
  <c r="S179" i="2" l="1"/>
  <c r="Y179" i="2" s="1"/>
  <c r="AA179" i="2" s="1"/>
  <c r="Z179" i="2" l="1"/>
  <c r="AB180" i="2"/>
  <c r="B181" i="2" l="1"/>
  <c r="G180" i="2"/>
  <c r="H180" i="2" s="1"/>
  <c r="F180" i="2"/>
  <c r="AE180" i="2"/>
  <c r="AC180" i="2"/>
  <c r="U180" i="2"/>
  <c r="J180" i="2" l="1"/>
  <c r="W180" i="2"/>
  <c r="X180" i="2" s="1"/>
  <c r="AF181" i="2"/>
  <c r="C181" i="2"/>
  <c r="AD180" i="2"/>
  <c r="L180" i="2" s="1"/>
  <c r="D181" i="2" l="1"/>
  <c r="E181" i="2" s="1"/>
  <c r="T181" i="2" s="1"/>
  <c r="K180" i="2"/>
  <c r="I180" i="2"/>
  <c r="N180" i="2" l="1"/>
  <c r="M180" i="2" s="1"/>
  <c r="P180" i="2" s="1"/>
  <c r="V181" i="2"/>
  <c r="AG180" i="2" l="1"/>
  <c r="O180" i="2"/>
  <c r="Q180" i="2" s="1"/>
  <c r="R180" i="2" l="1"/>
  <c r="S180" i="2" s="1"/>
  <c r="Y180" i="2" l="1"/>
  <c r="AA180" i="2" s="1"/>
  <c r="AB181" i="2" s="1"/>
  <c r="Z180" i="2"/>
  <c r="B182" i="2" l="1"/>
  <c r="G181" i="2"/>
  <c r="H181" i="2" s="1"/>
  <c r="F181" i="2"/>
  <c r="AE181" i="2"/>
  <c r="AC181" i="2"/>
  <c r="U181" i="2"/>
  <c r="J181" i="2" l="1"/>
  <c r="W181" i="2"/>
  <c r="X181" i="2" s="1"/>
  <c r="AD181" i="2"/>
  <c r="L181" i="2" s="1"/>
  <c r="AF182" i="2"/>
  <c r="C182" i="2"/>
  <c r="I181" i="2" l="1"/>
  <c r="D182" i="2"/>
  <c r="E182" i="2" s="1"/>
  <c r="T182" i="2" s="1"/>
  <c r="K181" i="2"/>
  <c r="V182" i="2" l="1"/>
  <c r="N181" i="2"/>
  <c r="M181" i="2" s="1"/>
  <c r="P181" i="2" s="1"/>
  <c r="AG181" i="2" l="1"/>
  <c r="O181" i="2"/>
  <c r="R181" i="2" l="1"/>
  <c r="Q181" i="2"/>
  <c r="S181" i="2" l="1"/>
  <c r="Z181" i="2" s="1"/>
  <c r="Y181" i="2" l="1"/>
  <c r="AA181" i="2" s="1"/>
  <c r="AB182" i="2" s="1"/>
  <c r="B183" i="2" l="1"/>
  <c r="G182" i="2"/>
  <c r="H182" i="2" s="1"/>
  <c r="F182" i="2"/>
  <c r="AE182" i="2"/>
  <c r="AC182" i="2"/>
  <c r="U182" i="2"/>
  <c r="AF183" i="2" l="1"/>
  <c r="C183" i="2"/>
  <c r="J182" i="2"/>
  <c r="W182" i="2"/>
  <c r="X182" i="2" s="1"/>
  <c r="AD182" i="2"/>
  <c r="L182" i="2" s="1"/>
  <c r="K182" i="2" l="1"/>
  <c r="D183" i="2"/>
  <c r="E183" i="2" s="1"/>
  <c r="T183" i="2" s="1"/>
  <c r="I182" i="2"/>
  <c r="N182" i="2" l="1"/>
  <c r="M182" i="2" s="1"/>
  <c r="P182" i="2" s="1"/>
  <c r="V183" i="2"/>
  <c r="AG182" i="2" l="1"/>
  <c r="O182" i="2"/>
  <c r="Q182" i="2" s="1"/>
  <c r="R182" i="2" l="1"/>
  <c r="S182" i="2" s="1"/>
  <c r="Y182" i="2" s="1"/>
  <c r="AA182" i="2" s="1"/>
  <c r="Z182" i="2" l="1"/>
  <c r="AB183" i="2"/>
  <c r="B184" i="2" l="1"/>
  <c r="G183" i="2"/>
  <c r="H183" i="2" s="1"/>
  <c r="F183" i="2"/>
  <c r="AC183" i="2"/>
  <c r="AE183" i="2"/>
  <c r="U183" i="2"/>
  <c r="AF184" i="2" l="1"/>
  <c r="C184" i="2"/>
  <c r="J183" i="2"/>
  <c r="W183" i="2"/>
  <c r="X183" i="2" s="1"/>
  <c r="AD183" i="2"/>
  <c r="L183" i="2" s="1"/>
  <c r="I183" i="2" l="1"/>
  <c r="D184" i="2"/>
  <c r="E184" i="2" s="1"/>
  <c r="T184" i="2" s="1"/>
  <c r="K183" i="2"/>
  <c r="V184" i="2" l="1"/>
  <c r="N183" i="2"/>
  <c r="M183" i="2" s="1"/>
  <c r="P183" i="2" s="1"/>
  <c r="AG183" i="2" l="1"/>
  <c r="O183" i="2"/>
  <c r="Q183" i="2" l="1"/>
  <c r="R183" i="2"/>
  <c r="S183" i="2" l="1"/>
  <c r="Y183" i="2" l="1"/>
  <c r="AA183" i="2" s="1"/>
  <c r="Z183" i="2"/>
  <c r="AB184" i="2" l="1"/>
  <c r="B185" i="2" l="1"/>
  <c r="G184" i="2"/>
  <c r="H184" i="2" s="1"/>
  <c r="F184" i="2"/>
  <c r="AC184" i="2"/>
  <c r="AE184" i="2"/>
  <c r="U184" i="2"/>
  <c r="AD184" i="2" l="1"/>
  <c r="L184" i="2" s="1"/>
  <c r="C185" i="2"/>
  <c r="AF185" i="2"/>
  <c r="J184" i="2"/>
  <c r="W184" i="2"/>
  <c r="X184" i="2" s="1"/>
  <c r="I184" i="2" l="1"/>
  <c r="K184" i="2"/>
  <c r="D185" i="2"/>
  <c r="E185" i="2" s="1"/>
  <c r="T185" i="2" s="1"/>
  <c r="V185" i="2" l="1"/>
  <c r="N184" i="2"/>
  <c r="M184" i="2" s="1"/>
  <c r="P184" i="2" s="1"/>
  <c r="AG184" i="2" l="1"/>
  <c r="O184" i="2"/>
  <c r="R184" i="2" l="1"/>
  <c r="Q184" i="2"/>
  <c r="S184" i="2" l="1"/>
  <c r="Z184" i="2" s="1"/>
  <c r="Y184" i="2" l="1"/>
  <c r="AA184" i="2" s="1"/>
  <c r="AB185" i="2" s="1"/>
  <c r="B186" i="2" l="1"/>
  <c r="G185" i="2"/>
  <c r="H185" i="2" s="1"/>
  <c r="F185" i="2"/>
  <c r="AC185" i="2"/>
  <c r="AE185" i="2"/>
  <c r="U185" i="2"/>
  <c r="J185" i="2" l="1"/>
  <c r="W185" i="2"/>
  <c r="X185" i="2" s="1"/>
  <c r="AD185" i="2"/>
  <c r="L185" i="2" s="1"/>
  <c r="AF186" i="2"/>
  <c r="C186" i="2"/>
  <c r="I185" i="2" l="1"/>
  <c r="D186" i="2"/>
  <c r="E186" i="2" s="1"/>
  <c r="T186" i="2" s="1"/>
  <c r="K185" i="2"/>
  <c r="V186" i="2" l="1"/>
  <c r="N185" i="2"/>
  <c r="M185" i="2" s="1"/>
  <c r="P185" i="2" s="1"/>
  <c r="AG185" i="2" l="1"/>
  <c r="O185" i="2"/>
  <c r="R185" i="2" l="1"/>
  <c r="Q185" i="2"/>
  <c r="S185" i="2" l="1"/>
  <c r="Z185" i="2" s="1"/>
  <c r="Y185" i="2" l="1"/>
  <c r="AA185" i="2" s="1"/>
  <c r="AB186" i="2" s="1"/>
  <c r="B187" i="2" l="1"/>
  <c r="G186" i="2"/>
  <c r="H186" i="2" s="1"/>
  <c r="F186" i="2"/>
  <c r="AC186" i="2"/>
  <c r="AE186" i="2"/>
  <c r="U186" i="2"/>
  <c r="AD186" i="2" l="1"/>
  <c r="L186" i="2" s="1"/>
  <c r="C187" i="2"/>
  <c r="AF187" i="2"/>
  <c r="J186" i="2"/>
  <c r="W186" i="2"/>
  <c r="X186" i="2" s="1"/>
  <c r="K186" i="2" l="1"/>
  <c r="D187" i="2"/>
  <c r="E187" i="2" s="1"/>
  <c r="T187" i="2" s="1"/>
  <c r="I186" i="2"/>
  <c r="N186" i="2" l="1"/>
  <c r="M186" i="2" s="1"/>
  <c r="P186" i="2" s="1"/>
  <c r="V187" i="2"/>
  <c r="AG186" i="2" l="1"/>
  <c r="O186" i="2"/>
  <c r="R186" i="2" s="1"/>
  <c r="Q186" i="2" l="1"/>
  <c r="S186" i="2" s="1"/>
  <c r="Y186" i="2" s="1"/>
  <c r="AA186" i="2" s="1"/>
  <c r="Z186" i="2" l="1"/>
  <c r="AB187" i="2"/>
  <c r="B188" i="2" l="1"/>
  <c r="G187" i="2"/>
  <c r="H187" i="2" s="1"/>
  <c r="F187" i="2"/>
  <c r="AC187" i="2"/>
  <c r="AE187" i="2"/>
  <c r="U187" i="2"/>
  <c r="AD187" i="2" l="1"/>
  <c r="L187" i="2" s="1"/>
  <c r="J187" i="2"/>
  <c r="W187" i="2"/>
  <c r="X187" i="2" s="1"/>
  <c r="AF188" i="2"/>
  <c r="C188" i="2"/>
  <c r="D188" i="2" l="1"/>
  <c r="E188" i="2" s="1"/>
  <c r="T188" i="2" s="1"/>
  <c r="K187" i="2"/>
  <c r="I187" i="2"/>
  <c r="V188" i="2" l="1"/>
  <c r="N187" i="2"/>
  <c r="M187" i="2" s="1"/>
  <c r="P187" i="2" s="1"/>
  <c r="AG187" i="2" l="1"/>
  <c r="O187" i="2"/>
  <c r="R187" i="2" l="1"/>
  <c r="Q187" i="2"/>
  <c r="S187" i="2" l="1"/>
  <c r="Y187" i="2" s="1"/>
  <c r="AA187" i="2" s="1"/>
  <c r="Z187" i="2" l="1"/>
  <c r="AB188" i="2"/>
  <c r="B189" i="2" l="1"/>
  <c r="G188" i="2"/>
  <c r="H188" i="2" s="1"/>
  <c r="F188" i="2"/>
  <c r="AE188" i="2"/>
  <c r="AC188" i="2"/>
  <c r="U188" i="2"/>
  <c r="J188" i="2" l="1"/>
  <c r="W188" i="2"/>
  <c r="X188" i="2" s="1"/>
  <c r="AF189" i="2"/>
  <c r="C189" i="2"/>
  <c r="AD188" i="2"/>
  <c r="L188" i="2" s="1"/>
  <c r="D189" i="2" l="1"/>
  <c r="E189" i="2" s="1"/>
  <c r="T189" i="2" s="1"/>
  <c r="K188" i="2"/>
  <c r="I188" i="2"/>
  <c r="N188" i="2" l="1"/>
  <c r="M188" i="2" s="1"/>
  <c r="P188" i="2" s="1"/>
  <c r="V189" i="2"/>
  <c r="AG188" i="2" l="1"/>
  <c r="O188" i="2"/>
  <c r="R188" i="2" s="1"/>
  <c r="Q188" i="2" l="1"/>
  <c r="S188" i="2" s="1"/>
  <c r="Z188" i="2" s="1"/>
  <c r="Y188" i="2" l="1"/>
  <c r="AA188" i="2" s="1"/>
  <c r="AB189" i="2" s="1"/>
  <c r="B190" i="2" l="1"/>
  <c r="G189" i="2"/>
  <c r="H189" i="2" s="1"/>
  <c r="F189" i="2"/>
  <c r="AE189" i="2"/>
  <c r="AC189" i="2"/>
  <c r="U189" i="2"/>
  <c r="J189" i="2" l="1"/>
  <c r="W189" i="2"/>
  <c r="X189" i="2" s="1"/>
  <c r="AF190" i="2"/>
  <c r="C190" i="2"/>
  <c r="AD189" i="2"/>
  <c r="L189" i="2" s="1"/>
  <c r="D190" i="2" l="1"/>
  <c r="E190" i="2" s="1"/>
  <c r="T190" i="2" s="1"/>
  <c r="K189" i="2"/>
  <c r="I189" i="2"/>
  <c r="N189" i="2" l="1"/>
  <c r="M189" i="2" s="1"/>
  <c r="P189" i="2" s="1"/>
  <c r="V190" i="2"/>
  <c r="AG189" i="2" l="1"/>
  <c r="O189" i="2"/>
  <c r="Q189" i="2" s="1"/>
  <c r="R189" i="2" l="1"/>
  <c r="S189" i="2" s="1"/>
  <c r="Y189" i="2" l="1"/>
  <c r="AA189" i="2" s="1"/>
  <c r="AB190" i="2" s="1"/>
  <c r="Z189" i="2"/>
  <c r="B191" i="2" l="1"/>
  <c r="G190" i="2"/>
  <c r="H190" i="2" s="1"/>
  <c r="F190" i="2"/>
  <c r="AE190" i="2"/>
  <c r="AC190" i="2"/>
  <c r="U190" i="2"/>
  <c r="AF191" i="2" l="1"/>
  <c r="C191" i="2"/>
  <c r="J190" i="2"/>
  <c r="W190" i="2"/>
  <c r="X190" i="2" s="1"/>
  <c r="AD190" i="2"/>
  <c r="L190" i="2" s="1"/>
  <c r="I190" i="2" l="1"/>
  <c r="D191" i="2"/>
  <c r="E191" i="2" s="1"/>
  <c r="T191" i="2" s="1"/>
  <c r="K190" i="2"/>
  <c r="V191" i="2" l="1"/>
  <c r="N190" i="2"/>
  <c r="M190" i="2" s="1"/>
  <c r="P190" i="2" s="1"/>
  <c r="AG190" i="2" l="1"/>
  <c r="O190" i="2"/>
  <c r="R190" i="2" l="1"/>
  <c r="Q190" i="2"/>
  <c r="S190" i="2" l="1"/>
  <c r="Y190" i="2" s="1"/>
  <c r="AA190" i="2" s="1"/>
  <c r="Z190" i="2" l="1"/>
  <c r="AB191" i="2"/>
  <c r="B192" i="2" l="1"/>
  <c r="G191" i="2"/>
  <c r="H191" i="2" s="1"/>
  <c r="F191" i="2"/>
  <c r="AE191" i="2"/>
  <c r="AC191" i="2"/>
  <c r="U191" i="2"/>
  <c r="AF192" i="2" l="1"/>
  <c r="C192" i="2"/>
  <c r="J191" i="2"/>
  <c r="W191" i="2"/>
  <c r="X191" i="2" s="1"/>
  <c r="AD191" i="2"/>
  <c r="L191" i="2" s="1"/>
  <c r="D192" i="2" l="1"/>
  <c r="E192" i="2" s="1"/>
  <c r="T192" i="2" s="1"/>
  <c r="K191" i="2"/>
  <c r="I191" i="2"/>
  <c r="N191" i="2" l="1"/>
  <c r="M191" i="2" s="1"/>
  <c r="P191" i="2" s="1"/>
  <c r="V192" i="2"/>
  <c r="AG191" i="2" l="1"/>
  <c r="O191" i="2"/>
  <c r="R191" i="2" s="1"/>
  <c r="Q191" i="2" l="1"/>
  <c r="S191" i="2" s="1"/>
  <c r="Z191" i="2" s="1"/>
  <c r="Y191" i="2" l="1"/>
  <c r="AA191" i="2" s="1"/>
  <c r="AB192" i="2" s="1"/>
  <c r="B193" i="2" l="1"/>
  <c r="G192" i="2"/>
  <c r="H192" i="2" s="1"/>
  <c r="F192" i="2"/>
  <c r="AC192" i="2"/>
  <c r="AE192" i="2"/>
  <c r="U192" i="2"/>
  <c r="AF193" i="2" l="1"/>
  <c r="C193" i="2"/>
  <c r="AD192" i="2"/>
  <c r="L192" i="2" s="1"/>
  <c r="J192" i="2"/>
  <c r="W192" i="2"/>
  <c r="X192" i="2" s="1"/>
  <c r="K192" i="2" l="1"/>
  <c r="I192" i="2"/>
  <c r="D193" i="2"/>
  <c r="E193" i="2" s="1"/>
  <c r="T193" i="2" s="1"/>
  <c r="N192" i="2" l="1"/>
  <c r="M192" i="2" s="1"/>
  <c r="P192" i="2" s="1"/>
  <c r="V193" i="2"/>
  <c r="AG192" i="2" l="1"/>
  <c r="O192" i="2"/>
  <c r="Q192" i="2" s="1"/>
  <c r="R192" i="2" l="1"/>
  <c r="S192" i="2" s="1"/>
  <c r="Y192" i="2" s="1"/>
  <c r="AA192" i="2" s="1"/>
  <c r="Z192" i="2" l="1"/>
  <c r="AB193" i="2"/>
  <c r="B194" i="2" l="1"/>
  <c r="G193" i="2"/>
  <c r="H193" i="2" s="1"/>
  <c r="F193" i="2"/>
  <c r="AE193" i="2"/>
  <c r="AC193" i="2"/>
  <c r="U193" i="2"/>
  <c r="AF194" i="2" l="1"/>
  <c r="C194" i="2"/>
  <c r="J193" i="2"/>
  <c r="W193" i="2"/>
  <c r="X193" i="2" s="1"/>
  <c r="AD193" i="2"/>
  <c r="L193" i="2" s="1"/>
  <c r="I193" i="2" l="1"/>
  <c r="D194" i="2"/>
  <c r="E194" i="2" s="1"/>
  <c r="T194" i="2" s="1"/>
  <c r="K193" i="2"/>
  <c r="V194" i="2" l="1"/>
  <c r="N193" i="2"/>
  <c r="M193" i="2" s="1"/>
  <c r="P193" i="2" s="1"/>
  <c r="AG193" i="2" l="1"/>
  <c r="O193" i="2"/>
  <c r="R193" i="2" l="1"/>
  <c r="Q193" i="2"/>
  <c r="S193" i="2" l="1"/>
  <c r="Y193" i="2" s="1"/>
  <c r="AA193" i="2" s="1"/>
  <c r="Z193" i="2" l="1"/>
  <c r="AB194" i="2"/>
  <c r="B195" i="2" l="1"/>
  <c r="G194" i="2"/>
  <c r="H194" i="2" s="1"/>
  <c r="F194" i="2"/>
  <c r="AC194" i="2"/>
  <c r="AE194" i="2"/>
  <c r="U194" i="2"/>
  <c r="AD194" i="2" l="1"/>
  <c r="L194" i="2" s="1"/>
  <c r="J194" i="2"/>
  <c r="W194" i="2"/>
  <c r="X194" i="2" s="1"/>
  <c r="AF195" i="2"/>
  <c r="C195" i="2"/>
  <c r="K194" i="2" l="1"/>
  <c r="I194" i="2"/>
  <c r="D195" i="2"/>
  <c r="E195" i="2" s="1"/>
  <c r="T195" i="2" s="1"/>
  <c r="N194" i="2" l="1"/>
  <c r="M194" i="2" s="1"/>
  <c r="P194" i="2" s="1"/>
  <c r="V195" i="2"/>
  <c r="AG194" i="2" l="1"/>
  <c r="O194" i="2"/>
  <c r="Q194" i="2" s="1"/>
  <c r="R194" i="2" l="1"/>
  <c r="S194" i="2" s="1"/>
  <c r="Y194" i="2" l="1"/>
  <c r="AA194" i="2" s="1"/>
  <c r="AB195" i="2" s="1"/>
  <c r="Z194" i="2"/>
  <c r="B196" i="2" l="1"/>
  <c r="G195" i="2"/>
  <c r="H195" i="2" s="1"/>
  <c r="F195" i="2"/>
  <c r="AE195" i="2"/>
  <c r="AC195" i="2"/>
  <c r="U195" i="2"/>
  <c r="AF196" i="2" l="1"/>
  <c r="C196" i="2"/>
  <c r="J195" i="2"/>
  <c r="W195" i="2"/>
  <c r="X195" i="2" s="1"/>
  <c r="AD195" i="2"/>
  <c r="L195" i="2" s="1"/>
  <c r="K195" i="2" l="1"/>
  <c r="D196" i="2"/>
  <c r="E196" i="2" s="1"/>
  <c r="T196" i="2" s="1"/>
  <c r="I195" i="2"/>
  <c r="N195" i="2" l="1"/>
  <c r="M195" i="2" s="1"/>
  <c r="P195" i="2" s="1"/>
  <c r="V196" i="2"/>
  <c r="AG195" i="2" l="1"/>
  <c r="O195" i="2"/>
  <c r="Q195" i="2" s="1"/>
  <c r="R195" i="2" l="1"/>
  <c r="S195" i="2" s="1"/>
  <c r="Y195" i="2" l="1"/>
  <c r="AA195" i="2" s="1"/>
  <c r="AB196" i="2" s="1"/>
  <c r="Z195" i="2"/>
  <c r="B197" i="2" l="1"/>
  <c r="G196" i="2"/>
  <c r="H196" i="2" s="1"/>
  <c r="F196" i="2"/>
  <c r="AC196" i="2"/>
  <c r="AE196" i="2"/>
  <c r="U196" i="2"/>
  <c r="AF197" i="2" l="1"/>
  <c r="C197" i="2"/>
  <c r="J196" i="2"/>
  <c r="W196" i="2"/>
  <c r="X196" i="2" s="1"/>
  <c r="AD196" i="2"/>
  <c r="L196" i="2" s="1"/>
  <c r="I196" i="2" l="1"/>
  <c r="D197" i="2"/>
  <c r="E197" i="2" s="1"/>
  <c r="T197" i="2" s="1"/>
  <c r="K196" i="2"/>
  <c r="V197" i="2" l="1"/>
  <c r="N196" i="2"/>
  <c r="M196" i="2" s="1"/>
  <c r="P196" i="2" s="1"/>
  <c r="AG196" i="2" l="1"/>
  <c r="O196" i="2"/>
  <c r="R196" i="2" l="1"/>
  <c r="Q196" i="2"/>
  <c r="S196" i="2" l="1"/>
  <c r="Y196" i="2" s="1"/>
  <c r="AA196" i="2" s="1"/>
  <c r="Z196" i="2" l="1"/>
  <c r="AB197" i="2"/>
  <c r="B198" i="2" l="1"/>
  <c r="G197" i="2"/>
  <c r="H197" i="2" s="1"/>
  <c r="F197" i="2"/>
  <c r="AC197" i="2"/>
  <c r="AE197" i="2"/>
  <c r="U197" i="2"/>
  <c r="J197" i="2" l="1"/>
  <c r="W197" i="2"/>
  <c r="X197" i="2" s="1"/>
  <c r="AF198" i="2"/>
  <c r="C198" i="2"/>
  <c r="AD197" i="2"/>
  <c r="L197" i="2" s="1"/>
  <c r="D198" i="2" l="1"/>
  <c r="E198" i="2" s="1"/>
  <c r="T198" i="2" s="1"/>
  <c r="K197" i="2"/>
  <c r="I197" i="2"/>
  <c r="N197" i="2" l="1"/>
  <c r="M197" i="2" s="1"/>
  <c r="P197" i="2" s="1"/>
  <c r="V198" i="2"/>
  <c r="AG197" i="2" l="1"/>
  <c r="O197" i="2"/>
  <c r="R197" i="2" s="1"/>
  <c r="Q197" i="2" l="1"/>
  <c r="S197" i="2" s="1"/>
  <c r="Z197" i="2" s="1"/>
  <c r="Y197" i="2" l="1"/>
  <c r="AA197" i="2" s="1"/>
  <c r="AB198" i="2" s="1"/>
  <c r="B199" i="2" l="1"/>
  <c r="G198" i="2"/>
  <c r="H198" i="2" s="1"/>
  <c r="F198" i="2"/>
  <c r="AC198" i="2"/>
  <c r="AE198" i="2"/>
  <c r="U198" i="2"/>
  <c r="AD198" i="2" l="1"/>
  <c r="L198" i="2" s="1"/>
  <c r="J198" i="2"/>
  <c r="W198" i="2"/>
  <c r="X198" i="2" s="1"/>
  <c r="AF199" i="2"/>
  <c r="C199" i="2"/>
  <c r="I198" i="2" l="1"/>
  <c r="K198" i="2"/>
  <c r="D199" i="2"/>
  <c r="E199" i="2" s="1"/>
  <c r="T199" i="2" s="1"/>
  <c r="N198" i="2" l="1"/>
  <c r="M198" i="2" s="1"/>
  <c r="P198" i="2" s="1"/>
  <c r="V199" i="2"/>
  <c r="AG198" i="2" l="1"/>
  <c r="O198" i="2"/>
  <c r="R198" i="2" s="1"/>
  <c r="Q198" i="2" l="1"/>
  <c r="S198" i="2" s="1"/>
  <c r="Z198" i="2" s="1"/>
  <c r="Y198" i="2" l="1"/>
  <c r="AA198" i="2" s="1"/>
  <c r="AB199" i="2" s="1"/>
  <c r="B200" i="2" l="1"/>
  <c r="G199" i="2"/>
  <c r="H199" i="2" s="1"/>
  <c r="F199" i="2"/>
  <c r="AE199" i="2"/>
  <c r="AC199" i="2"/>
  <c r="U199" i="2"/>
  <c r="J199" i="2" l="1"/>
  <c r="W199" i="2"/>
  <c r="X199" i="2" s="1"/>
  <c r="AF200" i="2"/>
  <c r="C200" i="2"/>
  <c r="AD199" i="2"/>
  <c r="L199" i="2" s="1"/>
  <c r="D200" i="2" l="1"/>
  <c r="E200" i="2" s="1"/>
  <c r="T200" i="2" s="1"/>
  <c r="K199" i="2"/>
  <c r="I199" i="2"/>
  <c r="N199" i="2" l="1"/>
  <c r="M199" i="2" s="1"/>
  <c r="P199" i="2" s="1"/>
  <c r="V200" i="2"/>
  <c r="AG199" i="2" l="1"/>
  <c r="O199" i="2"/>
  <c r="Q199" i="2" s="1"/>
  <c r="R199" i="2" l="1"/>
  <c r="S199" i="2" s="1"/>
  <c r="Y199" i="2" s="1"/>
  <c r="AA199" i="2" s="1"/>
  <c r="Z199" i="2" l="1"/>
  <c r="AB200" i="2"/>
  <c r="B201" i="2" l="1"/>
  <c r="G200" i="2"/>
  <c r="H200" i="2" s="1"/>
  <c r="F200" i="2"/>
  <c r="AE200" i="2"/>
  <c r="AC200" i="2"/>
  <c r="U200" i="2"/>
  <c r="J200" i="2" l="1"/>
  <c r="W200" i="2"/>
  <c r="X200" i="2" s="1"/>
  <c r="C201" i="2"/>
  <c r="AF201" i="2"/>
  <c r="AD200" i="2"/>
  <c r="L200" i="2" s="1"/>
  <c r="K200" i="2" l="1"/>
  <c r="D201" i="2"/>
  <c r="E201" i="2" s="1"/>
  <c r="T201" i="2" s="1"/>
  <c r="I200" i="2"/>
  <c r="N200" i="2" l="1"/>
  <c r="M200" i="2" s="1"/>
  <c r="P200" i="2" s="1"/>
  <c r="V201" i="2"/>
  <c r="AG200" i="2" l="1"/>
  <c r="O200" i="2"/>
  <c r="Q200" i="2" s="1"/>
  <c r="R200" i="2" l="1"/>
  <c r="S200" i="2" s="1"/>
  <c r="Y200" i="2" s="1"/>
  <c r="AA200" i="2" s="1"/>
  <c r="Z200" i="2" l="1"/>
  <c r="AB201" i="2"/>
  <c r="B202" i="2" l="1"/>
  <c r="G201" i="2"/>
  <c r="H201" i="2" s="1"/>
  <c r="F201" i="2"/>
  <c r="AE201" i="2"/>
  <c r="AC201" i="2"/>
  <c r="U201" i="2"/>
  <c r="C202" i="2" l="1"/>
  <c r="AF202" i="2"/>
  <c r="J201" i="2"/>
  <c r="W201" i="2"/>
  <c r="X201" i="2" s="1"/>
  <c r="AD201" i="2"/>
  <c r="L201" i="2" s="1"/>
  <c r="I201" i="2" l="1"/>
  <c r="D202" i="2"/>
  <c r="E202" i="2" s="1"/>
  <c r="T202" i="2" s="1"/>
  <c r="K201" i="2"/>
  <c r="N201" i="2" l="1"/>
  <c r="M201" i="2" s="1"/>
  <c r="P201" i="2" s="1"/>
  <c r="V202" i="2"/>
  <c r="AG201" i="2" l="1"/>
  <c r="O201" i="2"/>
  <c r="R201" i="2" l="1"/>
  <c r="Q201" i="2"/>
  <c r="S201" i="2" l="1"/>
  <c r="Y201" i="2" s="1"/>
  <c r="AA201" i="2" s="1"/>
  <c r="Z201" i="2" l="1"/>
  <c r="AB202" i="2"/>
  <c r="B203" i="2" l="1"/>
  <c r="G202" i="2"/>
  <c r="H202" i="2" s="1"/>
  <c r="F202" i="2"/>
  <c r="AC202" i="2"/>
  <c r="AE202" i="2"/>
  <c r="U202" i="2"/>
  <c r="J202" i="2" l="1"/>
  <c r="W202" i="2"/>
  <c r="X202" i="2" s="1"/>
  <c r="AF203" i="2"/>
  <c r="C203" i="2"/>
  <c r="AD202" i="2"/>
  <c r="L202" i="2" s="1"/>
  <c r="D203" i="2" l="1"/>
  <c r="E203" i="2" s="1"/>
  <c r="T203" i="2" s="1"/>
  <c r="K202" i="2"/>
  <c r="I202" i="2"/>
  <c r="N202" i="2" l="1"/>
  <c r="M202" i="2" s="1"/>
  <c r="P202" i="2" s="1"/>
  <c r="V203" i="2"/>
  <c r="AG202" i="2" l="1"/>
  <c r="O202" i="2"/>
  <c r="R202" i="2" s="1"/>
  <c r="Q202" i="2" l="1"/>
  <c r="S202" i="2" s="1"/>
  <c r="Y202" i="2" s="1"/>
  <c r="AA202" i="2" s="1"/>
  <c r="Z202" i="2" l="1"/>
  <c r="AB203" i="2"/>
  <c r="B204" i="2" l="1"/>
  <c r="G203" i="2"/>
  <c r="H203" i="2" s="1"/>
  <c r="F203" i="2"/>
  <c r="AC203" i="2"/>
  <c r="AE203" i="2"/>
  <c r="U203" i="2"/>
  <c r="AF204" i="2" l="1"/>
  <c r="C204" i="2"/>
  <c r="J203" i="2"/>
  <c r="W203" i="2"/>
  <c r="X203" i="2" s="1"/>
  <c r="AD203" i="2"/>
  <c r="L203" i="2" s="1"/>
  <c r="I203" i="2" l="1"/>
  <c r="D204" i="2"/>
  <c r="E204" i="2" s="1"/>
  <c r="T204" i="2" s="1"/>
  <c r="K203" i="2"/>
  <c r="V204" i="2" l="1"/>
  <c r="N203" i="2"/>
  <c r="M203" i="2" s="1"/>
  <c r="P203" i="2" s="1"/>
  <c r="AG203" i="2" l="1"/>
  <c r="O203" i="2"/>
  <c r="R203" i="2" l="1"/>
  <c r="Q203" i="2"/>
  <c r="S203" i="2" l="1"/>
  <c r="Z203" i="2" s="1"/>
  <c r="Y203" i="2" l="1"/>
  <c r="AA203" i="2" s="1"/>
  <c r="AB204" i="2" s="1"/>
  <c r="B205" i="2" l="1"/>
  <c r="G204" i="2"/>
  <c r="H204" i="2" s="1"/>
  <c r="F204" i="2"/>
  <c r="AC204" i="2"/>
  <c r="AE204" i="2"/>
  <c r="U204" i="2"/>
  <c r="AF205" i="2" l="1"/>
  <c r="C205" i="2"/>
  <c r="J204" i="2"/>
  <c r="W204" i="2"/>
  <c r="X204" i="2" s="1"/>
  <c r="AD204" i="2"/>
  <c r="L204" i="2" s="1"/>
  <c r="I204" i="2" l="1"/>
  <c r="D205" i="2"/>
  <c r="E205" i="2" s="1"/>
  <c r="T205" i="2" s="1"/>
  <c r="K204" i="2"/>
  <c r="V205" i="2" l="1"/>
  <c r="N204" i="2"/>
  <c r="M204" i="2" s="1"/>
  <c r="P204" i="2" s="1"/>
  <c r="AG204" i="2" l="1"/>
  <c r="O204" i="2"/>
  <c r="R204" i="2" l="1"/>
  <c r="Q204" i="2"/>
  <c r="S204" i="2" l="1"/>
  <c r="Z204" i="2" s="1"/>
  <c r="Y204" i="2" l="1"/>
  <c r="AA204" i="2" s="1"/>
  <c r="AB205" i="2" s="1"/>
  <c r="B206" i="2" l="1"/>
  <c r="G205" i="2"/>
  <c r="H205" i="2" s="1"/>
  <c r="F205" i="2"/>
  <c r="AC205" i="2"/>
  <c r="AE205" i="2"/>
  <c r="U205" i="2"/>
  <c r="AD205" i="2" l="1"/>
  <c r="L205" i="2" s="1"/>
  <c r="AF206" i="2"/>
  <c r="C206" i="2"/>
  <c r="J205" i="2"/>
  <c r="W205" i="2"/>
  <c r="X205" i="2" s="1"/>
  <c r="D206" i="2" l="1"/>
  <c r="E206" i="2" s="1"/>
  <c r="T206" i="2" s="1"/>
  <c r="K205" i="2"/>
  <c r="I205" i="2"/>
  <c r="V206" i="2" l="1"/>
  <c r="N205" i="2"/>
  <c r="M205" i="2" s="1"/>
  <c r="P205" i="2" s="1"/>
  <c r="AG205" i="2" l="1"/>
  <c r="O205" i="2"/>
  <c r="R205" i="2" l="1"/>
  <c r="Q205" i="2"/>
  <c r="S205" i="2" l="1"/>
  <c r="Z205" i="2" s="1"/>
  <c r="Y205" i="2" l="1"/>
  <c r="AA205" i="2" s="1"/>
  <c r="AB206" i="2" s="1"/>
  <c r="B207" i="2" l="1"/>
  <c r="G206" i="2"/>
  <c r="H206" i="2" s="1"/>
  <c r="F206" i="2"/>
  <c r="AC206" i="2"/>
  <c r="AE206" i="2"/>
  <c r="U206" i="2"/>
  <c r="J206" i="2" l="1"/>
  <c r="W206" i="2"/>
  <c r="X206" i="2" s="1"/>
  <c r="AF207" i="2"/>
  <c r="C207" i="2"/>
  <c r="AD206" i="2"/>
  <c r="L206" i="2" s="1"/>
  <c r="D207" i="2" l="1"/>
  <c r="E207" i="2" s="1"/>
  <c r="T207" i="2" s="1"/>
  <c r="K206" i="2"/>
  <c r="I206" i="2"/>
  <c r="N206" i="2" l="1"/>
  <c r="M206" i="2" s="1"/>
  <c r="P206" i="2" s="1"/>
  <c r="V207" i="2"/>
  <c r="AG206" i="2" l="1"/>
  <c r="O206" i="2"/>
  <c r="Q206" i="2" s="1"/>
  <c r="R206" i="2" l="1"/>
  <c r="S206" i="2" s="1"/>
  <c r="Z206" i="2" s="1"/>
  <c r="Y206" i="2" l="1"/>
  <c r="AA206" i="2" s="1"/>
  <c r="AB207" i="2" s="1"/>
  <c r="B208" i="2" l="1"/>
  <c r="G207" i="2"/>
  <c r="H207" i="2" s="1"/>
  <c r="F207" i="2"/>
  <c r="AC207" i="2"/>
  <c r="AE207" i="2"/>
  <c r="U207" i="2"/>
  <c r="J207" i="2" l="1"/>
  <c r="W207" i="2"/>
  <c r="X207" i="2" s="1"/>
  <c r="AF208" i="2"/>
  <c r="C208" i="2"/>
  <c r="AD207" i="2"/>
  <c r="L207" i="2" s="1"/>
  <c r="K207" i="2" l="1"/>
  <c r="D208" i="2"/>
  <c r="E208" i="2" s="1"/>
  <c r="T208" i="2" s="1"/>
  <c r="I207" i="2"/>
  <c r="N207" i="2" l="1"/>
  <c r="M207" i="2" s="1"/>
  <c r="P207" i="2" s="1"/>
  <c r="V208" i="2"/>
  <c r="AG207" i="2" l="1"/>
  <c r="O207" i="2"/>
  <c r="Q207" i="2" s="1"/>
  <c r="R207" i="2" l="1"/>
  <c r="S207" i="2" s="1"/>
  <c r="Z207" i="2" s="1"/>
  <c r="Y207" i="2" l="1"/>
  <c r="AA207" i="2" s="1"/>
  <c r="AB208" i="2" s="1"/>
  <c r="B209" i="2" l="1"/>
  <c r="G208" i="2"/>
  <c r="H208" i="2" s="1"/>
  <c r="F208" i="2"/>
  <c r="AC208" i="2"/>
  <c r="AE208" i="2"/>
  <c r="U208" i="2"/>
  <c r="AD208" i="2" l="1"/>
  <c r="L208" i="2" s="1"/>
  <c r="AF209" i="2"/>
  <c r="C209" i="2"/>
  <c r="J208" i="2"/>
  <c r="W208" i="2"/>
  <c r="X208" i="2" s="1"/>
  <c r="K208" i="2" l="1"/>
  <c r="I208" i="2"/>
  <c r="D209" i="2"/>
  <c r="E209" i="2" s="1"/>
  <c r="T209" i="2" s="1"/>
  <c r="V209" i="2" l="1"/>
  <c r="N208" i="2"/>
  <c r="M208" i="2" s="1"/>
  <c r="P208" i="2" s="1"/>
  <c r="AG208" i="2" l="1"/>
  <c r="O208" i="2"/>
  <c r="R208" i="2" l="1"/>
  <c r="Q208" i="2"/>
  <c r="S208" i="2" l="1"/>
  <c r="Y208" i="2" s="1"/>
  <c r="AA208" i="2" s="1"/>
  <c r="Z208" i="2" l="1"/>
  <c r="AB209" i="2"/>
  <c r="B210" i="2" l="1"/>
  <c r="G209" i="2"/>
  <c r="H209" i="2" s="1"/>
  <c r="F209" i="2"/>
  <c r="AC209" i="2"/>
  <c r="AE209" i="2"/>
  <c r="U209" i="2"/>
  <c r="AD209" i="2" l="1"/>
  <c r="L209" i="2" s="1"/>
  <c r="AF210" i="2"/>
  <c r="C210" i="2"/>
  <c r="J209" i="2"/>
  <c r="W209" i="2"/>
  <c r="X209" i="2" s="1"/>
  <c r="K209" i="2" l="1"/>
  <c r="D210" i="2"/>
  <c r="E210" i="2" s="1"/>
  <c r="T210" i="2" s="1"/>
  <c r="I209" i="2"/>
  <c r="N209" i="2" l="1"/>
  <c r="M209" i="2" s="1"/>
  <c r="P209" i="2" s="1"/>
  <c r="V210" i="2"/>
  <c r="AG209" i="2" l="1"/>
  <c r="O209" i="2"/>
  <c r="Q209" i="2" s="1"/>
  <c r="R209" i="2" l="1"/>
  <c r="S209" i="2" s="1"/>
  <c r="Z209" i="2" s="1"/>
  <c r="Y209" i="2" l="1"/>
  <c r="AA209" i="2" s="1"/>
  <c r="AB210" i="2" s="1"/>
  <c r="B211" i="2" l="1"/>
  <c r="G210" i="2"/>
  <c r="H210" i="2" s="1"/>
  <c r="F210" i="2"/>
  <c r="AC210" i="2"/>
  <c r="AE210" i="2"/>
  <c r="U210" i="2"/>
  <c r="J210" i="2" l="1"/>
  <c r="W210" i="2"/>
  <c r="X210" i="2" s="1"/>
  <c r="AD210" i="2"/>
  <c r="L210" i="2" s="1"/>
  <c r="AF211" i="2"/>
  <c r="C211" i="2"/>
  <c r="K210" i="2" l="1"/>
  <c r="D211" i="2"/>
  <c r="E211" i="2" s="1"/>
  <c r="T211" i="2" s="1"/>
  <c r="I210" i="2"/>
  <c r="N210" i="2" l="1"/>
  <c r="M210" i="2" s="1"/>
  <c r="P210" i="2" s="1"/>
  <c r="V211" i="2"/>
  <c r="AG210" i="2" l="1"/>
  <c r="O210" i="2"/>
  <c r="R210" i="2" s="1"/>
  <c r="Q210" i="2" l="1"/>
  <c r="S210" i="2" s="1"/>
  <c r="Z210" i="2" s="1"/>
  <c r="Y210" i="2" l="1"/>
  <c r="AA210" i="2" s="1"/>
  <c r="AB211" i="2" s="1"/>
  <c r="B212" i="2" l="1"/>
  <c r="G211" i="2"/>
  <c r="H211" i="2" s="1"/>
  <c r="F211" i="2"/>
  <c r="AE211" i="2"/>
  <c r="AC211" i="2"/>
  <c r="U211" i="2"/>
  <c r="J211" i="2" l="1"/>
  <c r="W211" i="2"/>
  <c r="X211" i="2" s="1"/>
  <c r="C212" i="2"/>
  <c r="AF212" i="2"/>
  <c r="AD211" i="2"/>
  <c r="L211" i="2" s="1"/>
  <c r="K211" i="2" l="1"/>
  <c r="D212" i="2"/>
  <c r="E212" i="2" s="1"/>
  <c r="T212" i="2" s="1"/>
  <c r="I211" i="2"/>
  <c r="N211" i="2" l="1"/>
  <c r="M211" i="2" s="1"/>
  <c r="P211" i="2" s="1"/>
  <c r="V212" i="2"/>
  <c r="AG211" i="2" l="1"/>
  <c r="O211" i="2"/>
  <c r="Q211" i="2" s="1"/>
  <c r="R211" i="2" l="1"/>
  <c r="S211" i="2" s="1"/>
  <c r="Z211" i="2" s="1"/>
  <c r="Y211" i="2" l="1"/>
  <c r="AA211" i="2" s="1"/>
  <c r="AB212" i="2" s="1"/>
  <c r="B213" i="2" l="1"/>
  <c r="G212" i="2"/>
  <c r="H212" i="2" s="1"/>
  <c r="F212" i="2"/>
  <c r="AE212" i="2"/>
  <c r="AC212" i="2"/>
  <c r="U212" i="2"/>
  <c r="AF213" i="2" l="1"/>
  <c r="C213" i="2"/>
  <c r="AD212" i="2"/>
  <c r="L212" i="2" s="1"/>
  <c r="J212" i="2"/>
  <c r="W212" i="2"/>
  <c r="X212" i="2" s="1"/>
  <c r="K212" i="2" l="1"/>
  <c r="I212" i="2"/>
  <c r="D213" i="2"/>
  <c r="E213" i="2" s="1"/>
  <c r="T213" i="2" s="1"/>
  <c r="N212" i="2" l="1"/>
  <c r="M212" i="2" s="1"/>
  <c r="P212" i="2" s="1"/>
  <c r="V213" i="2"/>
  <c r="AG212" i="2" l="1"/>
  <c r="O212" i="2"/>
  <c r="Q212" i="2" s="1"/>
  <c r="R212" i="2" l="1"/>
  <c r="S212" i="2" s="1"/>
  <c r="Y212" i="2" s="1"/>
  <c r="AA212" i="2" s="1"/>
  <c r="Z212" i="2" l="1"/>
  <c r="AB213" i="2"/>
  <c r="B214" i="2" l="1"/>
  <c r="G213" i="2"/>
  <c r="H213" i="2" s="1"/>
  <c r="F213" i="2"/>
  <c r="AE213" i="2"/>
  <c r="AC213" i="2"/>
  <c r="U213" i="2"/>
  <c r="AF214" i="2" l="1"/>
  <c r="C214" i="2"/>
  <c r="J213" i="2"/>
  <c r="W213" i="2"/>
  <c r="X213" i="2" s="1"/>
  <c r="AD213" i="2"/>
  <c r="L213" i="2" s="1"/>
  <c r="K213" i="2" l="1"/>
  <c r="D214" i="2"/>
  <c r="E214" i="2" s="1"/>
  <c r="T214" i="2" s="1"/>
  <c r="I213" i="2"/>
  <c r="N213" i="2" l="1"/>
  <c r="M213" i="2" s="1"/>
  <c r="P213" i="2" s="1"/>
  <c r="V214" i="2"/>
  <c r="AG213" i="2" l="1"/>
  <c r="O213" i="2"/>
  <c r="R213" i="2" s="1"/>
  <c r="Q213" i="2" l="1"/>
  <c r="S213" i="2" s="1"/>
  <c r="Z213" i="2" s="1"/>
  <c r="Y213" i="2" l="1"/>
  <c r="AA213" i="2" s="1"/>
  <c r="AB214" i="2" s="1"/>
  <c r="B215" i="2" l="1"/>
  <c r="G214" i="2"/>
  <c r="H214" i="2" s="1"/>
  <c r="F214" i="2"/>
  <c r="AE214" i="2"/>
  <c r="AC214" i="2"/>
  <c r="U214" i="2"/>
  <c r="AD214" i="2" l="1"/>
  <c r="L214" i="2" s="1"/>
  <c r="J214" i="2"/>
  <c r="W214" i="2"/>
  <c r="X214" i="2" s="1"/>
  <c r="AF215" i="2"/>
  <c r="C215" i="2"/>
  <c r="I214" i="2" l="1"/>
  <c r="D215" i="2"/>
  <c r="E215" i="2" s="1"/>
  <c r="T215" i="2" s="1"/>
  <c r="K214" i="2"/>
  <c r="V215" i="2" l="1"/>
  <c r="N214" i="2"/>
  <c r="M214" i="2" s="1"/>
  <c r="P214" i="2" s="1"/>
  <c r="AG214" i="2" l="1"/>
  <c r="O214" i="2"/>
  <c r="R214" i="2" l="1"/>
  <c r="Q214" i="2"/>
  <c r="S214" i="2" l="1"/>
  <c r="Z214" i="2" s="1"/>
  <c r="Y214" i="2" l="1"/>
  <c r="AA214" i="2" s="1"/>
  <c r="AB215" i="2" s="1"/>
  <c r="B216" i="2" l="1"/>
  <c r="G215" i="2"/>
  <c r="H215" i="2" s="1"/>
  <c r="F215" i="2"/>
  <c r="AC215" i="2"/>
  <c r="AE215" i="2"/>
  <c r="U215" i="2"/>
  <c r="AD215" i="2" l="1"/>
  <c r="L215" i="2" s="1"/>
  <c r="AF216" i="2"/>
  <c r="C216" i="2"/>
  <c r="J215" i="2"/>
  <c r="W215" i="2"/>
  <c r="X215" i="2" s="1"/>
  <c r="D216" i="2" l="1"/>
  <c r="E216" i="2" s="1"/>
  <c r="T216" i="2" s="1"/>
  <c r="K215" i="2"/>
  <c r="I215" i="2"/>
  <c r="V216" i="2" l="1"/>
  <c r="N215" i="2"/>
  <c r="M215" i="2" s="1"/>
  <c r="P215" i="2" s="1"/>
  <c r="AG215" i="2" l="1"/>
  <c r="O215" i="2"/>
  <c r="R215" i="2" l="1"/>
  <c r="Q215" i="2"/>
  <c r="S215" i="2" l="1"/>
  <c r="Z215" i="2" s="1"/>
  <c r="Y215" i="2" l="1"/>
  <c r="AA215" i="2" s="1"/>
  <c r="AB216" i="2" s="1"/>
  <c r="B217" i="2" l="1"/>
  <c r="G216" i="2"/>
  <c r="H216" i="2" s="1"/>
  <c r="F216" i="2"/>
  <c r="AC216" i="2"/>
  <c r="AE216" i="2"/>
  <c r="U216" i="2"/>
  <c r="J216" i="2" l="1"/>
  <c r="W216" i="2"/>
  <c r="X216" i="2" s="1"/>
  <c r="AF217" i="2"/>
  <c r="C217" i="2"/>
  <c r="AD216" i="2"/>
  <c r="L216" i="2" s="1"/>
  <c r="D217" i="2" l="1"/>
  <c r="E217" i="2" s="1"/>
  <c r="T217" i="2" s="1"/>
  <c r="K216" i="2"/>
  <c r="I216" i="2"/>
  <c r="N216" i="2" l="1"/>
  <c r="M216" i="2" s="1"/>
  <c r="P216" i="2" s="1"/>
  <c r="V217" i="2"/>
  <c r="AG216" i="2" l="1"/>
  <c r="O216" i="2"/>
  <c r="R216" i="2" s="1"/>
  <c r="Q216" i="2" l="1"/>
  <c r="S216" i="2" s="1"/>
  <c r="Z216" i="2" s="1"/>
  <c r="Y216" i="2" l="1"/>
  <c r="AA216" i="2" s="1"/>
  <c r="AB217" i="2" s="1"/>
  <c r="B218" i="2" l="1"/>
  <c r="G217" i="2"/>
  <c r="H217" i="2" s="1"/>
  <c r="F217" i="2"/>
  <c r="AC217" i="2"/>
  <c r="AE217" i="2"/>
  <c r="U217" i="2"/>
  <c r="AD217" i="2" l="1"/>
  <c r="L217" i="2" s="1"/>
  <c r="AF218" i="2"/>
  <c r="C218" i="2"/>
  <c r="J217" i="2"/>
  <c r="W217" i="2"/>
  <c r="X217" i="2" s="1"/>
  <c r="D218" i="2" l="1"/>
  <c r="E218" i="2" s="1"/>
  <c r="T218" i="2" s="1"/>
  <c r="K217" i="2"/>
  <c r="I217" i="2"/>
  <c r="N217" i="2" l="1"/>
  <c r="M217" i="2" s="1"/>
  <c r="P217" i="2" s="1"/>
  <c r="V218" i="2"/>
  <c r="AG217" i="2" l="1"/>
  <c r="O217" i="2"/>
  <c r="R217" i="2" s="1"/>
  <c r="Q217" i="2" l="1"/>
  <c r="S217" i="2" s="1"/>
  <c r="Y217" i="2" s="1"/>
  <c r="AA217" i="2" s="1"/>
  <c r="Z217" i="2" l="1"/>
  <c r="AB218" i="2"/>
  <c r="B219" i="2" l="1"/>
  <c r="G218" i="2"/>
  <c r="H218" i="2" s="1"/>
  <c r="F218" i="2"/>
  <c r="AC218" i="2"/>
  <c r="AE218" i="2"/>
  <c r="U218" i="2"/>
  <c r="AF219" i="2" l="1"/>
  <c r="C219" i="2"/>
  <c r="J218" i="2"/>
  <c r="W218" i="2"/>
  <c r="X218" i="2" s="1"/>
  <c r="AD218" i="2"/>
  <c r="L218" i="2" s="1"/>
  <c r="I218" i="2" l="1"/>
  <c r="D219" i="2"/>
  <c r="E219" i="2" s="1"/>
  <c r="T219" i="2" s="1"/>
  <c r="K218" i="2"/>
  <c r="N218" i="2" l="1"/>
  <c r="M218" i="2" s="1"/>
  <c r="P218" i="2" s="1"/>
  <c r="V219" i="2"/>
  <c r="AG218" i="2" l="1"/>
  <c r="O218" i="2"/>
  <c r="R218" i="2" l="1"/>
  <c r="Q218" i="2"/>
  <c r="S218" i="2" l="1"/>
  <c r="Y218" i="2" s="1"/>
  <c r="AA218" i="2" s="1"/>
  <c r="Z218" i="2" l="1"/>
  <c r="AB219" i="2"/>
  <c r="B220" i="2" l="1"/>
  <c r="G219" i="2"/>
  <c r="H219" i="2" s="1"/>
  <c r="F219" i="2"/>
  <c r="AC219" i="2"/>
  <c r="AE219" i="2"/>
  <c r="U219" i="2"/>
  <c r="AD219" i="2" l="1"/>
  <c r="L219" i="2" s="1"/>
  <c r="C220" i="2"/>
  <c r="AF220" i="2"/>
  <c r="J219" i="2"/>
  <c r="W219" i="2"/>
  <c r="X219" i="2" s="1"/>
  <c r="K219" i="2" l="1"/>
  <c r="D220" i="2"/>
  <c r="E220" i="2" s="1"/>
  <c r="T220" i="2" s="1"/>
  <c r="I219" i="2"/>
  <c r="N219" i="2" l="1"/>
  <c r="M219" i="2" s="1"/>
  <c r="P219" i="2" s="1"/>
  <c r="V220" i="2"/>
  <c r="AG219" i="2" l="1"/>
  <c r="O219" i="2"/>
  <c r="Q219" i="2" s="1"/>
  <c r="R219" i="2" l="1"/>
  <c r="S219" i="2" s="1"/>
  <c r="Y219" i="2" s="1"/>
  <c r="AA219" i="2" s="1"/>
  <c r="Z219" i="2" l="1"/>
  <c r="AB220" i="2"/>
  <c r="B221" i="2" l="1"/>
  <c r="G220" i="2"/>
  <c r="H220" i="2" s="1"/>
  <c r="F220" i="2"/>
  <c r="AC220" i="2"/>
  <c r="AE220" i="2"/>
  <c r="U220" i="2"/>
  <c r="AF221" i="2" l="1"/>
  <c r="C221" i="2"/>
  <c r="J220" i="2"/>
  <c r="W220" i="2"/>
  <c r="X220" i="2" s="1"/>
  <c r="AD220" i="2"/>
  <c r="L220" i="2" s="1"/>
  <c r="I220" i="2" l="1"/>
  <c r="D221" i="2"/>
  <c r="E221" i="2" s="1"/>
  <c r="T221" i="2" s="1"/>
  <c r="K220" i="2"/>
  <c r="N220" i="2" l="1"/>
  <c r="M220" i="2" s="1"/>
  <c r="P220" i="2" s="1"/>
  <c r="V221" i="2"/>
  <c r="AG220" i="2" l="1"/>
  <c r="O220" i="2"/>
  <c r="R220" i="2" l="1"/>
  <c r="Q220" i="2"/>
  <c r="S220" i="2" l="1"/>
  <c r="Y220" i="2" s="1"/>
  <c r="AA220" i="2" s="1"/>
  <c r="Z220" i="2" l="1"/>
  <c r="AB221" i="2"/>
  <c r="B222" i="2" l="1"/>
  <c r="G221" i="2"/>
  <c r="H221" i="2" s="1"/>
  <c r="F221" i="2"/>
  <c r="AC221" i="2"/>
  <c r="AE221" i="2"/>
  <c r="U221" i="2"/>
  <c r="AF222" i="2" l="1"/>
  <c r="C222" i="2"/>
  <c r="J221" i="2"/>
  <c r="W221" i="2"/>
  <c r="X221" i="2" s="1"/>
  <c r="AD221" i="2"/>
  <c r="L221" i="2" s="1"/>
  <c r="I221" i="2" l="1"/>
  <c r="D222" i="2"/>
  <c r="E222" i="2" s="1"/>
  <c r="T222" i="2" s="1"/>
  <c r="K221" i="2"/>
  <c r="V222" i="2" l="1"/>
  <c r="N221" i="2"/>
  <c r="M221" i="2" s="1"/>
  <c r="P221" i="2" s="1"/>
  <c r="AG221" i="2" l="1"/>
  <c r="O221" i="2"/>
  <c r="R221" i="2" l="1"/>
  <c r="Q221" i="2"/>
  <c r="S221" i="2" l="1"/>
  <c r="Z221" i="2" s="1"/>
  <c r="Y221" i="2" l="1"/>
  <c r="AA221" i="2" s="1"/>
  <c r="AB222" i="2" s="1"/>
  <c r="B223" i="2" l="1"/>
  <c r="G222" i="2"/>
  <c r="H222" i="2" s="1"/>
  <c r="F222" i="2"/>
  <c r="AC222" i="2"/>
  <c r="AE222" i="2"/>
  <c r="U222" i="2"/>
  <c r="AD222" i="2" l="1"/>
  <c r="L222" i="2" s="1"/>
  <c r="AF223" i="2"/>
  <c r="C223" i="2"/>
  <c r="J222" i="2"/>
  <c r="W222" i="2"/>
  <c r="X222" i="2" s="1"/>
  <c r="K222" i="2" l="1"/>
  <c r="I222" i="2"/>
  <c r="D223" i="2"/>
  <c r="E223" i="2" s="1"/>
  <c r="T223" i="2" s="1"/>
  <c r="N222" i="2" l="1"/>
  <c r="M222" i="2" s="1"/>
  <c r="P222" i="2" s="1"/>
  <c r="V223" i="2"/>
  <c r="AG222" i="2" l="1"/>
  <c r="O222" i="2"/>
  <c r="R222" i="2" s="1"/>
  <c r="Q222" i="2" l="1"/>
  <c r="S222" i="2" s="1"/>
  <c r="Y222" i="2" l="1"/>
  <c r="AA222" i="2" s="1"/>
  <c r="AB223" i="2" s="1"/>
  <c r="Z222" i="2"/>
  <c r="B224" i="2" l="1"/>
  <c r="G223" i="2"/>
  <c r="H223" i="2" s="1"/>
  <c r="F223" i="2"/>
  <c r="AC223" i="2"/>
  <c r="AE223" i="2"/>
  <c r="U223" i="2"/>
  <c r="AF224" i="2" l="1"/>
  <c r="C224" i="2"/>
  <c r="J223" i="2"/>
  <c r="W223" i="2"/>
  <c r="X223" i="2" s="1"/>
  <c r="AD223" i="2"/>
  <c r="L223" i="2" s="1"/>
  <c r="I223" i="2" l="1"/>
  <c r="D224" i="2"/>
  <c r="E224" i="2" s="1"/>
  <c r="T224" i="2" s="1"/>
  <c r="K223" i="2"/>
  <c r="V224" i="2" l="1"/>
  <c r="N223" i="2"/>
  <c r="M223" i="2" s="1"/>
  <c r="P223" i="2" s="1"/>
  <c r="AG223" i="2" l="1"/>
  <c r="O223" i="2"/>
  <c r="R223" i="2" l="1"/>
  <c r="Q223" i="2"/>
  <c r="S223" i="2" l="1"/>
  <c r="Z223" i="2" s="1"/>
  <c r="Y223" i="2" l="1"/>
  <c r="AA223" i="2" s="1"/>
  <c r="AB224" i="2" s="1"/>
  <c r="B225" i="2" l="1"/>
  <c r="G224" i="2"/>
  <c r="H224" i="2" s="1"/>
  <c r="F224" i="2"/>
  <c r="AC224" i="2"/>
  <c r="AE224" i="2"/>
  <c r="U224" i="2"/>
  <c r="AD224" i="2" l="1"/>
  <c r="L224" i="2" s="1"/>
  <c r="J224" i="2"/>
  <c r="W224" i="2"/>
  <c r="X224" i="2" s="1"/>
  <c r="AF225" i="2"/>
  <c r="C225" i="2"/>
  <c r="D225" i="2" l="1"/>
  <c r="E225" i="2" s="1"/>
  <c r="T225" i="2" s="1"/>
  <c r="K224" i="2"/>
  <c r="I224" i="2"/>
  <c r="V225" i="2" l="1"/>
  <c r="N224" i="2"/>
  <c r="M224" i="2" s="1"/>
  <c r="P224" i="2" s="1"/>
  <c r="AG224" i="2" l="1"/>
  <c r="O224" i="2"/>
  <c r="R224" i="2" l="1"/>
  <c r="Q224" i="2"/>
  <c r="S224" i="2" l="1"/>
  <c r="Z224" i="2" s="1"/>
  <c r="Y224" i="2" l="1"/>
  <c r="AA224" i="2" s="1"/>
  <c r="AB225" i="2" s="1"/>
  <c r="B226" i="2" l="1"/>
  <c r="G225" i="2"/>
  <c r="H225" i="2" s="1"/>
  <c r="F225" i="2"/>
  <c r="AE225" i="2"/>
  <c r="AC225" i="2"/>
  <c r="U225" i="2"/>
  <c r="C226" i="2" l="1"/>
  <c r="AF226" i="2"/>
  <c r="J225" i="2"/>
  <c r="W225" i="2"/>
  <c r="X225" i="2" s="1"/>
  <c r="AD225" i="2"/>
  <c r="L225" i="2" s="1"/>
  <c r="K225" i="2" l="1"/>
  <c r="D226" i="2"/>
  <c r="E226" i="2" s="1"/>
  <c r="T226" i="2" s="1"/>
  <c r="I225" i="2"/>
  <c r="N225" i="2" l="1"/>
  <c r="M225" i="2" s="1"/>
  <c r="P225" i="2" s="1"/>
  <c r="V226" i="2"/>
  <c r="AG225" i="2" l="1"/>
  <c r="O225" i="2"/>
  <c r="Q225" i="2" s="1"/>
  <c r="R225" i="2" l="1"/>
  <c r="S225" i="2" s="1"/>
  <c r="Y225" i="2" l="1"/>
  <c r="AA225" i="2" s="1"/>
  <c r="AB226" i="2" s="1"/>
  <c r="Z225" i="2"/>
  <c r="B227" i="2" l="1"/>
  <c r="G226" i="2"/>
  <c r="H226" i="2" s="1"/>
  <c r="F226" i="2"/>
  <c r="AC226" i="2"/>
  <c r="AE226" i="2"/>
  <c r="U226" i="2"/>
  <c r="J226" i="2" l="1"/>
  <c r="W226" i="2"/>
  <c r="X226" i="2" s="1"/>
  <c r="AD226" i="2"/>
  <c r="L226" i="2" s="1"/>
  <c r="C227" i="2"/>
  <c r="AF227" i="2"/>
  <c r="D227" i="2" l="1"/>
  <c r="E227" i="2" s="1"/>
  <c r="T227" i="2" s="1"/>
  <c r="K226" i="2"/>
  <c r="I226" i="2"/>
  <c r="N226" i="2" l="1"/>
  <c r="M226" i="2" s="1"/>
  <c r="P226" i="2" s="1"/>
  <c r="V227" i="2"/>
  <c r="AG226" i="2" l="1"/>
  <c r="O226" i="2"/>
  <c r="Q226" i="2" s="1"/>
  <c r="R226" i="2" l="1"/>
  <c r="S226" i="2" s="1"/>
  <c r="Y226" i="2" s="1"/>
  <c r="AA226" i="2" s="1"/>
  <c r="Z226" i="2" l="1"/>
  <c r="AB227" i="2"/>
  <c r="B228" i="2" l="1"/>
  <c r="G227" i="2"/>
  <c r="H227" i="2" s="1"/>
  <c r="F227" i="2"/>
  <c r="AE227" i="2"/>
  <c r="AC227" i="2"/>
  <c r="U227" i="2"/>
  <c r="J227" i="2" l="1"/>
  <c r="W227" i="2"/>
  <c r="X227" i="2" s="1"/>
  <c r="AF228" i="2"/>
  <c r="C228" i="2"/>
  <c r="AD227" i="2"/>
  <c r="L227" i="2" s="1"/>
  <c r="I227" i="2" l="1"/>
  <c r="D228" i="2"/>
  <c r="E228" i="2" s="1"/>
  <c r="T228" i="2" s="1"/>
  <c r="K227" i="2"/>
  <c r="V228" i="2" l="1"/>
  <c r="N227" i="2"/>
  <c r="M227" i="2" s="1"/>
  <c r="P227" i="2" s="1"/>
  <c r="AG227" i="2" l="1"/>
  <c r="O227" i="2"/>
  <c r="Q227" i="2" l="1"/>
  <c r="R227" i="2"/>
  <c r="S227" i="2" l="1"/>
  <c r="Y227" i="2" l="1"/>
  <c r="AA227" i="2" s="1"/>
  <c r="Z227" i="2"/>
  <c r="AB228" i="2" l="1"/>
  <c r="B229" i="2" l="1"/>
  <c r="G228" i="2"/>
  <c r="H228" i="2" s="1"/>
  <c r="F228" i="2"/>
  <c r="AE228" i="2"/>
  <c r="AC228" i="2"/>
  <c r="U228" i="2"/>
  <c r="AF229" i="2" l="1"/>
  <c r="C229" i="2"/>
  <c r="J228" i="2"/>
  <c r="W228" i="2"/>
  <c r="X228" i="2" s="1"/>
  <c r="AD228" i="2"/>
  <c r="L228" i="2" s="1"/>
  <c r="D229" i="2" l="1"/>
  <c r="E229" i="2" s="1"/>
  <c r="T229" i="2" s="1"/>
  <c r="K228" i="2"/>
  <c r="I228" i="2"/>
  <c r="N228" i="2" l="1"/>
  <c r="M228" i="2" s="1"/>
  <c r="P228" i="2" s="1"/>
  <c r="V229" i="2"/>
  <c r="AG228" i="2" l="1"/>
  <c r="O228" i="2"/>
  <c r="Q228" i="2" s="1"/>
  <c r="R228" i="2" l="1"/>
  <c r="S228" i="2" s="1"/>
  <c r="Z228" i="2" s="1"/>
  <c r="Y228" i="2" l="1"/>
  <c r="AA228" i="2" s="1"/>
  <c r="AB229" i="2" s="1"/>
  <c r="B230" i="2" l="1"/>
  <c r="G229" i="2"/>
  <c r="H229" i="2" s="1"/>
  <c r="F229" i="2"/>
  <c r="AC229" i="2"/>
  <c r="AE229" i="2"/>
  <c r="U229" i="2"/>
  <c r="J229" i="2" l="1"/>
  <c r="W229" i="2"/>
  <c r="X229" i="2" s="1"/>
  <c r="AD229" i="2"/>
  <c r="L229" i="2" s="1"/>
  <c r="AF230" i="2"/>
  <c r="C230" i="2"/>
  <c r="I229" i="2" l="1"/>
  <c r="D230" i="2"/>
  <c r="E230" i="2" s="1"/>
  <c r="T230" i="2" s="1"/>
  <c r="K229" i="2"/>
  <c r="V230" i="2" l="1"/>
  <c r="N229" i="2"/>
  <c r="M229" i="2" s="1"/>
  <c r="P229" i="2" s="1"/>
  <c r="AG229" i="2" l="1"/>
  <c r="O229" i="2"/>
  <c r="Q229" i="2" l="1"/>
  <c r="R229" i="2"/>
  <c r="S229" i="2" l="1"/>
  <c r="Y229" i="2" l="1"/>
  <c r="AA229" i="2" s="1"/>
  <c r="Z229" i="2"/>
  <c r="AB230" i="2" l="1"/>
  <c r="B231" i="2" l="1"/>
  <c r="G230" i="2"/>
  <c r="H230" i="2" s="1"/>
  <c r="F230" i="2"/>
  <c r="AE230" i="2"/>
  <c r="AC230" i="2"/>
  <c r="U230" i="2"/>
  <c r="AF231" i="2" l="1"/>
  <c r="C231" i="2"/>
  <c r="J230" i="2"/>
  <c r="W230" i="2"/>
  <c r="X230" i="2" s="1"/>
  <c r="AD230" i="2"/>
  <c r="L230" i="2" s="1"/>
  <c r="I230" i="2" l="1"/>
  <c r="D231" i="2"/>
  <c r="E231" i="2" s="1"/>
  <c r="T231" i="2" s="1"/>
  <c r="K230" i="2"/>
  <c r="V231" i="2" l="1"/>
  <c r="N230" i="2"/>
  <c r="M230" i="2" s="1"/>
  <c r="P230" i="2" s="1"/>
  <c r="AG230" i="2" l="1"/>
  <c r="O230" i="2"/>
  <c r="R230" i="2" l="1"/>
  <c r="Q230" i="2"/>
  <c r="S230" i="2" l="1"/>
  <c r="Z230" i="2" s="1"/>
  <c r="Y230" i="2" l="1"/>
  <c r="AA230" i="2" s="1"/>
  <c r="AB231" i="2" s="1"/>
  <c r="B232" i="2" l="1"/>
  <c r="G231" i="2"/>
  <c r="H231" i="2" s="1"/>
  <c r="F231" i="2"/>
  <c r="AE231" i="2"/>
  <c r="AC231" i="2"/>
  <c r="U231" i="2"/>
  <c r="J231" i="2" l="1"/>
  <c r="W231" i="2"/>
  <c r="X231" i="2" s="1"/>
  <c r="AF232" i="2"/>
  <c r="C232" i="2"/>
  <c r="AD231" i="2"/>
  <c r="L231" i="2" s="1"/>
  <c r="I231" i="2" l="1"/>
  <c r="D232" i="2"/>
  <c r="E232" i="2" s="1"/>
  <c r="T232" i="2" s="1"/>
  <c r="K231" i="2"/>
  <c r="V232" i="2" l="1"/>
  <c r="N231" i="2"/>
  <c r="M231" i="2" s="1"/>
  <c r="P231" i="2" s="1"/>
  <c r="AG231" i="2" l="1"/>
  <c r="O231" i="2"/>
  <c r="R231" i="2" l="1"/>
  <c r="Q231" i="2"/>
  <c r="S231" i="2" l="1"/>
  <c r="Y231" i="2" s="1"/>
  <c r="AA231" i="2" s="1"/>
  <c r="Z231" i="2" l="1"/>
  <c r="AB232" i="2"/>
  <c r="B233" i="2" l="1"/>
  <c r="G232" i="2"/>
  <c r="H232" i="2" s="1"/>
  <c r="F232" i="2"/>
  <c r="AE232" i="2"/>
  <c r="AC232" i="2"/>
  <c r="U232" i="2"/>
  <c r="J232" i="2" l="1"/>
  <c r="W232" i="2"/>
  <c r="X232" i="2" s="1"/>
  <c r="AF233" i="2"/>
  <c r="C233" i="2"/>
  <c r="AD232" i="2"/>
  <c r="L232" i="2" s="1"/>
  <c r="K232" i="2" l="1"/>
  <c r="D233" i="2"/>
  <c r="E233" i="2" s="1"/>
  <c r="T233" i="2" s="1"/>
  <c r="I232" i="2"/>
  <c r="N232" i="2" l="1"/>
  <c r="M232" i="2" s="1"/>
  <c r="V233" i="2"/>
  <c r="P232" i="2" l="1"/>
  <c r="AG232" i="2" s="1"/>
  <c r="O232" i="2"/>
  <c r="R232" i="2" s="1"/>
  <c r="Q232" i="2" l="1"/>
  <c r="S232" i="2" s="1"/>
  <c r="Y232" i="2" s="1"/>
  <c r="AA232" i="2" s="1"/>
  <c r="Z232" i="2" l="1"/>
  <c r="AB233" i="2"/>
  <c r="B234" i="2" l="1"/>
  <c r="G233" i="2"/>
  <c r="H233" i="2" s="1"/>
  <c r="F233" i="2"/>
  <c r="AE233" i="2"/>
  <c r="AC233" i="2"/>
  <c r="U233" i="2"/>
  <c r="J233" i="2" l="1"/>
  <c r="W233" i="2"/>
  <c r="X233" i="2" s="1"/>
  <c r="AD233" i="2"/>
  <c r="L233" i="2" s="1"/>
  <c r="AF234" i="2"/>
  <c r="C234" i="2"/>
  <c r="K233" i="2" l="1"/>
  <c r="D234" i="2"/>
  <c r="E234" i="2" s="1"/>
  <c r="T234" i="2" s="1"/>
  <c r="I233" i="2"/>
  <c r="N233" i="2" l="1"/>
  <c r="M233" i="2" s="1"/>
  <c r="P233" i="2" s="1"/>
  <c r="V234" i="2"/>
  <c r="AG233" i="2" l="1"/>
  <c r="O233" i="2"/>
  <c r="Q233" i="2" s="1"/>
  <c r="R233" i="2" l="1"/>
  <c r="S233" i="2" s="1"/>
  <c r="Y233" i="2" s="1"/>
  <c r="AA233" i="2" s="1"/>
  <c r="Z233" i="2" l="1"/>
  <c r="AB234" i="2"/>
  <c r="B235" i="2" l="1"/>
  <c r="G234" i="2"/>
  <c r="H234" i="2" s="1"/>
  <c r="F234" i="2"/>
  <c r="AE234" i="2"/>
  <c r="AC234" i="2"/>
  <c r="U234" i="2"/>
  <c r="AF235" i="2" l="1"/>
  <c r="C235" i="2"/>
  <c r="J234" i="2"/>
  <c r="W234" i="2"/>
  <c r="X234" i="2" s="1"/>
  <c r="AD234" i="2"/>
  <c r="L234" i="2" s="1"/>
  <c r="K234" i="2" l="1"/>
  <c r="D235" i="2"/>
  <c r="E235" i="2" s="1"/>
  <c r="T235" i="2" s="1"/>
  <c r="I234" i="2"/>
  <c r="N234" i="2" l="1"/>
  <c r="M234" i="2" s="1"/>
  <c r="P234" i="2" s="1"/>
  <c r="V235" i="2"/>
  <c r="AG234" i="2" l="1"/>
  <c r="O234" i="2"/>
  <c r="Q234" i="2" s="1"/>
  <c r="R234" i="2" l="1"/>
  <c r="S234" i="2" s="1"/>
  <c r="Y234" i="2" l="1"/>
  <c r="AA234" i="2" s="1"/>
  <c r="AB235" i="2" s="1"/>
  <c r="Z234" i="2"/>
  <c r="B236" i="2" l="1"/>
  <c r="G235" i="2"/>
  <c r="H235" i="2" s="1"/>
  <c r="F235" i="2"/>
  <c r="AC235" i="2"/>
  <c r="AE235" i="2"/>
  <c r="U235" i="2"/>
  <c r="AF236" i="2" l="1"/>
  <c r="C236" i="2"/>
  <c r="J235" i="2"/>
  <c r="W235" i="2"/>
  <c r="X235" i="2" s="1"/>
  <c r="AD235" i="2"/>
  <c r="L235" i="2" s="1"/>
  <c r="D236" i="2" l="1"/>
  <c r="E236" i="2" s="1"/>
  <c r="T236" i="2" s="1"/>
  <c r="K235" i="2"/>
  <c r="I235" i="2"/>
  <c r="N235" i="2" l="1"/>
  <c r="M235" i="2" s="1"/>
  <c r="P235" i="2" s="1"/>
  <c r="V236" i="2"/>
  <c r="AG235" i="2" l="1"/>
  <c r="O235" i="2"/>
  <c r="R235" i="2" s="1"/>
  <c r="Q235" i="2" l="1"/>
  <c r="S235" i="2" s="1"/>
  <c r="Y235" i="2" l="1"/>
  <c r="AA235" i="2" s="1"/>
  <c r="Z235" i="2"/>
  <c r="AB236" i="2" l="1"/>
  <c r="B237" i="2" l="1"/>
  <c r="G236" i="2"/>
  <c r="H236" i="2" s="1"/>
  <c r="F236" i="2"/>
  <c r="AC236" i="2"/>
  <c r="AE236" i="2"/>
  <c r="U236" i="2"/>
  <c r="AD236" i="2" l="1"/>
  <c r="L236" i="2" s="1"/>
  <c r="J236" i="2"/>
  <c r="W236" i="2"/>
  <c r="X236" i="2" s="1"/>
  <c r="C237" i="2"/>
  <c r="AF237" i="2"/>
  <c r="I236" i="2" l="1"/>
  <c r="K236" i="2"/>
  <c r="D237" i="2"/>
  <c r="E237" i="2" s="1"/>
  <c r="T237" i="2" s="1"/>
  <c r="N236" i="2" l="1"/>
  <c r="M236" i="2" s="1"/>
  <c r="P236" i="2" s="1"/>
  <c r="V237" i="2"/>
  <c r="AG236" i="2" l="1"/>
  <c r="O236" i="2"/>
  <c r="R236" i="2" s="1"/>
  <c r="Q236" i="2" l="1"/>
  <c r="S236" i="2" s="1"/>
  <c r="Y236" i="2" s="1"/>
  <c r="AA236" i="2" s="1"/>
  <c r="Z236" i="2" l="1"/>
  <c r="AB237" i="2"/>
  <c r="B238" i="2" l="1"/>
  <c r="G237" i="2"/>
  <c r="H237" i="2" s="1"/>
  <c r="F237" i="2"/>
  <c r="AE237" i="2"/>
  <c r="AC237" i="2"/>
  <c r="U237" i="2"/>
  <c r="C238" i="2" l="1"/>
  <c r="AF238" i="2"/>
  <c r="J237" i="2"/>
  <c r="W237" i="2"/>
  <c r="X237" i="2" s="1"/>
  <c r="AD237" i="2"/>
  <c r="L237" i="2" s="1"/>
  <c r="K237" i="2" l="1"/>
  <c r="D238" i="2"/>
  <c r="E238" i="2" s="1"/>
  <c r="T238" i="2" s="1"/>
  <c r="I237" i="2"/>
  <c r="N237" i="2" l="1"/>
  <c r="M237" i="2" s="1"/>
  <c r="P237" i="2" s="1"/>
  <c r="V238" i="2"/>
  <c r="AG237" i="2" l="1"/>
  <c r="O237" i="2"/>
  <c r="Q237" i="2" s="1"/>
  <c r="R237" i="2" l="1"/>
  <c r="S237" i="2" s="1"/>
  <c r="Y237" i="2" s="1"/>
  <c r="AA237" i="2" s="1"/>
  <c r="Z237" i="2" l="1"/>
  <c r="AB238" i="2"/>
  <c r="B239" i="2" l="1"/>
  <c r="G238" i="2"/>
  <c r="H238" i="2" s="1"/>
  <c r="F238" i="2"/>
  <c r="AC238" i="2"/>
  <c r="AE238" i="2"/>
  <c r="U238" i="2"/>
  <c r="AF239" i="2" l="1"/>
  <c r="C239" i="2"/>
  <c r="J238" i="2"/>
  <c r="W238" i="2"/>
  <c r="X238" i="2" s="1"/>
  <c r="AD238" i="2"/>
  <c r="L238" i="2" s="1"/>
  <c r="I238" i="2" l="1"/>
  <c r="D239" i="2"/>
  <c r="E239" i="2" s="1"/>
  <c r="T239" i="2" s="1"/>
  <c r="K238" i="2"/>
  <c r="V239" i="2" l="1"/>
  <c r="N238" i="2"/>
  <c r="M238" i="2" s="1"/>
  <c r="P238" i="2" s="1"/>
  <c r="AG238" i="2" l="1"/>
  <c r="O238" i="2"/>
  <c r="Q238" i="2" l="1"/>
  <c r="R238" i="2"/>
  <c r="S238" i="2" l="1"/>
  <c r="Y238" i="2" l="1"/>
  <c r="AA238" i="2" s="1"/>
  <c r="Z238" i="2"/>
  <c r="AB239" i="2" l="1"/>
  <c r="B240" i="2" l="1"/>
  <c r="G239" i="2"/>
  <c r="H239" i="2" s="1"/>
  <c r="F239" i="2"/>
  <c r="AC239" i="2"/>
  <c r="AE239" i="2"/>
  <c r="U239" i="2"/>
  <c r="AD239" i="2" l="1"/>
  <c r="L239" i="2" s="1"/>
  <c r="AF240" i="2"/>
  <c r="C240" i="2"/>
  <c r="J239" i="2"/>
  <c r="W239" i="2"/>
  <c r="X239" i="2" s="1"/>
  <c r="I239" i="2" l="1"/>
  <c r="K239" i="2"/>
  <c r="D240" i="2"/>
  <c r="E240" i="2" s="1"/>
  <c r="T240" i="2" s="1"/>
  <c r="V240" i="2" l="1"/>
  <c r="N239" i="2"/>
  <c r="M239" i="2" s="1"/>
  <c r="P239" i="2" s="1"/>
  <c r="AG239" i="2" l="1"/>
  <c r="O239" i="2"/>
  <c r="R239" i="2" l="1"/>
  <c r="Q239" i="2"/>
  <c r="S239" i="2" l="1"/>
  <c r="Y239" i="2" s="1"/>
  <c r="AA239" i="2" s="1"/>
  <c r="Z239" i="2" l="1"/>
  <c r="AB240" i="2"/>
  <c r="B241" i="2" l="1"/>
  <c r="G240" i="2"/>
  <c r="H240" i="2" s="1"/>
  <c r="F240" i="2"/>
  <c r="AC240" i="2"/>
  <c r="AE240" i="2"/>
  <c r="U240" i="2"/>
  <c r="AD240" i="2" l="1"/>
  <c r="L240" i="2" s="1"/>
  <c r="J240" i="2"/>
  <c r="W240" i="2"/>
  <c r="X240" i="2" s="1"/>
  <c r="AF241" i="2"/>
  <c r="C241" i="2"/>
  <c r="I240" i="2" l="1"/>
  <c r="D241" i="2"/>
  <c r="E241" i="2" s="1"/>
  <c r="T241" i="2" s="1"/>
  <c r="K240" i="2"/>
  <c r="V241" i="2" l="1"/>
  <c r="N240" i="2"/>
  <c r="M240" i="2" s="1"/>
  <c r="P240" i="2" s="1"/>
  <c r="AG240" i="2" l="1"/>
  <c r="O240" i="2"/>
  <c r="R240" i="2" l="1"/>
  <c r="Q240" i="2"/>
  <c r="S240" i="2" l="1"/>
  <c r="Y240" i="2" s="1"/>
  <c r="AA240" i="2" s="1"/>
  <c r="Z240" i="2" l="1"/>
  <c r="AB241" i="2"/>
  <c r="B242" i="2" l="1"/>
  <c r="G241" i="2"/>
  <c r="H241" i="2" s="1"/>
  <c r="F241" i="2"/>
  <c r="AE241" i="2"/>
  <c r="AC241" i="2"/>
  <c r="U241" i="2"/>
  <c r="AF242" i="2" l="1"/>
  <c r="C242" i="2"/>
  <c r="J241" i="2"/>
  <c r="W241" i="2"/>
  <c r="X241" i="2" s="1"/>
  <c r="AD241" i="2"/>
  <c r="L241" i="2" s="1"/>
  <c r="D242" i="2" l="1"/>
  <c r="E242" i="2" s="1"/>
  <c r="T242" i="2" s="1"/>
  <c r="K241" i="2"/>
  <c r="I241" i="2"/>
  <c r="N241" i="2" l="1"/>
  <c r="M241" i="2" s="1"/>
  <c r="P241" i="2" s="1"/>
  <c r="V242" i="2"/>
  <c r="AG241" i="2" l="1"/>
  <c r="O241" i="2"/>
  <c r="Q241" i="2" s="1"/>
  <c r="R241" i="2" l="1"/>
  <c r="S241" i="2" s="1"/>
  <c r="Z241" i="2" s="1"/>
  <c r="Y241" i="2" l="1"/>
  <c r="AA241" i="2" s="1"/>
  <c r="AB242" i="2" s="1"/>
  <c r="B243" i="2" l="1"/>
  <c r="G242" i="2"/>
  <c r="H242" i="2" s="1"/>
  <c r="F242" i="2"/>
  <c r="AC242" i="2"/>
  <c r="AE242" i="2"/>
  <c r="U242" i="2"/>
  <c r="AD242" i="2" l="1"/>
  <c r="L242" i="2" s="1"/>
  <c r="AF243" i="2"/>
  <c r="C243" i="2"/>
  <c r="J242" i="2"/>
  <c r="W242" i="2"/>
  <c r="X242" i="2" s="1"/>
  <c r="K242" i="2" l="1"/>
  <c r="I242" i="2"/>
  <c r="D243" i="2"/>
  <c r="E243" i="2" s="1"/>
  <c r="T243" i="2" s="1"/>
  <c r="V243" i="2" l="1"/>
  <c r="N242" i="2"/>
  <c r="M242" i="2" s="1"/>
  <c r="P242" i="2" s="1"/>
  <c r="AG242" i="2" l="1"/>
  <c r="O242" i="2"/>
  <c r="R242" i="2" l="1"/>
  <c r="Q242" i="2"/>
  <c r="S242" i="2" l="1"/>
  <c r="Z242" i="2" s="1"/>
  <c r="Y242" i="2" l="1"/>
  <c r="AA242" i="2" s="1"/>
  <c r="AB243" i="2" s="1"/>
  <c r="B244" i="2" l="1"/>
  <c r="G243" i="2"/>
  <c r="H243" i="2" s="1"/>
  <c r="F243" i="2"/>
  <c r="AC243" i="2"/>
  <c r="AE243" i="2"/>
  <c r="U243" i="2"/>
  <c r="J243" i="2" l="1"/>
  <c r="W243" i="2"/>
  <c r="X243" i="2" s="1"/>
  <c r="AD243" i="2"/>
  <c r="L243" i="2" s="1"/>
  <c r="AF244" i="2"/>
  <c r="C244" i="2"/>
  <c r="K243" i="2" l="1"/>
  <c r="D244" i="2"/>
  <c r="E244" i="2" s="1"/>
  <c r="T244" i="2" s="1"/>
  <c r="I243" i="2"/>
  <c r="N243" i="2" l="1"/>
  <c r="M243" i="2" s="1"/>
  <c r="P243" i="2" s="1"/>
  <c r="V244" i="2"/>
  <c r="AG243" i="2" l="1"/>
  <c r="O243" i="2"/>
  <c r="Q243" i="2" s="1"/>
  <c r="R243" i="2" l="1"/>
  <c r="S243" i="2" s="1"/>
  <c r="Y243" i="2" s="1"/>
  <c r="AA243" i="2" s="1"/>
  <c r="Z243" i="2" l="1"/>
  <c r="AB244" i="2"/>
  <c r="B245" i="2" l="1"/>
  <c r="G244" i="2"/>
  <c r="H244" i="2" s="1"/>
  <c r="F244" i="2"/>
  <c r="AE244" i="2"/>
  <c r="AC244" i="2"/>
  <c r="U244" i="2"/>
  <c r="AF245" i="2" l="1"/>
  <c r="C245" i="2"/>
  <c r="AD244" i="2"/>
  <c r="L244" i="2" s="1"/>
  <c r="J244" i="2"/>
  <c r="W244" i="2"/>
  <c r="X244" i="2" s="1"/>
  <c r="I244" i="2" l="1"/>
  <c r="D245" i="2"/>
  <c r="E245" i="2" s="1"/>
  <c r="T245" i="2" s="1"/>
  <c r="K244" i="2"/>
  <c r="V245" i="2" l="1"/>
  <c r="N244" i="2"/>
  <c r="M244" i="2" s="1"/>
  <c r="P244" i="2" s="1"/>
  <c r="AG244" i="2" l="1"/>
  <c r="O244" i="2"/>
  <c r="R244" i="2" l="1"/>
  <c r="Q244" i="2"/>
  <c r="S244" i="2" l="1"/>
  <c r="Y244" i="2" s="1"/>
  <c r="AA244" i="2" s="1"/>
  <c r="Z244" i="2" l="1"/>
  <c r="AB245" i="2"/>
  <c r="B246" i="2" l="1"/>
  <c r="G245" i="2"/>
  <c r="H245" i="2" s="1"/>
  <c r="F245" i="2"/>
  <c r="AC245" i="2"/>
  <c r="AE245" i="2"/>
  <c r="U245" i="2"/>
  <c r="J245" i="2" l="1"/>
  <c r="W245" i="2"/>
  <c r="X245" i="2" s="1"/>
  <c r="AF246" i="2"/>
  <c r="C246" i="2"/>
  <c r="AD245" i="2"/>
  <c r="L245" i="2" s="1"/>
  <c r="K245" i="2" l="1"/>
  <c r="D246" i="2"/>
  <c r="E246" i="2" s="1"/>
  <c r="T246" i="2" s="1"/>
  <c r="I245" i="2"/>
  <c r="N245" i="2" l="1"/>
  <c r="M245" i="2" s="1"/>
  <c r="P245" i="2" s="1"/>
  <c r="V246" i="2"/>
  <c r="AG245" i="2" l="1"/>
  <c r="O245" i="2"/>
  <c r="Q245" i="2" s="1"/>
  <c r="R245" i="2" l="1"/>
  <c r="S245" i="2" s="1"/>
  <c r="Y245" i="2" s="1"/>
  <c r="AA245" i="2" s="1"/>
  <c r="Z245" i="2" l="1"/>
  <c r="AB246" i="2"/>
  <c r="B247" i="2" l="1"/>
  <c r="G246" i="2"/>
  <c r="H246" i="2" s="1"/>
  <c r="F246" i="2"/>
  <c r="AC246" i="2"/>
  <c r="AE246" i="2"/>
  <c r="U246" i="2"/>
  <c r="AD246" i="2" l="1"/>
  <c r="L246" i="2" s="1"/>
  <c r="AF247" i="2"/>
  <c r="C247" i="2"/>
  <c r="J246" i="2"/>
  <c r="W246" i="2"/>
  <c r="X246" i="2" s="1"/>
  <c r="D247" i="2" l="1"/>
  <c r="E247" i="2" s="1"/>
  <c r="T247" i="2" s="1"/>
  <c r="K246" i="2"/>
  <c r="I246" i="2"/>
  <c r="N246" i="2" l="1"/>
  <c r="M246" i="2" s="1"/>
  <c r="P246" i="2" s="1"/>
  <c r="V247" i="2"/>
  <c r="AG246" i="2" l="1"/>
  <c r="O246" i="2"/>
  <c r="Q246" i="2" s="1"/>
  <c r="R246" i="2" l="1"/>
  <c r="S246" i="2" s="1"/>
  <c r="Z246" i="2" s="1"/>
  <c r="Y246" i="2" l="1"/>
  <c r="AA246" i="2" s="1"/>
  <c r="AB247" i="2" s="1"/>
  <c r="B248" i="2" l="1"/>
  <c r="G247" i="2"/>
  <c r="H247" i="2" s="1"/>
  <c r="F247" i="2"/>
  <c r="AC247" i="2"/>
  <c r="AE247" i="2"/>
  <c r="U247" i="2"/>
  <c r="J247" i="2" l="1"/>
  <c r="W247" i="2"/>
  <c r="X247" i="2" s="1"/>
  <c r="AF248" i="2"/>
  <c r="C248" i="2"/>
  <c r="AD247" i="2"/>
  <c r="L247" i="2" s="1"/>
  <c r="K247" i="2" l="1"/>
  <c r="D248" i="2"/>
  <c r="E248" i="2" s="1"/>
  <c r="T248" i="2" s="1"/>
  <c r="I247" i="2"/>
  <c r="N247" i="2" l="1"/>
  <c r="M247" i="2" s="1"/>
  <c r="P247" i="2" s="1"/>
  <c r="V248" i="2"/>
  <c r="AG247" i="2" l="1"/>
  <c r="O247" i="2"/>
  <c r="Q247" i="2" s="1"/>
  <c r="R247" i="2" l="1"/>
  <c r="S247" i="2" s="1"/>
  <c r="Y247" i="2" s="1"/>
  <c r="AA247" i="2" s="1"/>
  <c r="Z247" i="2" l="1"/>
  <c r="AB248" i="2"/>
  <c r="B249" i="2" l="1"/>
  <c r="G248" i="2"/>
  <c r="H248" i="2" s="1"/>
  <c r="F248" i="2"/>
  <c r="AC248" i="2"/>
  <c r="AE248" i="2"/>
  <c r="U248" i="2"/>
  <c r="AF249" i="2" l="1"/>
  <c r="C249" i="2"/>
  <c r="J248" i="2"/>
  <c r="W248" i="2"/>
  <c r="X248" i="2" s="1"/>
  <c r="AD248" i="2"/>
  <c r="L248" i="2" s="1"/>
  <c r="I248" i="2" l="1"/>
  <c r="D249" i="2"/>
  <c r="E249" i="2" s="1"/>
  <c r="T249" i="2" s="1"/>
  <c r="K248" i="2"/>
  <c r="V249" i="2" l="1"/>
  <c r="N248" i="2"/>
  <c r="M248" i="2" s="1"/>
  <c r="P248" i="2" s="1"/>
  <c r="AG248" i="2" l="1"/>
  <c r="O248" i="2"/>
  <c r="R248" i="2" l="1"/>
  <c r="Q248" i="2"/>
  <c r="S248" i="2" l="1"/>
  <c r="Z248" i="2" s="1"/>
  <c r="Y248" i="2" l="1"/>
  <c r="AA248" i="2" s="1"/>
  <c r="AB249" i="2" s="1"/>
  <c r="B250" i="2" l="1"/>
  <c r="G249" i="2"/>
  <c r="H249" i="2" s="1"/>
  <c r="F249" i="2"/>
  <c r="AC249" i="2"/>
  <c r="AE249" i="2"/>
  <c r="U249" i="2"/>
  <c r="AD249" i="2" l="1"/>
  <c r="L249" i="2" s="1"/>
  <c r="AF250" i="2"/>
  <c r="C250" i="2"/>
  <c r="J249" i="2"/>
  <c r="W249" i="2"/>
  <c r="X249" i="2" s="1"/>
  <c r="I249" i="2" l="1"/>
  <c r="K249" i="2"/>
  <c r="D250" i="2"/>
  <c r="E250" i="2" s="1"/>
  <c r="T250" i="2" s="1"/>
  <c r="N249" i="2" l="1"/>
  <c r="M249" i="2" s="1"/>
  <c r="P249" i="2" s="1"/>
  <c r="V250" i="2"/>
  <c r="AG249" i="2" l="1"/>
  <c r="O249" i="2"/>
  <c r="Q249" i="2" s="1"/>
  <c r="R249" i="2" l="1"/>
  <c r="S249" i="2" s="1"/>
  <c r="Y249" i="2" s="1"/>
  <c r="AA249" i="2" s="1"/>
  <c r="Z249" i="2" l="1"/>
  <c r="AB250" i="2"/>
  <c r="B251" i="2" l="1"/>
  <c r="G250" i="2"/>
  <c r="H250" i="2" s="1"/>
  <c r="F250" i="2"/>
  <c r="AC250" i="2"/>
  <c r="AE250" i="2"/>
  <c r="U250" i="2"/>
  <c r="J250" i="2" l="1"/>
  <c r="W250" i="2"/>
  <c r="X250" i="2" s="1"/>
  <c r="AD250" i="2"/>
  <c r="L250" i="2" s="1"/>
  <c r="AF251" i="2"/>
  <c r="C251" i="2"/>
  <c r="D251" i="2" l="1"/>
  <c r="E251" i="2" s="1"/>
  <c r="T251" i="2" s="1"/>
  <c r="K250" i="2"/>
  <c r="I250" i="2"/>
  <c r="N250" i="2" l="1"/>
  <c r="M250" i="2" s="1"/>
  <c r="P250" i="2" s="1"/>
  <c r="V251" i="2"/>
  <c r="AG250" i="2" l="1"/>
  <c r="O250" i="2"/>
  <c r="R250" i="2" s="1"/>
  <c r="Q250" i="2" l="1"/>
  <c r="S250" i="2" s="1"/>
  <c r="Z250" i="2" s="1"/>
  <c r="Y250" i="2" l="1"/>
  <c r="AA250" i="2" s="1"/>
  <c r="AB251" i="2" s="1"/>
  <c r="B252" i="2" l="1"/>
  <c r="G251" i="2"/>
  <c r="H251" i="2" s="1"/>
  <c r="F251" i="2"/>
  <c r="AE251" i="2"/>
  <c r="AC251" i="2"/>
  <c r="U251" i="2"/>
  <c r="AF252" i="2" l="1"/>
  <c r="C252" i="2"/>
  <c r="J251" i="2"/>
  <c r="W251" i="2"/>
  <c r="X251" i="2" s="1"/>
  <c r="AD251" i="2"/>
  <c r="L251" i="2" s="1"/>
  <c r="I251" i="2" l="1"/>
  <c r="D252" i="2"/>
  <c r="E252" i="2" s="1"/>
  <c r="T252" i="2" s="1"/>
  <c r="K251" i="2"/>
  <c r="V252" i="2" l="1"/>
  <c r="N251" i="2"/>
  <c r="M251" i="2" s="1"/>
  <c r="P251" i="2" s="1"/>
  <c r="AG251" i="2" l="1"/>
  <c r="O251" i="2"/>
  <c r="R251" i="2" l="1"/>
  <c r="Q251" i="2"/>
  <c r="S251" i="2" l="1"/>
  <c r="Y251" i="2" s="1"/>
  <c r="AA251" i="2" s="1"/>
  <c r="Z251" i="2" l="1"/>
  <c r="AB252" i="2"/>
  <c r="B253" i="2" l="1"/>
  <c r="G252" i="2"/>
  <c r="H252" i="2" s="1"/>
  <c r="F252" i="2"/>
  <c r="AC252" i="2"/>
  <c r="AE252" i="2"/>
  <c r="U252" i="2"/>
  <c r="AD252" i="2" l="1"/>
  <c r="L252" i="2" s="1"/>
  <c r="AF253" i="2"/>
  <c r="C253" i="2"/>
  <c r="J252" i="2"/>
  <c r="W252" i="2"/>
  <c r="X252" i="2" s="1"/>
  <c r="D253" i="2" l="1"/>
  <c r="E253" i="2" s="1"/>
  <c r="T253" i="2" s="1"/>
  <c r="K252" i="2"/>
  <c r="I252" i="2"/>
  <c r="N252" i="2" l="1"/>
  <c r="M252" i="2" s="1"/>
  <c r="P252" i="2" s="1"/>
  <c r="V253" i="2"/>
  <c r="AG252" i="2" l="1"/>
  <c r="O252" i="2"/>
  <c r="Q252" i="2" s="1"/>
  <c r="R252" i="2" l="1"/>
  <c r="S252" i="2" s="1"/>
  <c r="Z252" i="2" l="1"/>
  <c r="Y252" i="2"/>
  <c r="AA252" i="2" s="1"/>
  <c r="AB253" i="2" s="1"/>
  <c r="B254" i="2" l="1"/>
  <c r="G253" i="2"/>
  <c r="H253" i="2" s="1"/>
  <c r="F253" i="2"/>
  <c r="AC253" i="2"/>
  <c r="AE253" i="2"/>
  <c r="U253" i="2"/>
  <c r="AD253" i="2" l="1"/>
  <c r="L253" i="2" s="1"/>
  <c r="C254" i="2"/>
  <c r="AF254" i="2"/>
  <c r="J253" i="2"/>
  <c r="W253" i="2"/>
  <c r="X253" i="2" s="1"/>
  <c r="I253" i="2" l="1"/>
  <c r="D254" i="2"/>
  <c r="E254" i="2" s="1"/>
  <c r="T254" i="2" s="1"/>
  <c r="K253" i="2"/>
  <c r="V254" i="2" l="1"/>
  <c r="N253" i="2"/>
  <c r="M253" i="2" s="1"/>
  <c r="P253" i="2" s="1"/>
  <c r="AG253" i="2" l="1"/>
  <c r="O253" i="2"/>
  <c r="R253" i="2" l="1"/>
  <c r="Q253" i="2"/>
  <c r="S253" i="2" l="1"/>
  <c r="Z253" i="2" s="1"/>
  <c r="Y253" i="2" l="1"/>
  <c r="AA253" i="2" s="1"/>
  <c r="AB254" i="2" s="1"/>
  <c r="B255" i="2" l="1"/>
  <c r="G254" i="2"/>
  <c r="H254" i="2" s="1"/>
  <c r="F254" i="2"/>
  <c r="AC254" i="2"/>
  <c r="AE254" i="2"/>
  <c r="U254" i="2"/>
  <c r="AF255" i="2" l="1"/>
  <c r="C255" i="2"/>
  <c r="J254" i="2"/>
  <c r="W254" i="2"/>
  <c r="X254" i="2" s="1"/>
  <c r="AD254" i="2"/>
  <c r="L254" i="2" s="1"/>
  <c r="I254" i="2" l="1"/>
  <c r="D255" i="2"/>
  <c r="E255" i="2" s="1"/>
  <c r="T255" i="2" s="1"/>
  <c r="K254" i="2"/>
  <c r="V255" i="2" l="1"/>
  <c r="N254" i="2"/>
  <c r="M254" i="2" s="1"/>
  <c r="P254" i="2" s="1"/>
  <c r="AG254" i="2" l="1"/>
  <c r="O254" i="2"/>
  <c r="R254" i="2" l="1"/>
  <c r="Q254" i="2"/>
  <c r="S254" i="2" l="1"/>
  <c r="Z254" i="2" s="1"/>
  <c r="Y254" i="2" l="1"/>
  <c r="AA254" i="2" s="1"/>
  <c r="AB255" i="2" s="1"/>
  <c r="B256" i="2" l="1"/>
  <c r="G255" i="2"/>
  <c r="H255" i="2" s="1"/>
  <c r="F255" i="2"/>
  <c r="AC255" i="2"/>
  <c r="AE255" i="2"/>
  <c r="U255" i="2"/>
  <c r="AD255" i="2" l="1"/>
  <c r="L255" i="2" s="1"/>
  <c r="J255" i="2"/>
  <c r="W255" i="2"/>
  <c r="X255" i="2" s="1"/>
  <c r="AF256" i="2"/>
  <c r="C256" i="2"/>
  <c r="I255" i="2" l="1"/>
  <c r="D256" i="2"/>
  <c r="E256" i="2" s="1"/>
  <c r="T256" i="2" s="1"/>
  <c r="K255" i="2"/>
  <c r="N255" i="2" l="1"/>
  <c r="M255" i="2" s="1"/>
  <c r="P255" i="2" s="1"/>
  <c r="V256" i="2"/>
  <c r="AG255" i="2" l="1"/>
  <c r="O255" i="2"/>
  <c r="R255" i="2" l="1"/>
  <c r="Q255" i="2"/>
  <c r="S255" i="2" l="1"/>
  <c r="Z255" i="2" s="1"/>
  <c r="Y255" i="2" l="1"/>
  <c r="AA255" i="2" s="1"/>
  <c r="AB256" i="2" s="1"/>
  <c r="B257" i="2" l="1"/>
  <c r="G256" i="2"/>
  <c r="H256" i="2" s="1"/>
  <c r="F256" i="2"/>
  <c r="AE256" i="2"/>
  <c r="AC256" i="2"/>
  <c r="U256" i="2"/>
  <c r="J256" i="2" l="1"/>
  <c r="W256" i="2"/>
  <c r="X256" i="2" s="1"/>
  <c r="AD256" i="2"/>
  <c r="L256" i="2" s="1"/>
  <c r="AF257" i="2"/>
  <c r="C257" i="2"/>
  <c r="D257" i="2" l="1"/>
  <c r="E257" i="2" s="1"/>
  <c r="T257" i="2" s="1"/>
  <c r="K256" i="2"/>
  <c r="I256" i="2"/>
  <c r="N256" i="2" l="1"/>
  <c r="M256" i="2" s="1"/>
  <c r="P256" i="2" s="1"/>
  <c r="V257" i="2"/>
  <c r="AG256" i="2" l="1"/>
  <c r="O256" i="2"/>
  <c r="R256" i="2" s="1"/>
  <c r="Q256" i="2" l="1"/>
  <c r="S256" i="2" s="1"/>
  <c r="Y256" i="2" l="1"/>
  <c r="AA256" i="2" s="1"/>
  <c r="Z256" i="2"/>
  <c r="AB257" i="2" l="1"/>
  <c r="B258" i="2" l="1"/>
  <c r="G257" i="2"/>
  <c r="H257" i="2" s="1"/>
  <c r="F257" i="2"/>
  <c r="AC257" i="2"/>
  <c r="AE257" i="2"/>
  <c r="U257" i="2"/>
  <c r="J257" i="2" l="1"/>
  <c r="W257" i="2"/>
  <c r="X257" i="2" s="1"/>
  <c r="AD257" i="2"/>
  <c r="L257" i="2" s="1"/>
  <c r="C258" i="2"/>
  <c r="AF258" i="2"/>
  <c r="I257" i="2" l="1"/>
  <c r="D258" i="2"/>
  <c r="E258" i="2" s="1"/>
  <c r="T258" i="2" s="1"/>
  <c r="K257" i="2"/>
  <c r="V258" i="2" l="1"/>
  <c r="N257" i="2"/>
  <c r="M257" i="2" s="1"/>
  <c r="P257" i="2" s="1"/>
  <c r="AG257" i="2" l="1"/>
  <c r="O257" i="2"/>
  <c r="R257" i="2" l="1"/>
  <c r="Q257" i="2"/>
  <c r="S257" i="2" l="1"/>
  <c r="Y257" i="2" s="1"/>
  <c r="AA257" i="2" s="1"/>
  <c r="Z257" i="2" l="1"/>
  <c r="AB258" i="2"/>
  <c r="B259" i="2" l="1"/>
  <c r="G258" i="2"/>
  <c r="H258" i="2" s="1"/>
  <c r="F258" i="2"/>
  <c r="AE258" i="2"/>
  <c r="AC258" i="2"/>
  <c r="U258" i="2"/>
  <c r="AF259" i="2" l="1"/>
  <c r="C259" i="2"/>
  <c r="J258" i="2"/>
  <c r="W258" i="2"/>
  <c r="X258" i="2" s="1"/>
  <c r="AD258" i="2"/>
  <c r="L258" i="2" s="1"/>
  <c r="I258" i="2" l="1"/>
  <c r="D259" i="2"/>
  <c r="E259" i="2" s="1"/>
  <c r="T259" i="2" s="1"/>
  <c r="K258" i="2"/>
  <c r="V259" i="2" l="1"/>
  <c r="N258" i="2"/>
  <c r="M258" i="2" s="1"/>
  <c r="P258" i="2" s="1"/>
  <c r="AG258" i="2" l="1"/>
  <c r="O258" i="2"/>
  <c r="R258" i="2" l="1"/>
  <c r="Q258" i="2"/>
  <c r="S258" i="2" l="1"/>
  <c r="Z258" i="2" s="1"/>
  <c r="Y258" i="2" l="1"/>
  <c r="AA258" i="2" s="1"/>
  <c r="AB259" i="2" s="1"/>
  <c r="B260" i="2" l="1"/>
  <c r="G259" i="2"/>
  <c r="H259" i="2" s="1"/>
  <c r="F259" i="2"/>
  <c r="AC259" i="2"/>
  <c r="AE259" i="2"/>
  <c r="U259" i="2"/>
  <c r="J259" i="2" l="1"/>
  <c r="W259" i="2"/>
  <c r="X259" i="2" s="1"/>
  <c r="C260" i="2"/>
  <c r="AF260" i="2"/>
  <c r="AD259" i="2"/>
  <c r="L259" i="2" s="1"/>
  <c r="I259" i="2" l="1"/>
  <c r="D260" i="2"/>
  <c r="E260" i="2" s="1"/>
  <c r="T260" i="2" s="1"/>
  <c r="K259" i="2"/>
  <c r="V260" i="2" l="1"/>
  <c r="N259" i="2"/>
  <c r="M259" i="2" s="1"/>
  <c r="P259" i="2" s="1"/>
  <c r="AG259" i="2" l="1"/>
  <c r="O259" i="2"/>
  <c r="R259" i="2" l="1"/>
  <c r="Q259" i="2"/>
  <c r="S259" i="2" l="1"/>
  <c r="Z259" i="2" s="1"/>
  <c r="Y259" i="2" l="1"/>
  <c r="AA259" i="2" s="1"/>
  <c r="AB260" i="2" s="1"/>
  <c r="B261" i="2" l="1"/>
  <c r="G260" i="2"/>
  <c r="H260" i="2" s="1"/>
  <c r="F260" i="2"/>
  <c r="AE260" i="2"/>
  <c r="AC260" i="2"/>
  <c r="U260" i="2"/>
  <c r="C261" i="2" l="1"/>
  <c r="AF261" i="2"/>
  <c r="J260" i="2"/>
  <c r="W260" i="2"/>
  <c r="X260" i="2" s="1"/>
  <c r="AD260" i="2"/>
  <c r="L260" i="2" s="1"/>
  <c r="I260" i="2" l="1"/>
  <c r="D261" i="2"/>
  <c r="E261" i="2" s="1"/>
  <c r="T261" i="2" s="1"/>
  <c r="K260" i="2"/>
  <c r="N260" i="2" l="1"/>
  <c r="M260" i="2" s="1"/>
  <c r="P260" i="2" s="1"/>
  <c r="V261" i="2"/>
  <c r="AG260" i="2" l="1"/>
  <c r="O260" i="2"/>
  <c r="R260" i="2" l="1"/>
  <c r="Q260" i="2"/>
  <c r="S260" i="2" l="1"/>
  <c r="Z260" i="2" s="1"/>
  <c r="Y260" i="2" l="1"/>
  <c r="AA260" i="2" s="1"/>
  <c r="AB261" i="2" s="1"/>
  <c r="B262" i="2" l="1"/>
  <c r="G261" i="2"/>
  <c r="H261" i="2" s="1"/>
  <c r="F261" i="2"/>
  <c r="AC261" i="2"/>
  <c r="AE261" i="2"/>
  <c r="U261" i="2"/>
  <c r="AF262" i="2" l="1"/>
  <c r="C262" i="2"/>
  <c r="J261" i="2"/>
  <c r="W261" i="2"/>
  <c r="X261" i="2" s="1"/>
  <c r="AD261" i="2"/>
  <c r="L261" i="2" s="1"/>
  <c r="I261" i="2" l="1"/>
  <c r="D262" i="2"/>
  <c r="E262" i="2" s="1"/>
  <c r="T262" i="2" s="1"/>
  <c r="K261" i="2"/>
  <c r="V262" i="2" l="1"/>
  <c r="N261" i="2"/>
  <c r="M261" i="2" s="1"/>
  <c r="P261" i="2" s="1"/>
  <c r="AG261" i="2" l="1"/>
  <c r="O261" i="2"/>
  <c r="R261" i="2" l="1"/>
  <c r="Q261" i="2"/>
  <c r="S261" i="2" l="1"/>
  <c r="Z261" i="2" s="1"/>
  <c r="Y261" i="2" l="1"/>
  <c r="AA261" i="2" s="1"/>
  <c r="AB262" i="2" s="1"/>
  <c r="B263" i="2" l="1"/>
  <c r="G262" i="2"/>
  <c r="H262" i="2" s="1"/>
  <c r="F262" i="2"/>
  <c r="AE262" i="2"/>
  <c r="AC262" i="2"/>
  <c r="U262" i="2"/>
  <c r="J262" i="2" l="1"/>
  <c r="W262" i="2"/>
  <c r="X262" i="2" s="1"/>
  <c r="AF263" i="2"/>
  <c r="C263" i="2"/>
  <c r="AD262" i="2"/>
  <c r="L262" i="2" s="1"/>
  <c r="D263" i="2" l="1"/>
  <c r="E263" i="2" s="1"/>
  <c r="T263" i="2" s="1"/>
  <c r="K262" i="2"/>
  <c r="I262" i="2"/>
  <c r="N262" i="2" l="1"/>
  <c r="M262" i="2" s="1"/>
  <c r="P262" i="2" s="1"/>
  <c r="V263" i="2"/>
  <c r="AG262" i="2" l="1"/>
  <c r="O262" i="2"/>
  <c r="Q262" i="2" s="1"/>
  <c r="R262" i="2" l="1"/>
  <c r="S262" i="2" s="1"/>
  <c r="Y262" i="2" s="1"/>
  <c r="AA262" i="2" s="1"/>
  <c r="Z262" i="2" l="1"/>
  <c r="AB263" i="2"/>
  <c r="B264" i="2" l="1"/>
  <c r="G263" i="2"/>
  <c r="H263" i="2" s="1"/>
  <c r="F263" i="2"/>
  <c r="AE263" i="2"/>
  <c r="AC263" i="2"/>
  <c r="U263" i="2"/>
  <c r="J263" i="2" l="1"/>
  <c r="W263" i="2"/>
  <c r="X263" i="2" s="1"/>
  <c r="C264" i="2"/>
  <c r="AF264" i="2"/>
  <c r="AD263" i="2"/>
  <c r="L263" i="2" s="1"/>
  <c r="K263" i="2" l="1"/>
  <c r="D264" i="2"/>
  <c r="E264" i="2" s="1"/>
  <c r="T264" i="2" s="1"/>
  <c r="I263" i="2"/>
  <c r="N263" i="2" l="1"/>
  <c r="M263" i="2" s="1"/>
  <c r="P263" i="2" s="1"/>
  <c r="V264" i="2"/>
  <c r="AG263" i="2" l="1"/>
  <c r="O263" i="2"/>
  <c r="Q263" i="2" s="1"/>
  <c r="R263" i="2" l="1"/>
  <c r="S263" i="2" s="1"/>
  <c r="Y263" i="2" l="1"/>
  <c r="AA263" i="2" s="1"/>
  <c r="AB264" i="2" s="1"/>
  <c r="Z263" i="2"/>
  <c r="B265" i="2" l="1"/>
  <c r="G264" i="2"/>
  <c r="H264" i="2" s="1"/>
  <c r="F264" i="2"/>
  <c r="AE264" i="2"/>
  <c r="AC264" i="2"/>
  <c r="U264" i="2"/>
  <c r="AF265" i="2" l="1"/>
  <c r="C265" i="2"/>
  <c r="J264" i="2"/>
  <c r="W264" i="2"/>
  <c r="X264" i="2" s="1"/>
  <c r="AD264" i="2"/>
  <c r="L264" i="2" s="1"/>
  <c r="D265" i="2" l="1"/>
  <c r="E265" i="2" s="1"/>
  <c r="T265" i="2" s="1"/>
  <c r="K264" i="2"/>
  <c r="I264" i="2"/>
  <c r="N264" i="2" l="1"/>
  <c r="M264" i="2" s="1"/>
  <c r="P264" i="2" s="1"/>
  <c r="V265" i="2"/>
  <c r="AG264" i="2" l="1"/>
  <c r="O264" i="2"/>
  <c r="Q264" i="2" s="1"/>
  <c r="R264" i="2" l="1"/>
  <c r="S264" i="2" s="1"/>
  <c r="Y264" i="2" l="1"/>
  <c r="AA264" i="2" s="1"/>
  <c r="AB265" i="2" s="1"/>
  <c r="Z264" i="2"/>
  <c r="B266" i="2" l="1"/>
  <c r="G265" i="2"/>
  <c r="H265" i="2" s="1"/>
  <c r="F265" i="2"/>
  <c r="AC265" i="2"/>
  <c r="AE265" i="2"/>
  <c r="U265" i="2"/>
  <c r="AD265" i="2" l="1"/>
  <c r="L265" i="2" s="1"/>
  <c r="AF266" i="2"/>
  <c r="C266" i="2"/>
  <c r="J265" i="2"/>
  <c r="W265" i="2"/>
  <c r="X265" i="2" s="1"/>
  <c r="I265" i="2" l="1"/>
  <c r="K265" i="2"/>
  <c r="D266" i="2"/>
  <c r="E266" i="2" s="1"/>
  <c r="T266" i="2" s="1"/>
  <c r="V266" i="2" l="1"/>
  <c r="N265" i="2"/>
  <c r="M265" i="2" s="1"/>
  <c r="P265" i="2" s="1"/>
  <c r="AG265" i="2" l="1"/>
  <c r="O265" i="2"/>
  <c r="R265" i="2" l="1"/>
  <c r="Q265" i="2"/>
  <c r="S265" i="2" l="1"/>
  <c r="Z265" i="2" s="1"/>
  <c r="Y265" i="2" l="1"/>
  <c r="AA265" i="2" s="1"/>
  <c r="AB266" i="2" s="1"/>
  <c r="B267" i="2" l="1"/>
  <c r="G266" i="2"/>
  <c r="H266" i="2" s="1"/>
  <c r="F266" i="2"/>
  <c r="AC266" i="2"/>
  <c r="AE266" i="2"/>
  <c r="U266" i="2"/>
  <c r="AD266" i="2" l="1"/>
  <c r="L266" i="2" s="1"/>
  <c r="C267" i="2"/>
  <c r="AF267" i="2"/>
  <c r="J266" i="2"/>
  <c r="W266" i="2"/>
  <c r="X266" i="2" s="1"/>
  <c r="K266" i="2" l="1"/>
  <c r="D267" i="2"/>
  <c r="E267" i="2" s="1"/>
  <c r="T267" i="2" s="1"/>
  <c r="I266" i="2"/>
  <c r="V267" i="2" l="1"/>
  <c r="N266" i="2"/>
  <c r="M266" i="2" s="1"/>
  <c r="P266" i="2" s="1"/>
  <c r="AG266" i="2" l="1"/>
  <c r="O266" i="2"/>
  <c r="R266" i="2" l="1"/>
  <c r="Q266" i="2"/>
  <c r="S266" i="2" l="1"/>
  <c r="Z266" i="2" s="1"/>
  <c r="Y266" i="2" l="1"/>
  <c r="AA266" i="2" s="1"/>
  <c r="AB267" i="2" s="1"/>
  <c r="B268" i="2" l="1"/>
  <c r="G267" i="2"/>
  <c r="H267" i="2" s="1"/>
  <c r="F267" i="2"/>
  <c r="AC267" i="2"/>
  <c r="AE267" i="2"/>
  <c r="U267" i="2"/>
  <c r="J267" i="2" l="1"/>
  <c r="W267" i="2"/>
  <c r="X267" i="2" s="1"/>
  <c r="AF268" i="2"/>
  <c r="C268" i="2"/>
  <c r="AD267" i="2"/>
  <c r="L267" i="2" s="1"/>
  <c r="I267" i="2" l="1"/>
  <c r="D268" i="2"/>
  <c r="E268" i="2" s="1"/>
  <c r="T268" i="2" s="1"/>
  <c r="K267" i="2"/>
  <c r="V268" i="2" l="1"/>
  <c r="N267" i="2"/>
  <c r="M267" i="2" s="1"/>
  <c r="P267" i="2" s="1"/>
  <c r="AG267" i="2" l="1"/>
  <c r="O267" i="2"/>
  <c r="Q267" i="2" l="1"/>
  <c r="R267" i="2"/>
  <c r="S267" i="2" l="1"/>
  <c r="Y267" i="2" l="1"/>
  <c r="AA267" i="2" s="1"/>
  <c r="Z267" i="2"/>
  <c r="AB268" i="2" l="1"/>
  <c r="B269" i="2" l="1"/>
  <c r="G268" i="2"/>
  <c r="H268" i="2" s="1"/>
  <c r="F268" i="2"/>
  <c r="AC268" i="2"/>
  <c r="AE268" i="2"/>
  <c r="U268" i="2"/>
  <c r="AD268" i="2" l="1"/>
  <c r="L268" i="2" s="1"/>
  <c r="AF269" i="2"/>
  <c r="C269" i="2"/>
  <c r="J268" i="2"/>
  <c r="W268" i="2"/>
  <c r="X268" i="2" s="1"/>
  <c r="I268" i="2" l="1"/>
  <c r="D269" i="2"/>
  <c r="E269" i="2" s="1"/>
  <c r="T269" i="2" s="1"/>
  <c r="K268" i="2"/>
  <c r="N268" i="2" l="1"/>
  <c r="M268" i="2" s="1"/>
  <c r="P268" i="2" s="1"/>
  <c r="V269" i="2"/>
  <c r="AG268" i="2" l="1"/>
  <c r="O268" i="2"/>
  <c r="R268" i="2" s="1"/>
  <c r="Q268" i="2" l="1"/>
  <c r="S268" i="2" s="1"/>
  <c r="Z268" i="2" s="1"/>
  <c r="Y268" i="2" l="1"/>
  <c r="AA268" i="2" s="1"/>
  <c r="AB269" i="2" s="1"/>
  <c r="B270" i="2" l="1"/>
  <c r="G269" i="2"/>
  <c r="H269" i="2" s="1"/>
  <c r="F269" i="2"/>
  <c r="AC269" i="2"/>
  <c r="AE269" i="2"/>
  <c r="U269" i="2"/>
  <c r="AD269" i="2" l="1"/>
  <c r="L269" i="2" s="1"/>
  <c r="AF270" i="2"/>
  <c r="C270" i="2"/>
  <c r="J269" i="2"/>
  <c r="W269" i="2"/>
  <c r="X269" i="2" s="1"/>
  <c r="I269" i="2" l="1"/>
  <c r="K269" i="2"/>
  <c r="D270" i="2"/>
  <c r="E270" i="2" s="1"/>
  <c r="T270" i="2" s="1"/>
  <c r="V270" i="2" l="1"/>
  <c r="N269" i="2"/>
  <c r="M269" i="2" s="1"/>
  <c r="P269" i="2" s="1"/>
  <c r="AG269" i="2" l="1"/>
  <c r="O269" i="2"/>
  <c r="R269" i="2" l="1"/>
  <c r="Q269" i="2"/>
  <c r="S269" i="2" l="1"/>
  <c r="Y269" i="2" s="1"/>
  <c r="AA269" i="2" s="1"/>
  <c r="Z269" i="2" l="1"/>
  <c r="AB270" i="2"/>
  <c r="B271" i="2" l="1"/>
  <c r="G270" i="2"/>
  <c r="H270" i="2" s="1"/>
  <c r="F270" i="2"/>
  <c r="AC270" i="2"/>
  <c r="AE270" i="2"/>
  <c r="U270" i="2"/>
  <c r="AF271" i="2" l="1"/>
  <c r="C271" i="2"/>
  <c r="J270" i="2"/>
  <c r="W270" i="2"/>
  <c r="X270" i="2" s="1"/>
  <c r="AD270" i="2"/>
  <c r="L270" i="2" s="1"/>
  <c r="K270" i="2" l="1"/>
  <c r="D271" i="2"/>
  <c r="E271" i="2" s="1"/>
  <c r="T271" i="2" s="1"/>
  <c r="I270" i="2"/>
  <c r="N270" i="2" l="1"/>
  <c r="M270" i="2" s="1"/>
  <c r="P270" i="2" s="1"/>
  <c r="V271" i="2"/>
  <c r="AG270" i="2" l="1"/>
  <c r="O270" i="2"/>
  <c r="Q270" i="2" s="1"/>
  <c r="R270" i="2" l="1"/>
  <c r="S270" i="2" s="1"/>
  <c r="Y270" i="2" s="1"/>
  <c r="AA270" i="2" s="1"/>
  <c r="Z270" i="2" l="1"/>
  <c r="AB271" i="2"/>
  <c r="B272" i="2" l="1"/>
  <c r="G271" i="2"/>
  <c r="H271" i="2" s="1"/>
  <c r="F271" i="2"/>
  <c r="AC271" i="2"/>
  <c r="AE271" i="2"/>
  <c r="U271" i="2"/>
  <c r="J271" i="2" l="1"/>
  <c r="W271" i="2"/>
  <c r="X271" i="2" s="1"/>
  <c r="AF272" i="2"/>
  <c r="C272" i="2"/>
  <c r="AD271" i="2"/>
  <c r="L271" i="2" s="1"/>
  <c r="I271" i="2" l="1"/>
  <c r="D272" i="2"/>
  <c r="E272" i="2" s="1"/>
  <c r="T272" i="2" s="1"/>
  <c r="K271" i="2"/>
  <c r="V272" i="2" l="1"/>
  <c r="N271" i="2"/>
  <c r="M271" i="2" s="1"/>
  <c r="P271" i="2" s="1"/>
  <c r="AG271" i="2" l="1"/>
  <c r="O271" i="2"/>
  <c r="R271" i="2" l="1"/>
  <c r="Q271" i="2"/>
  <c r="S271" i="2" l="1"/>
  <c r="Y271" i="2" s="1"/>
  <c r="AA271" i="2" s="1"/>
  <c r="Z271" i="2" l="1"/>
  <c r="AB272" i="2"/>
  <c r="B273" i="2" l="1"/>
  <c r="G272" i="2"/>
  <c r="H272" i="2" s="1"/>
  <c r="F272" i="2"/>
  <c r="AC272" i="2"/>
  <c r="AE272" i="2"/>
  <c r="U272" i="2"/>
  <c r="AD272" i="2" l="1"/>
  <c r="L272" i="2" s="1"/>
  <c r="J272" i="2"/>
  <c r="W272" i="2"/>
  <c r="X272" i="2" s="1"/>
  <c r="C273" i="2"/>
  <c r="AF273" i="2"/>
  <c r="K272" i="2" l="1"/>
  <c r="I272" i="2"/>
  <c r="D273" i="2"/>
  <c r="E273" i="2" s="1"/>
  <c r="T273" i="2" s="1"/>
  <c r="N272" i="2" l="1"/>
  <c r="M272" i="2" s="1"/>
  <c r="P272" i="2" s="1"/>
  <c r="V273" i="2"/>
  <c r="AG272" i="2" l="1"/>
  <c r="O272" i="2"/>
  <c r="Q272" i="2" s="1"/>
  <c r="R272" i="2" l="1"/>
  <c r="S272" i="2" s="1"/>
  <c r="Y272" i="2" s="1"/>
  <c r="AA272" i="2" s="1"/>
  <c r="Z272" i="2" l="1"/>
  <c r="AB273" i="2"/>
  <c r="B274" i="2" l="1"/>
  <c r="G273" i="2"/>
  <c r="H273" i="2" s="1"/>
  <c r="F273" i="2"/>
  <c r="AE273" i="2"/>
  <c r="AC273" i="2"/>
  <c r="U273" i="2"/>
  <c r="J273" i="2" l="1"/>
  <c r="W273" i="2"/>
  <c r="X273" i="2" s="1"/>
  <c r="AF274" i="2"/>
  <c r="C274" i="2"/>
  <c r="AD273" i="2"/>
  <c r="L273" i="2" s="1"/>
  <c r="D274" i="2" l="1"/>
  <c r="E274" i="2" s="1"/>
  <c r="T274" i="2" s="1"/>
  <c r="K273" i="2"/>
  <c r="I273" i="2"/>
  <c r="N273" i="2" l="1"/>
  <c r="M273" i="2" s="1"/>
  <c r="P273" i="2" s="1"/>
  <c r="V274" i="2"/>
  <c r="AG273" i="2" l="1"/>
  <c r="O273" i="2"/>
  <c r="R273" i="2" s="1"/>
  <c r="Q273" i="2" l="1"/>
  <c r="S273" i="2" s="1"/>
  <c r="Z273" i="2" s="1"/>
  <c r="Y273" i="2" l="1"/>
  <c r="AA273" i="2" s="1"/>
  <c r="AB274" i="2" s="1"/>
  <c r="B275" i="2" l="1"/>
  <c r="G274" i="2"/>
  <c r="H274" i="2" s="1"/>
  <c r="F274" i="2"/>
  <c r="AE274" i="2"/>
  <c r="AC274" i="2"/>
  <c r="U274" i="2"/>
  <c r="J274" i="2" l="1"/>
  <c r="W274" i="2"/>
  <c r="X274" i="2" s="1"/>
  <c r="AD274" i="2"/>
  <c r="L274" i="2" s="1"/>
  <c r="AF275" i="2"/>
  <c r="C275" i="2"/>
  <c r="K274" i="2" l="1"/>
  <c r="D275" i="2"/>
  <c r="E275" i="2" s="1"/>
  <c r="T275" i="2" s="1"/>
  <c r="I274" i="2"/>
  <c r="N274" i="2" l="1"/>
  <c r="M274" i="2" s="1"/>
  <c r="P274" i="2" s="1"/>
  <c r="V275" i="2"/>
  <c r="AG274" i="2" l="1"/>
  <c r="O274" i="2"/>
  <c r="Q274" i="2" s="1"/>
  <c r="R274" i="2" l="1"/>
  <c r="S274" i="2" s="1"/>
  <c r="Y274" i="2" s="1"/>
  <c r="AA274" i="2" s="1"/>
  <c r="Z274" i="2" l="1"/>
  <c r="AB275" i="2"/>
  <c r="B276" i="2" l="1"/>
  <c r="G275" i="2"/>
  <c r="H275" i="2" s="1"/>
  <c r="F275" i="2"/>
  <c r="AC275" i="2"/>
  <c r="AE275" i="2"/>
  <c r="U275" i="2"/>
  <c r="AD275" i="2" l="1"/>
  <c r="L275" i="2" s="1"/>
  <c r="C276" i="2"/>
  <c r="AF276" i="2"/>
  <c r="J275" i="2"/>
  <c r="W275" i="2"/>
  <c r="X275" i="2" s="1"/>
  <c r="I275" i="2" l="1"/>
  <c r="K275" i="2"/>
  <c r="D276" i="2"/>
  <c r="E276" i="2" s="1"/>
  <c r="T276" i="2" s="1"/>
  <c r="N275" i="2" l="1"/>
  <c r="M275" i="2" s="1"/>
  <c r="P275" i="2" s="1"/>
  <c r="V276" i="2"/>
  <c r="AG275" i="2" l="1"/>
  <c r="O275" i="2"/>
  <c r="R275" i="2" l="1"/>
  <c r="Q275" i="2"/>
  <c r="S275" i="2" l="1"/>
  <c r="Y275" i="2" s="1"/>
  <c r="AA275" i="2" s="1"/>
  <c r="Z275" i="2" l="1"/>
  <c r="AB276" i="2"/>
  <c r="B277" i="2" l="1"/>
  <c r="G276" i="2"/>
  <c r="H276" i="2" s="1"/>
  <c r="F276" i="2"/>
  <c r="AC276" i="2"/>
  <c r="AE276" i="2"/>
  <c r="U276" i="2"/>
  <c r="J276" i="2" l="1"/>
  <c r="W276" i="2"/>
  <c r="X276" i="2" s="1"/>
  <c r="AF277" i="2"/>
  <c r="C277" i="2"/>
  <c r="AD276" i="2"/>
  <c r="L276" i="2" s="1"/>
  <c r="K276" i="2" l="1"/>
  <c r="D277" i="2"/>
  <c r="E277" i="2" s="1"/>
  <c r="T277" i="2" s="1"/>
  <c r="I276" i="2"/>
  <c r="N276" i="2" l="1"/>
  <c r="M276" i="2" s="1"/>
  <c r="P276" i="2" s="1"/>
  <c r="V277" i="2"/>
  <c r="AG276" i="2" l="1"/>
  <c r="O276" i="2"/>
  <c r="Q276" i="2" s="1"/>
  <c r="R276" i="2" l="1"/>
  <c r="S276" i="2" s="1"/>
  <c r="Y276" i="2" l="1"/>
  <c r="AA276" i="2" s="1"/>
  <c r="AB277" i="2" s="1"/>
  <c r="Z276" i="2"/>
  <c r="B278" i="2" l="1"/>
  <c r="G277" i="2"/>
  <c r="H277" i="2" s="1"/>
  <c r="F277" i="2"/>
  <c r="AC277" i="2"/>
  <c r="AE277" i="2"/>
  <c r="U277" i="2"/>
  <c r="J277" i="2" l="1"/>
  <c r="W277" i="2"/>
  <c r="X277" i="2" s="1"/>
  <c r="C278" i="2"/>
  <c r="AF278" i="2"/>
  <c r="AD277" i="2"/>
  <c r="L277" i="2" s="1"/>
  <c r="I277" i="2" l="1"/>
  <c r="D278" i="2"/>
  <c r="E278" i="2" s="1"/>
  <c r="T278" i="2" s="1"/>
  <c r="K277" i="2"/>
  <c r="V278" i="2" l="1"/>
  <c r="N277" i="2"/>
  <c r="M277" i="2" s="1"/>
  <c r="P277" i="2" s="1"/>
  <c r="AG277" i="2" l="1"/>
  <c r="O277" i="2"/>
  <c r="R277" i="2" l="1"/>
  <c r="Q277" i="2"/>
  <c r="S277" i="2" l="1"/>
  <c r="Z277" i="2" s="1"/>
  <c r="Y277" i="2" l="1"/>
  <c r="AA277" i="2" s="1"/>
  <c r="AB278" i="2" s="1"/>
  <c r="B279" i="2" l="1"/>
  <c r="G278" i="2"/>
  <c r="H278" i="2" s="1"/>
  <c r="F278" i="2"/>
  <c r="AC278" i="2"/>
  <c r="AE278" i="2"/>
  <c r="U278" i="2"/>
  <c r="J278" i="2" l="1"/>
  <c r="W278" i="2"/>
  <c r="X278" i="2" s="1"/>
  <c r="AF279" i="2"/>
  <c r="C279" i="2"/>
  <c r="AD278" i="2"/>
  <c r="L278" i="2" s="1"/>
  <c r="K278" i="2" l="1"/>
  <c r="D279" i="2"/>
  <c r="E279" i="2" s="1"/>
  <c r="T279" i="2" s="1"/>
  <c r="I278" i="2"/>
  <c r="N278" i="2" l="1"/>
  <c r="M278" i="2" s="1"/>
  <c r="P278" i="2" s="1"/>
  <c r="V279" i="2"/>
  <c r="AG278" i="2" l="1"/>
  <c r="O278" i="2"/>
  <c r="R278" i="2" s="1"/>
  <c r="Q278" i="2" l="1"/>
  <c r="S278" i="2" s="1"/>
  <c r="Y278" i="2" s="1"/>
  <c r="AA278" i="2" s="1"/>
  <c r="Z278" i="2" l="1"/>
  <c r="AB279" i="2"/>
  <c r="B280" i="2" l="1"/>
  <c r="G279" i="2"/>
  <c r="H279" i="2" s="1"/>
  <c r="F279" i="2"/>
  <c r="AC279" i="2"/>
  <c r="AE279" i="2"/>
  <c r="U279" i="2"/>
  <c r="AD279" i="2" l="1"/>
  <c r="L279" i="2" s="1"/>
  <c r="C280" i="2"/>
  <c r="AF280" i="2"/>
  <c r="J279" i="2"/>
  <c r="W279" i="2"/>
  <c r="X279" i="2" s="1"/>
  <c r="K279" i="2" l="1"/>
  <c r="D280" i="2"/>
  <c r="E280" i="2" s="1"/>
  <c r="T280" i="2" s="1"/>
  <c r="I279" i="2"/>
  <c r="V280" i="2" l="1"/>
  <c r="N279" i="2"/>
  <c r="M279" i="2" s="1"/>
  <c r="P279" i="2" s="1"/>
  <c r="AG279" i="2" l="1"/>
  <c r="O279" i="2"/>
  <c r="Q279" i="2" l="1"/>
  <c r="R279" i="2"/>
  <c r="S279" i="2" l="1"/>
  <c r="Y279" i="2" l="1"/>
  <c r="AA279" i="2" s="1"/>
  <c r="AB280" i="2" s="1"/>
  <c r="Z279" i="2"/>
  <c r="B281" i="2" l="1"/>
  <c r="G280" i="2"/>
  <c r="H280" i="2" s="1"/>
  <c r="F280" i="2"/>
  <c r="AC280" i="2"/>
  <c r="AE280" i="2"/>
  <c r="U280" i="2"/>
  <c r="J280" i="2" l="1"/>
  <c r="W280" i="2"/>
  <c r="X280" i="2" s="1"/>
  <c r="AD280" i="2"/>
  <c r="L280" i="2" s="1"/>
  <c r="AF281" i="2"/>
  <c r="C281" i="2"/>
  <c r="D281" i="2" l="1"/>
  <c r="E281" i="2" s="1"/>
  <c r="T281" i="2" s="1"/>
  <c r="K280" i="2"/>
  <c r="I280" i="2"/>
  <c r="N280" i="2" l="1"/>
  <c r="M280" i="2" s="1"/>
  <c r="P280" i="2" s="1"/>
  <c r="V281" i="2"/>
  <c r="AG280" i="2" l="1"/>
  <c r="O280" i="2"/>
  <c r="R280" i="2" s="1"/>
  <c r="Q280" i="2" l="1"/>
  <c r="S280" i="2" s="1"/>
  <c r="Z280" i="2" s="1"/>
  <c r="Y280" i="2" l="1"/>
  <c r="AA280" i="2" s="1"/>
  <c r="AB281" i="2" s="1"/>
  <c r="B282" i="2" l="1"/>
  <c r="G281" i="2"/>
  <c r="H281" i="2" s="1"/>
  <c r="F281" i="2"/>
  <c r="AE281" i="2"/>
  <c r="AC281" i="2"/>
  <c r="U281" i="2"/>
  <c r="J281" i="2" l="1"/>
  <c r="W281" i="2"/>
  <c r="X281" i="2" s="1"/>
  <c r="AF282" i="2"/>
  <c r="C282" i="2"/>
  <c r="AD281" i="2"/>
  <c r="L281" i="2" s="1"/>
  <c r="D282" i="2" l="1"/>
  <c r="E282" i="2" s="1"/>
  <c r="T282" i="2" s="1"/>
  <c r="K281" i="2"/>
  <c r="I281" i="2"/>
  <c r="N281" i="2" l="1"/>
  <c r="M281" i="2" s="1"/>
  <c r="P281" i="2" s="1"/>
  <c r="V282" i="2"/>
  <c r="AG281" i="2" l="1"/>
  <c r="O281" i="2"/>
  <c r="R281" i="2" s="1"/>
  <c r="Q281" i="2" l="1"/>
  <c r="S281" i="2" s="1"/>
  <c r="Z281" i="2" s="1"/>
  <c r="Y281" i="2" l="1"/>
  <c r="AA281" i="2" s="1"/>
  <c r="AB282" i="2" s="1"/>
  <c r="B283" i="2" l="1"/>
  <c r="G282" i="2"/>
  <c r="H282" i="2" s="1"/>
  <c r="F282" i="2"/>
  <c r="AE282" i="2"/>
  <c r="AC282" i="2"/>
  <c r="U282" i="2"/>
  <c r="AF283" i="2" l="1"/>
  <c r="C283" i="2"/>
  <c r="J282" i="2"/>
  <c r="W282" i="2"/>
  <c r="X282" i="2" s="1"/>
  <c r="AD282" i="2"/>
  <c r="L282" i="2" s="1"/>
  <c r="D283" i="2" l="1"/>
  <c r="E283" i="2" s="1"/>
  <c r="T283" i="2" s="1"/>
  <c r="K282" i="2"/>
  <c r="I282" i="2"/>
  <c r="N282" i="2" l="1"/>
  <c r="M282" i="2" s="1"/>
  <c r="P282" i="2" s="1"/>
  <c r="V283" i="2"/>
  <c r="AG282" i="2" l="1"/>
  <c r="O282" i="2"/>
  <c r="Q282" i="2" s="1"/>
  <c r="R282" i="2" l="1"/>
  <c r="S282" i="2" s="1"/>
  <c r="Y282" i="2" s="1"/>
  <c r="AA282" i="2" s="1"/>
  <c r="Z282" i="2" l="1"/>
  <c r="AB283" i="2"/>
  <c r="B284" i="2" l="1"/>
  <c r="G283" i="2"/>
  <c r="H283" i="2" s="1"/>
  <c r="F283" i="2"/>
  <c r="AC283" i="2"/>
  <c r="AE283" i="2"/>
  <c r="U283" i="2"/>
  <c r="AD283" i="2" l="1"/>
  <c r="L283" i="2" s="1"/>
  <c r="C284" i="2"/>
  <c r="AF284" i="2"/>
  <c r="J283" i="2"/>
  <c r="W283" i="2"/>
  <c r="X283" i="2" s="1"/>
  <c r="I283" i="2" l="1"/>
  <c r="D284" i="2"/>
  <c r="E284" i="2" s="1"/>
  <c r="T284" i="2" s="1"/>
  <c r="K283" i="2"/>
  <c r="V284" i="2" l="1"/>
  <c r="N283" i="2"/>
  <c r="M283" i="2" s="1"/>
  <c r="P283" i="2" s="1"/>
  <c r="AG283" i="2" l="1"/>
  <c r="O283" i="2"/>
  <c r="R283" i="2" l="1"/>
  <c r="Q283" i="2"/>
  <c r="S283" i="2" l="1"/>
  <c r="Y283" i="2" s="1"/>
  <c r="AA283" i="2" s="1"/>
  <c r="Z283" i="2" l="1"/>
  <c r="AB284" i="2"/>
  <c r="B285" i="2" l="1"/>
  <c r="G284" i="2"/>
  <c r="H284" i="2" s="1"/>
  <c r="F284" i="2"/>
  <c r="AC284" i="2"/>
  <c r="AE284" i="2"/>
  <c r="U284" i="2"/>
  <c r="AF285" i="2" l="1"/>
  <c r="C285" i="2"/>
  <c r="J284" i="2"/>
  <c r="W284" i="2"/>
  <c r="X284" i="2" s="1"/>
  <c r="AD284" i="2"/>
  <c r="L284" i="2" s="1"/>
  <c r="I284" i="2" l="1"/>
  <c r="D285" i="2"/>
  <c r="E285" i="2" s="1"/>
  <c r="T285" i="2" s="1"/>
  <c r="K284" i="2"/>
  <c r="V285" i="2" l="1"/>
  <c r="N284" i="2"/>
  <c r="M284" i="2" s="1"/>
  <c r="P284" i="2" s="1"/>
  <c r="AG284" i="2" l="1"/>
  <c r="O284" i="2"/>
  <c r="R284" i="2" l="1"/>
  <c r="Q284" i="2"/>
  <c r="S284" i="2" l="1"/>
  <c r="Z284" i="2" s="1"/>
  <c r="Y284" i="2" l="1"/>
  <c r="AA284" i="2" s="1"/>
  <c r="AB285" i="2" s="1"/>
  <c r="B286" i="2" l="1"/>
  <c r="G285" i="2"/>
  <c r="H285" i="2" s="1"/>
  <c r="F285" i="2"/>
  <c r="AC285" i="2"/>
  <c r="AE285" i="2"/>
  <c r="U285" i="2"/>
  <c r="J285" i="2" l="1"/>
  <c r="W285" i="2"/>
  <c r="X285" i="2" s="1"/>
  <c r="AF286" i="2"/>
  <c r="C286" i="2"/>
  <c r="AD285" i="2"/>
  <c r="L285" i="2" s="1"/>
  <c r="I285" i="2" l="1"/>
  <c r="D286" i="2"/>
  <c r="E286" i="2" s="1"/>
  <c r="T286" i="2" s="1"/>
  <c r="K285" i="2"/>
  <c r="V286" i="2" l="1"/>
  <c r="N285" i="2"/>
  <c r="M285" i="2" s="1"/>
  <c r="P285" i="2" s="1"/>
  <c r="AG285" i="2" l="1"/>
  <c r="O285" i="2"/>
  <c r="R285" i="2" l="1"/>
  <c r="Q285" i="2"/>
  <c r="S285" i="2" l="1"/>
  <c r="Z285" i="2" s="1"/>
  <c r="Y285" i="2" l="1"/>
  <c r="AA285" i="2" s="1"/>
  <c r="AB286" i="2" s="1"/>
  <c r="B287" i="2" l="1"/>
  <c r="G286" i="2"/>
  <c r="H286" i="2" s="1"/>
  <c r="F286" i="2"/>
  <c r="AC286" i="2"/>
  <c r="AE286" i="2"/>
  <c r="U286" i="2"/>
  <c r="AD286" i="2" l="1"/>
  <c r="L286" i="2" s="1"/>
  <c r="AF287" i="2"/>
  <c r="C287" i="2"/>
  <c r="J286" i="2"/>
  <c r="W286" i="2"/>
  <c r="X286" i="2" s="1"/>
  <c r="I286" i="2" l="1"/>
  <c r="K286" i="2"/>
  <c r="D287" i="2"/>
  <c r="E287" i="2" s="1"/>
  <c r="T287" i="2" s="1"/>
  <c r="N286" i="2" l="1"/>
  <c r="M286" i="2" s="1"/>
  <c r="P286" i="2" s="1"/>
  <c r="V287" i="2"/>
  <c r="AG286" i="2" l="1"/>
  <c r="O286" i="2"/>
  <c r="Q286" i="2" s="1"/>
  <c r="R286" i="2" l="1"/>
  <c r="S286" i="2" s="1"/>
  <c r="Z286" i="2" s="1"/>
  <c r="Y286" i="2" l="1"/>
  <c r="AA286" i="2" s="1"/>
  <c r="AB287" i="2" s="1"/>
  <c r="B288" i="2" l="1"/>
  <c r="G287" i="2"/>
  <c r="H287" i="2" s="1"/>
  <c r="F287" i="2"/>
  <c r="AC287" i="2"/>
  <c r="AE287" i="2"/>
  <c r="U287" i="2"/>
  <c r="AD287" i="2" l="1"/>
  <c r="L287" i="2" s="1"/>
  <c r="C288" i="2"/>
  <c r="AF288" i="2"/>
  <c r="J287" i="2"/>
  <c r="W287" i="2"/>
  <c r="X287" i="2" s="1"/>
  <c r="I287" i="2" l="1"/>
  <c r="D288" i="2"/>
  <c r="E288" i="2" s="1"/>
  <c r="T288" i="2" s="1"/>
  <c r="K287" i="2"/>
  <c r="V288" i="2" l="1"/>
  <c r="N287" i="2"/>
  <c r="M287" i="2" s="1"/>
  <c r="P287" i="2" s="1"/>
  <c r="AG287" i="2" l="1"/>
  <c r="O287" i="2"/>
  <c r="R287" i="2" l="1"/>
  <c r="Q287" i="2"/>
  <c r="S287" i="2" l="1"/>
  <c r="Z287" i="2" s="1"/>
  <c r="Y287" i="2" l="1"/>
  <c r="AA287" i="2" s="1"/>
  <c r="AB288" i="2" s="1"/>
  <c r="B289" i="2" l="1"/>
  <c r="G288" i="2"/>
  <c r="H288" i="2" s="1"/>
  <c r="F288" i="2"/>
  <c r="AC288" i="2"/>
  <c r="AE288" i="2"/>
  <c r="U288" i="2"/>
  <c r="AD288" i="2" l="1"/>
  <c r="L288" i="2" s="1"/>
  <c r="AF289" i="2"/>
  <c r="C289" i="2"/>
  <c r="J288" i="2"/>
  <c r="W288" i="2"/>
  <c r="X288" i="2" s="1"/>
  <c r="D289" i="2" l="1"/>
  <c r="E289" i="2" s="1"/>
  <c r="T289" i="2" s="1"/>
  <c r="K288" i="2"/>
  <c r="I288" i="2"/>
  <c r="V289" i="2" l="1"/>
  <c r="N288" i="2"/>
  <c r="M288" i="2" s="1"/>
  <c r="P288" i="2" s="1"/>
  <c r="AG288" i="2" l="1"/>
  <c r="O288" i="2"/>
  <c r="R288" i="2" l="1"/>
  <c r="Q288" i="2"/>
  <c r="S288" i="2" l="1"/>
  <c r="Y288" i="2" s="1"/>
  <c r="AA288" i="2" s="1"/>
  <c r="Z288" i="2" l="1"/>
  <c r="AB289" i="2"/>
  <c r="B290" i="2" l="1"/>
  <c r="G289" i="2"/>
  <c r="H289" i="2" s="1"/>
  <c r="F289" i="2"/>
  <c r="AC289" i="2"/>
  <c r="AE289" i="2"/>
  <c r="U289" i="2"/>
  <c r="AD289" i="2" l="1"/>
  <c r="L289" i="2" s="1"/>
  <c r="AF290" i="2"/>
  <c r="C290" i="2"/>
  <c r="J289" i="2"/>
  <c r="W289" i="2"/>
  <c r="X289" i="2" s="1"/>
  <c r="D290" i="2" l="1"/>
  <c r="E290" i="2" s="1"/>
  <c r="T290" i="2" s="1"/>
  <c r="K289" i="2"/>
  <c r="I289" i="2"/>
  <c r="V290" i="2" l="1"/>
  <c r="N289" i="2"/>
  <c r="M289" i="2" s="1"/>
  <c r="P289" i="2" s="1"/>
  <c r="AG289" i="2" l="1"/>
  <c r="O289" i="2"/>
  <c r="R289" i="2" l="1"/>
  <c r="Q289" i="2"/>
  <c r="S289" i="2" l="1"/>
  <c r="Y289" i="2" s="1"/>
  <c r="AA289" i="2" s="1"/>
  <c r="Z289" i="2" l="1"/>
  <c r="AB290" i="2"/>
  <c r="B291" i="2" l="1"/>
  <c r="G290" i="2"/>
  <c r="H290" i="2" s="1"/>
  <c r="F290" i="2"/>
  <c r="AC290" i="2"/>
  <c r="AE290" i="2"/>
  <c r="U290" i="2"/>
  <c r="AD290" i="2" l="1"/>
  <c r="L290" i="2" s="1"/>
  <c r="C291" i="2"/>
  <c r="AF291" i="2"/>
  <c r="J290" i="2"/>
  <c r="W290" i="2"/>
  <c r="X290" i="2" s="1"/>
  <c r="I290" i="2" l="1"/>
  <c r="K290" i="2"/>
  <c r="D291" i="2"/>
  <c r="E291" i="2" s="1"/>
  <c r="T291" i="2" s="1"/>
  <c r="N290" i="2" l="1"/>
  <c r="M290" i="2" s="1"/>
  <c r="P290" i="2" s="1"/>
  <c r="V291" i="2"/>
  <c r="AG290" i="2" l="1"/>
  <c r="O290" i="2"/>
  <c r="Q290" i="2" s="1"/>
  <c r="R290" i="2" l="1"/>
  <c r="S290" i="2" s="1"/>
  <c r="Z290" i="2" s="1"/>
  <c r="Y290" i="2" l="1"/>
  <c r="AA290" i="2" s="1"/>
  <c r="AB291" i="2" s="1"/>
  <c r="B292" i="2" l="1"/>
  <c r="G291" i="2"/>
  <c r="H291" i="2" s="1"/>
  <c r="F291" i="2"/>
  <c r="AC291" i="2"/>
  <c r="AE291" i="2"/>
  <c r="U291" i="2"/>
  <c r="AD291" i="2" l="1"/>
  <c r="L291" i="2" s="1"/>
  <c r="J291" i="2"/>
  <c r="W291" i="2"/>
  <c r="X291" i="2" s="1"/>
  <c r="AF292" i="2"/>
  <c r="C292" i="2"/>
  <c r="K291" i="2" l="1"/>
  <c r="I291" i="2"/>
  <c r="D292" i="2"/>
  <c r="E292" i="2" s="1"/>
  <c r="T292" i="2" s="1"/>
  <c r="N291" i="2" l="1"/>
  <c r="M291" i="2" s="1"/>
  <c r="P291" i="2" s="1"/>
  <c r="V292" i="2"/>
  <c r="AG291" i="2" l="1"/>
  <c r="O291" i="2"/>
  <c r="Q291" i="2" s="1"/>
  <c r="R291" i="2" l="1"/>
  <c r="S291" i="2" s="1"/>
  <c r="Z291" i="2" s="1"/>
  <c r="Y291" i="2" l="1"/>
  <c r="AA291" i="2" s="1"/>
  <c r="AB292" i="2" s="1"/>
  <c r="B293" i="2" l="1"/>
  <c r="G292" i="2"/>
  <c r="H292" i="2" s="1"/>
  <c r="F292" i="2"/>
  <c r="AE292" i="2"/>
  <c r="AC292" i="2"/>
  <c r="U292" i="2"/>
  <c r="J292" i="2" l="1"/>
  <c r="W292" i="2"/>
  <c r="X292" i="2" s="1"/>
  <c r="AD292" i="2"/>
  <c r="L292" i="2" s="1"/>
  <c r="C293" i="2"/>
  <c r="AF293" i="2"/>
  <c r="D293" i="2" l="1"/>
  <c r="E293" i="2" s="1"/>
  <c r="T293" i="2" s="1"/>
  <c r="K292" i="2"/>
  <c r="I292" i="2"/>
  <c r="N292" i="2" l="1"/>
  <c r="M292" i="2" s="1"/>
  <c r="P292" i="2" s="1"/>
  <c r="V293" i="2"/>
  <c r="AG292" i="2" l="1"/>
  <c r="O292" i="2"/>
  <c r="R292" i="2" s="1"/>
  <c r="Q292" i="2" l="1"/>
  <c r="S292" i="2" s="1"/>
  <c r="Z292" i="2" s="1"/>
  <c r="Y292" i="2" l="1"/>
  <c r="AA292" i="2" s="1"/>
  <c r="AB293" i="2" s="1"/>
  <c r="B294" i="2" l="1"/>
  <c r="G293" i="2"/>
  <c r="H293" i="2" s="1"/>
  <c r="F293" i="2"/>
  <c r="AE293" i="2"/>
  <c r="AC293" i="2"/>
  <c r="U293" i="2"/>
  <c r="J293" i="2" l="1"/>
  <c r="W293" i="2"/>
  <c r="X293" i="2" s="1"/>
  <c r="AD293" i="2"/>
  <c r="L293" i="2" s="1"/>
  <c r="C294" i="2"/>
  <c r="AF294" i="2"/>
  <c r="K293" i="2" l="1"/>
  <c r="D294" i="2"/>
  <c r="E294" i="2" s="1"/>
  <c r="T294" i="2" s="1"/>
  <c r="I293" i="2"/>
  <c r="N293" i="2" l="1"/>
  <c r="M293" i="2" s="1"/>
  <c r="P293" i="2" s="1"/>
  <c r="V294" i="2"/>
  <c r="AG293" i="2" l="1"/>
  <c r="O293" i="2"/>
  <c r="R293" i="2" s="1"/>
  <c r="Q293" i="2" l="1"/>
  <c r="S293" i="2" s="1"/>
  <c r="Z293" i="2" s="1"/>
  <c r="Y293" i="2" l="1"/>
  <c r="AA293" i="2" s="1"/>
  <c r="AB294" i="2" s="1"/>
  <c r="B295" i="2" l="1"/>
  <c r="G294" i="2"/>
  <c r="H294" i="2" s="1"/>
  <c r="F294" i="2"/>
  <c r="AE294" i="2"/>
  <c r="AC294" i="2"/>
  <c r="U294" i="2"/>
  <c r="J294" i="2" l="1"/>
  <c r="W294" i="2"/>
  <c r="X294" i="2" s="1"/>
  <c r="AF295" i="2"/>
  <c r="C295" i="2"/>
  <c r="AD294" i="2"/>
  <c r="L294" i="2" s="1"/>
  <c r="D295" i="2" l="1"/>
  <c r="E295" i="2" s="1"/>
  <c r="T295" i="2" s="1"/>
  <c r="K294" i="2"/>
  <c r="I294" i="2"/>
  <c r="N294" i="2" l="1"/>
  <c r="M294" i="2" s="1"/>
  <c r="P294" i="2" s="1"/>
  <c r="V295" i="2"/>
  <c r="AG294" i="2" l="1"/>
  <c r="O294" i="2"/>
  <c r="Q294" i="2" s="1"/>
  <c r="R294" i="2" l="1"/>
  <c r="S294" i="2" s="1"/>
  <c r="Y294" i="2" l="1"/>
  <c r="AA294" i="2" s="1"/>
  <c r="AB295" i="2" s="1"/>
  <c r="Z294" i="2"/>
  <c r="B296" i="2" l="1"/>
  <c r="G295" i="2"/>
  <c r="H295" i="2" s="1"/>
  <c r="F295" i="2"/>
  <c r="AE295" i="2"/>
  <c r="AC295" i="2"/>
  <c r="U295" i="2"/>
  <c r="J295" i="2" l="1"/>
  <c r="W295" i="2"/>
  <c r="X295" i="2" s="1"/>
  <c r="AF296" i="2"/>
  <c r="C296" i="2"/>
  <c r="AD295" i="2"/>
  <c r="L295" i="2" s="1"/>
  <c r="I295" i="2" l="1"/>
  <c r="D296" i="2"/>
  <c r="E296" i="2" s="1"/>
  <c r="T296" i="2" s="1"/>
  <c r="K295" i="2"/>
  <c r="V296" i="2" l="1"/>
  <c r="N295" i="2"/>
  <c r="M295" i="2" s="1"/>
  <c r="P295" i="2" s="1"/>
  <c r="AG295" i="2" l="1"/>
  <c r="O295" i="2"/>
  <c r="R295" i="2" l="1"/>
  <c r="Q295" i="2"/>
  <c r="S295" i="2" l="1"/>
  <c r="Z295" i="2" s="1"/>
  <c r="Y295" i="2" l="1"/>
  <c r="AA295" i="2" s="1"/>
  <c r="AB296" i="2" s="1"/>
  <c r="B297" i="2" l="1"/>
  <c r="G296" i="2"/>
  <c r="H296" i="2" s="1"/>
  <c r="F296" i="2"/>
  <c r="AE296" i="2"/>
  <c r="AC296" i="2"/>
  <c r="U296" i="2"/>
  <c r="J296" i="2" l="1"/>
  <c r="W296" i="2"/>
  <c r="X296" i="2" s="1"/>
  <c r="AD296" i="2"/>
  <c r="L296" i="2" s="1"/>
  <c r="C297" i="2"/>
  <c r="AF297" i="2"/>
  <c r="K296" i="2" l="1"/>
  <c r="D297" i="2"/>
  <c r="E297" i="2" s="1"/>
  <c r="T297" i="2" s="1"/>
  <c r="I296" i="2"/>
  <c r="N296" i="2" l="1"/>
  <c r="M296" i="2" s="1"/>
  <c r="P296" i="2" s="1"/>
  <c r="V297" i="2"/>
  <c r="AG296" i="2" l="1"/>
  <c r="O296" i="2"/>
  <c r="Q296" i="2" s="1"/>
  <c r="R296" i="2" l="1"/>
  <c r="S296" i="2" s="1"/>
  <c r="Y296" i="2" s="1"/>
  <c r="AA296" i="2" s="1"/>
  <c r="Z296" i="2" l="1"/>
  <c r="AB297" i="2"/>
  <c r="B298" i="2" l="1"/>
  <c r="G297" i="2"/>
  <c r="H297" i="2" s="1"/>
  <c r="F297" i="2"/>
  <c r="AE297" i="2"/>
  <c r="AC297" i="2"/>
  <c r="U297" i="2"/>
  <c r="J297" i="2" l="1"/>
  <c r="W297" i="2"/>
  <c r="X297" i="2" s="1"/>
  <c r="AF298" i="2"/>
  <c r="C298" i="2"/>
  <c r="AD297" i="2"/>
  <c r="L297" i="2" s="1"/>
  <c r="D298" i="2" l="1"/>
  <c r="E298" i="2" s="1"/>
  <c r="T298" i="2" s="1"/>
  <c r="K297" i="2"/>
  <c r="I297" i="2"/>
  <c r="N297" i="2" l="1"/>
  <c r="M297" i="2" s="1"/>
  <c r="P297" i="2" s="1"/>
  <c r="V298" i="2"/>
  <c r="AG297" i="2" l="1"/>
  <c r="O297" i="2"/>
  <c r="Q297" i="2" s="1"/>
  <c r="R297" i="2" l="1"/>
  <c r="S297" i="2" s="1"/>
  <c r="Y297" i="2" s="1"/>
  <c r="AA297" i="2" s="1"/>
  <c r="Z297" i="2" l="1"/>
  <c r="AB298" i="2"/>
  <c r="B299" i="2" l="1"/>
  <c r="G298" i="2"/>
  <c r="H298" i="2" s="1"/>
  <c r="F298" i="2"/>
  <c r="AE298" i="2"/>
  <c r="AC298" i="2"/>
  <c r="U298" i="2"/>
  <c r="AF299" i="2" l="1"/>
  <c r="C299" i="2"/>
  <c r="J298" i="2"/>
  <c r="W298" i="2"/>
  <c r="X298" i="2" s="1"/>
  <c r="AD298" i="2"/>
  <c r="L298" i="2" s="1"/>
  <c r="D299" i="2" l="1"/>
  <c r="E299" i="2" s="1"/>
  <c r="T299" i="2" s="1"/>
  <c r="K298" i="2"/>
  <c r="I298" i="2"/>
  <c r="N298" i="2" l="1"/>
  <c r="M298" i="2" s="1"/>
  <c r="P298" i="2" s="1"/>
  <c r="V299" i="2"/>
  <c r="AG298" i="2" l="1"/>
  <c r="O298" i="2"/>
  <c r="R298" i="2" s="1"/>
  <c r="Q298" i="2" l="1"/>
  <c r="S298" i="2" s="1"/>
  <c r="Y298" i="2" s="1"/>
  <c r="AA298" i="2" s="1"/>
  <c r="Z298" i="2" l="1"/>
  <c r="AB299" i="2"/>
  <c r="B300" i="2" l="1"/>
  <c r="G299" i="2"/>
  <c r="H299" i="2" s="1"/>
  <c r="F299" i="2"/>
  <c r="AC299" i="2"/>
  <c r="AE299" i="2"/>
  <c r="U299" i="2"/>
  <c r="J299" i="2" l="1"/>
  <c r="W299" i="2"/>
  <c r="X299" i="2" s="1"/>
  <c r="AF300" i="2"/>
  <c r="C300" i="2"/>
  <c r="AD299" i="2"/>
  <c r="L299" i="2" s="1"/>
  <c r="D300" i="2" l="1"/>
  <c r="E300" i="2" s="1"/>
  <c r="T300" i="2" s="1"/>
  <c r="K299" i="2"/>
  <c r="I299" i="2"/>
  <c r="N299" i="2" l="1"/>
  <c r="M299" i="2" s="1"/>
  <c r="P299" i="2" s="1"/>
  <c r="V300" i="2"/>
  <c r="AG299" i="2" l="1"/>
  <c r="O299" i="2"/>
  <c r="Q299" i="2" s="1"/>
  <c r="R299" i="2" l="1"/>
  <c r="S299" i="2" s="1"/>
  <c r="Y299" i="2" s="1"/>
  <c r="AA299" i="2" s="1"/>
  <c r="Z299" i="2" l="1"/>
  <c r="AB300" i="2"/>
  <c r="B301" i="2" l="1"/>
  <c r="G300" i="2"/>
  <c r="H300" i="2" s="1"/>
  <c r="F300" i="2"/>
  <c r="AC300" i="2"/>
  <c r="AE300" i="2"/>
  <c r="U300" i="2"/>
  <c r="AD300" i="2" l="1"/>
  <c r="L300" i="2" s="1"/>
  <c r="AF301" i="2"/>
  <c r="C301" i="2"/>
  <c r="J300" i="2"/>
  <c r="W300" i="2"/>
  <c r="X300" i="2" s="1"/>
  <c r="D301" i="2" l="1"/>
  <c r="E301" i="2" s="1"/>
  <c r="T301" i="2" s="1"/>
  <c r="K300" i="2"/>
  <c r="I300" i="2"/>
  <c r="N300" i="2" l="1"/>
  <c r="M300" i="2" s="1"/>
  <c r="P300" i="2" s="1"/>
  <c r="V301" i="2"/>
  <c r="AG300" i="2" l="1"/>
  <c r="O300" i="2"/>
  <c r="Q300" i="2" s="1"/>
  <c r="R300" i="2" l="1"/>
  <c r="S300" i="2" s="1"/>
  <c r="Z300" i="2" s="1"/>
  <c r="Y300" i="2" l="1"/>
  <c r="AA300" i="2" s="1"/>
  <c r="AB301" i="2" s="1"/>
  <c r="B302" i="2" l="1"/>
  <c r="G301" i="2"/>
  <c r="H301" i="2" s="1"/>
  <c r="F301" i="2"/>
  <c r="AC301" i="2"/>
  <c r="AE301" i="2"/>
  <c r="U301" i="2"/>
  <c r="AD301" i="2" l="1"/>
  <c r="L301" i="2" s="1"/>
  <c r="AF302" i="2"/>
  <c r="C302" i="2"/>
  <c r="J301" i="2"/>
  <c r="W301" i="2"/>
  <c r="X301" i="2" s="1"/>
  <c r="D302" i="2" l="1"/>
  <c r="E302" i="2" s="1"/>
  <c r="T302" i="2" s="1"/>
  <c r="K301" i="2"/>
  <c r="I301" i="2"/>
  <c r="N301" i="2" l="1"/>
  <c r="M301" i="2" s="1"/>
  <c r="P301" i="2" s="1"/>
  <c r="V302" i="2"/>
  <c r="AG301" i="2" l="1"/>
  <c r="O301" i="2"/>
  <c r="Q301" i="2" s="1"/>
  <c r="R301" i="2" l="1"/>
  <c r="S301" i="2" s="1"/>
  <c r="Y301" i="2" s="1"/>
  <c r="AA301" i="2" s="1"/>
  <c r="Z301" i="2" l="1"/>
  <c r="AB302" i="2"/>
  <c r="B303" i="2" l="1"/>
  <c r="G302" i="2"/>
  <c r="H302" i="2" s="1"/>
  <c r="F302" i="2"/>
  <c r="AC302" i="2"/>
  <c r="AE302" i="2"/>
  <c r="U302" i="2"/>
  <c r="AD302" i="2" l="1"/>
  <c r="L302" i="2" s="1"/>
  <c r="AF303" i="2"/>
  <c r="C303" i="2"/>
  <c r="J302" i="2"/>
  <c r="W302" i="2"/>
  <c r="X302" i="2" s="1"/>
  <c r="I302" i="2" l="1"/>
  <c r="D303" i="2"/>
  <c r="E303" i="2" s="1"/>
  <c r="T303" i="2" s="1"/>
  <c r="K302" i="2"/>
  <c r="V303" i="2" l="1"/>
  <c r="N302" i="2"/>
  <c r="M302" i="2" s="1"/>
  <c r="P302" i="2" s="1"/>
  <c r="AG302" i="2" l="1"/>
  <c r="O302" i="2"/>
  <c r="R302" i="2" l="1"/>
  <c r="Q302" i="2"/>
  <c r="S302" i="2" l="1"/>
  <c r="Z302" i="2" s="1"/>
  <c r="Y302" i="2" l="1"/>
  <c r="AA302" i="2" s="1"/>
  <c r="AB303" i="2" s="1"/>
  <c r="B304" i="2" l="1"/>
  <c r="G303" i="2"/>
  <c r="H303" i="2" s="1"/>
  <c r="F303" i="2"/>
  <c r="AC303" i="2"/>
  <c r="AE303" i="2"/>
  <c r="U303" i="2"/>
  <c r="AD303" i="2" l="1"/>
  <c r="L303" i="2" s="1"/>
  <c r="C304" i="2"/>
  <c r="AF304" i="2"/>
  <c r="J303" i="2"/>
  <c r="W303" i="2"/>
  <c r="X303" i="2" s="1"/>
  <c r="K303" i="2" l="1"/>
  <c r="D304" i="2"/>
  <c r="E304" i="2" s="1"/>
  <c r="T304" i="2" s="1"/>
  <c r="I303" i="2"/>
  <c r="N303" i="2" l="1"/>
  <c r="M303" i="2" s="1"/>
  <c r="P303" i="2" s="1"/>
  <c r="V304" i="2"/>
  <c r="AG303" i="2" l="1"/>
  <c r="O303" i="2"/>
  <c r="Q303" i="2" s="1"/>
  <c r="R303" i="2" l="1"/>
  <c r="S303" i="2" s="1"/>
  <c r="Y303" i="2" s="1"/>
  <c r="AA303" i="2" s="1"/>
  <c r="Z303" i="2" l="1"/>
  <c r="AB304" i="2"/>
  <c r="B305" i="2" l="1"/>
  <c r="G304" i="2"/>
  <c r="H304" i="2" s="1"/>
  <c r="F304" i="2"/>
  <c r="AC304" i="2"/>
  <c r="AE304" i="2"/>
  <c r="U304" i="2"/>
  <c r="AD304" i="2" l="1"/>
  <c r="L304" i="2" s="1"/>
  <c r="AF305" i="2"/>
  <c r="C305" i="2"/>
  <c r="J304" i="2"/>
  <c r="W304" i="2"/>
  <c r="X304" i="2" s="1"/>
  <c r="I304" i="2" l="1"/>
  <c r="D305" i="2"/>
  <c r="E305" i="2" s="1"/>
  <c r="T305" i="2" s="1"/>
  <c r="K304" i="2"/>
  <c r="N304" i="2" l="1"/>
  <c r="M304" i="2" s="1"/>
  <c r="P304" i="2" s="1"/>
  <c r="V305" i="2"/>
  <c r="AG304" i="2" l="1"/>
  <c r="O304" i="2"/>
  <c r="Q304" i="2" s="1"/>
  <c r="R304" i="2" l="1"/>
  <c r="S304" i="2" s="1"/>
  <c r="Z304" i="2" s="1"/>
  <c r="Y304" i="2" l="1"/>
  <c r="AA304" i="2" s="1"/>
  <c r="AB305" i="2" s="1"/>
  <c r="B306" i="2" l="1"/>
  <c r="G305" i="2"/>
  <c r="H305" i="2" s="1"/>
  <c r="F305" i="2"/>
  <c r="AC305" i="2"/>
  <c r="AE305" i="2"/>
  <c r="U305" i="2"/>
  <c r="J305" i="2" l="1"/>
  <c r="W305" i="2"/>
  <c r="X305" i="2" s="1"/>
  <c r="AD305" i="2"/>
  <c r="L305" i="2" s="1"/>
  <c r="C306" i="2"/>
  <c r="AF306" i="2"/>
  <c r="I305" i="2" l="1"/>
  <c r="D306" i="2"/>
  <c r="E306" i="2" s="1"/>
  <c r="T306" i="2" s="1"/>
  <c r="K305" i="2"/>
  <c r="N305" i="2" l="1"/>
  <c r="M305" i="2" s="1"/>
  <c r="P305" i="2" s="1"/>
  <c r="V306" i="2"/>
  <c r="AG305" i="2" l="1"/>
  <c r="O305" i="2"/>
  <c r="Q305" i="2" s="1"/>
  <c r="R305" i="2" l="1"/>
  <c r="S305" i="2" s="1"/>
  <c r="Z305" i="2" s="1"/>
  <c r="Y305" i="2" l="1"/>
  <c r="AA305" i="2" s="1"/>
  <c r="AB306" i="2" s="1"/>
  <c r="B307" i="2" l="1"/>
  <c r="G306" i="2"/>
  <c r="H306" i="2" s="1"/>
  <c r="F306" i="2"/>
  <c r="AE306" i="2"/>
  <c r="AC306" i="2"/>
  <c r="U306" i="2"/>
  <c r="J306" i="2" l="1"/>
  <c r="W306" i="2"/>
  <c r="X306" i="2" s="1"/>
  <c r="AD306" i="2"/>
  <c r="L306" i="2" s="1"/>
  <c r="AF307" i="2"/>
  <c r="C307" i="2"/>
  <c r="I306" i="2" l="1"/>
  <c r="D307" i="2"/>
  <c r="E307" i="2" s="1"/>
  <c r="T307" i="2" s="1"/>
  <c r="K306" i="2"/>
  <c r="V307" i="2" l="1"/>
  <c r="N306" i="2"/>
  <c r="M306" i="2" s="1"/>
  <c r="P306" i="2" s="1"/>
  <c r="AG306" i="2" l="1"/>
  <c r="O306" i="2"/>
  <c r="R306" i="2" l="1"/>
  <c r="Q306" i="2"/>
  <c r="S306" i="2" l="1"/>
  <c r="Y306" i="2" s="1"/>
  <c r="AA306" i="2" s="1"/>
  <c r="Z306" i="2" l="1"/>
  <c r="AB307" i="2"/>
  <c r="B308" i="2" l="1"/>
  <c r="G307" i="2"/>
  <c r="H307" i="2" s="1"/>
  <c r="F307" i="2"/>
  <c r="AE307" i="2"/>
  <c r="AC307" i="2"/>
  <c r="U307" i="2"/>
  <c r="AF308" i="2" l="1"/>
  <c r="C308" i="2"/>
  <c r="J307" i="2"/>
  <c r="W307" i="2"/>
  <c r="X307" i="2" s="1"/>
  <c r="AD307" i="2"/>
  <c r="L307" i="2" s="1"/>
  <c r="D308" i="2" l="1"/>
  <c r="E308" i="2" s="1"/>
  <c r="T308" i="2" s="1"/>
  <c r="K307" i="2"/>
  <c r="I307" i="2"/>
  <c r="N307" i="2" l="1"/>
  <c r="M307" i="2" s="1"/>
  <c r="P307" i="2" s="1"/>
  <c r="V308" i="2"/>
  <c r="AG307" i="2" l="1"/>
  <c r="O307" i="2"/>
  <c r="R307" i="2" s="1"/>
  <c r="Q307" i="2" l="1"/>
  <c r="S307" i="2" s="1"/>
  <c r="Z307" i="2" s="1"/>
  <c r="Y307" i="2" l="1"/>
  <c r="AA307" i="2" s="1"/>
  <c r="AB308" i="2" s="1"/>
  <c r="B309" i="2" l="1"/>
  <c r="G308" i="2"/>
  <c r="H308" i="2" s="1"/>
  <c r="F308" i="2"/>
  <c r="AC308" i="2"/>
  <c r="AE308" i="2"/>
  <c r="U308" i="2"/>
  <c r="AF309" i="2" l="1"/>
  <c r="C309" i="2"/>
  <c r="J308" i="2"/>
  <c r="W308" i="2"/>
  <c r="X308" i="2" s="1"/>
  <c r="AD308" i="2"/>
  <c r="L308" i="2" s="1"/>
  <c r="I308" i="2" l="1"/>
  <c r="D309" i="2"/>
  <c r="E309" i="2" s="1"/>
  <c r="T309" i="2" s="1"/>
  <c r="K308" i="2"/>
  <c r="V309" i="2" l="1"/>
  <c r="N308" i="2"/>
  <c r="M308" i="2" s="1"/>
  <c r="P308" i="2" s="1"/>
  <c r="AG308" i="2" l="1"/>
  <c r="O308" i="2"/>
  <c r="R308" i="2" l="1"/>
  <c r="Q308" i="2"/>
  <c r="S308" i="2" l="1"/>
  <c r="Z308" i="2" s="1"/>
  <c r="Y308" i="2" l="1"/>
  <c r="AA308" i="2" s="1"/>
  <c r="AB309" i="2" s="1"/>
  <c r="B310" i="2" l="1"/>
  <c r="G309" i="2"/>
  <c r="H309" i="2" s="1"/>
  <c r="F309" i="2"/>
  <c r="AC309" i="2"/>
  <c r="AE309" i="2"/>
  <c r="U309" i="2"/>
  <c r="J309" i="2" l="1"/>
  <c r="W309" i="2"/>
  <c r="X309" i="2" s="1"/>
  <c r="AF310" i="2"/>
  <c r="C310" i="2"/>
  <c r="AD309" i="2"/>
  <c r="L309" i="2" s="1"/>
  <c r="D310" i="2" l="1"/>
  <c r="E310" i="2" s="1"/>
  <c r="T310" i="2" s="1"/>
  <c r="K309" i="2"/>
  <c r="I309" i="2"/>
  <c r="N309" i="2" l="1"/>
  <c r="M309" i="2" s="1"/>
  <c r="P309" i="2" s="1"/>
  <c r="V310" i="2"/>
  <c r="AG309" i="2" l="1"/>
  <c r="O309" i="2"/>
  <c r="Q309" i="2" s="1"/>
  <c r="R309" i="2" l="1"/>
  <c r="S309" i="2" s="1"/>
  <c r="Y309" i="2" s="1"/>
  <c r="AA309" i="2" s="1"/>
  <c r="Z309" i="2" l="1"/>
  <c r="AB310" i="2"/>
  <c r="B311" i="2" l="1"/>
  <c r="G310" i="2"/>
  <c r="H310" i="2" s="1"/>
  <c r="F310" i="2"/>
  <c r="AC310" i="2"/>
  <c r="AE310" i="2"/>
  <c r="U310" i="2"/>
  <c r="AD310" i="2" l="1"/>
  <c r="L310" i="2" s="1"/>
  <c r="AF311" i="2"/>
  <c r="C311" i="2"/>
  <c r="J310" i="2"/>
  <c r="W310" i="2"/>
  <c r="X310" i="2" s="1"/>
  <c r="I310" i="2" l="1"/>
  <c r="K310" i="2"/>
  <c r="D311" i="2"/>
  <c r="E311" i="2" s="1"/>
  <c r="T311" i="2" s="1"/>
  <c r="V311" i="2" l="1"/>
  <c r="N310" i="2"/>
  <c r="M310" i="2" s="1"/>
  <c r="P310" i="2" s="1"/>
  <c r="AG310" i="2" l="1"/>
  <c r="O310" i="2"/>
  <c r="R310" i="2" l="1"/>
  <c r="Q310" i="2"/>
  <c r="S310" i="2" l="1"/>
  <c r="Z310" i="2" s="1"/>
  <c r="Y310" i="2" l="1"/>
  <c r="AA310" i="2" s="1"/>
  <c r="AB311" i="2" s="1"/>
  <c r="B312" i="2" l="1"/>
  <c r="G311" i="2"/>
  <c r="H311" i="2" s="1"/>
  <c r="F311" i="2"/>
  <c r="AC311" i="2"/>
  <c r="AE311" i="2"/>
  <c r="U311" i="2"/>
  <c r="J311" i="2" l="1"/>
  <c r="W311" i="2"/>
  <c r="X311" i="2" s="1"/>
  <c r="AF312" i="2"/>
  <c r="C312" i="2"/>
  <c r="AD311" i="2"/>
  <c r="L311" i="2" s="1"/>
  <c r="D312" i="2" l="1"/>
  <c r="E312" i="2" s="1"/>
  <c r="T312" i="2" s="1"/>
  <c r="K311" i="2"/>
  <c r="I311" i="2"/>
  <c r="N311" i="2" l="1"/>
  <c r="M311" i="2" s="1"/>
  <c r="P311" i="2" s="1"/>
  <c r="V312" i="2"/>
  <c r="AG311" i="2" l="1"/>
  <c r="O311" i="2"/>
  <c r="R311" i="2" s="1"/>
  <c r="Q311" i="2" l="1"/>
  <c r="S311" i="2" s="1"/>
  <c r="Y311" i="2" l="1"/>
  <c r="AA311" i="2" s="1"/>
  <c r="Z311" i="2"/>
  <c r="AB312" i="2" l="1"/>
  <c r="B313" i="2" l="1"/>
  <c r="G312" i="2"/>
  <c r="H312" i="2" s="1"/>
  <c r="F312" i="2"/>
  <c r="AC312" i="2"/>
  <c r="AE312" i="2"/>
  <c r="U312" i="2"/>
  <c r="AD312" i="2" l="1"/>
  <c r="L312" i="2" s="1"/>
  <c r="AF313" i="2"/>
  <c r="C313" i="2"/>
  <c r="J312" i="2"/>
  <c r="W312" i="2"/>
  <c r="X312" i="2" s="1"/>
  <c r="K312" i="2" l="1"/>
  <c r="D313" i="2"/>
  <c r="E313" i="2" s="1"/>
  <c r="T313" i="2" s="1"/>
  <c r="I312" i="2"/>
  <c r="N312" i="2" l="1"/>
  <c r="M312" i="2" s="1"/>
  <c r="P312" i="2" s="1"/>
  <c r="V313" i="2"/>
  <c r="AG312" i="2" l="1"/>
  <c r="O312" i="2"/>
  <c r="R312" i="2" l="1"/>
  <c r="Q312" i="2"/>
  <c r="S312" i="2" l="1"/>
  <c r="Z312" i="2" s="1"/>
  <c r="Y312" i="2" l="1"/>
  <c r="AA312" i="2" s="1"/>
  <c r="AB313" i="2" s="1"/>
  <c r="B314" i="2" l="1"/>
  <c r="G313" i="2"/>
  <c r="H313" i="2" s="1"/>
  <c r="F313" i="2"/>
  <c r="AE313" i="2"/>
  <c r="AC313" i="2"/>
  <c r="U313" i="2"/>
  <c r="J313" i="2" l="1"/>
  <c r="W313" i="2"/>
  <c r="X313" i="2" s="1"/>
  <c r="AF314" i="2"/>
  <c r="C314" i="2"/>
  <c r="AD313" i="2"/>
  <c r="L313" i="2" s="1"/>
  <c r="D314" i="2" l="1"/>
  <c r="E314" i="2" s="1"/>
  <c r="T314" i="2" s="1"/>
  <c r="K313" i="2"/>
  <c r="I313" i="2"/>
  <c r="N313" i="2" l="1"/>
  <c r="M313" i="2" s="1"/>
  <c r="P313" i="2" s="1"/>
  <c r="V314" i="2"/>
  <c r="AG313" i="2" l="1"/>
  <c r="O313" i="2"/>
  <c r="Q313" i="2" s="1"/>
  <c r="R313" i="2" l="1"/>
  <c r="S313" i="2" s="1"/>
  <c r="Y313" i="2" s="1"/>
  <c r="AA313" i="2" s="1"/>
  <c r="Z313" i="2" l="1"/>
  <c r="AB314" i="2"/>
  <c r="B315" i="2" l="1"/>
  <c r="G314" i="2"/>
  <c r="H314" i="2" s="1"/>
  <c r="F314" i="2"/>
  <c r="AE314" i="2"/>
  <c r="AC314" i="2"/>
  <c r="U314" i="2"/>
  <c r="J314" i="2" l="1"/>
  <c r="W314" i="2"/>
  <c r="X314" i="2" s="1"/>
  <c r="C315" i="2"/>
  <c r="AF315" i="2"/>
  <c r="AD314" i="2"/>
  <c r="L314" i="2" s="1"/>
  <c r="K314" i="2" l="1"/>
  <c r="D315" i="2"/>
  <c r="E315" i="2" s="1"/>
  <c r="T315" i="2" s="1"/>
  <c r="I314" i="2"/>
  <c r="N314" i="2" l="1"/>
  <c r="M314" i="2" s="1"/>
  <c r="P314" i="2" s="1"/>
  <c r="V315" i="2"/>
  <c r="AG314" i="2" l="1"/>
  <c r="O314" i="2"/>
  <c r="Q314" i="2" s="1"/>
  <c r="R314" i="2" l="1"/>
  <c r="S314" i="2" s="1"/>
  <c r="Y314" i="2" l="1"/>
  <c r="AA314" i="2" s="1"/>
  <c r="AB315" i="2" s="1"/>
  <c r="Z314" i="2"/>
  <c r="B316" i="2" l="1"/>
  <c r="G315" i="2"/>
  <c r="H315" i="2" s="1"/>
  <c r="F315" i="2"/>
  <c r="AE315" i="2"/>
  <c r="AC315" i="2"/>
  <c r="U315" i="2"/>
  <c r="C316" i="2" l="1"/>
  <c r="AF316" i="2"/>
  <c r="J315" i="2"/>
  <c r="W315" i="2"/>
  <c r="X315" i="2" s="1"/>
  <c r="AD315" i="2"/>
  <c r="L315" i="2" s="1"/>
  <c r="K315" i="2" l="1"/>
  <c r="D316" i="2"/>
  <c r="E316" i="2" s="1"/>
  <c r="T316" i="2" s="1"/>
  <c r="I315" i="2"/>
  <c r="N315" i="2" l="1"/>
  <c r="M315" i="2" s="1"/>
  <c r="P315" i="2" s="1"/>
  <c r="V316" i="2"/>
  <c r="AG315" i="2" l="1"/>
  <c r="O315" i="2"/>
  <c r="R315" i="2" s="1"/>
  <c r="Q315" i="2" l="1"/>
  <c r="S315" i="2" s="1"/>
  <c r="Z315" i="2" s="1"/>
  <c r="Y315" i="2" l="1"/>
  <c r="AA315" i="2" s="1"/>
  <c r="AB316" i="2" s="1"/>
  <c r="B317" i="2" l="1"/>
  <c r="G316" i="2"/>
  <c r="H316" i="2" s="1"/>
  <c r="F316" i="2"/>
  <c r="AC316" i="2"/>
  <c r="AE316" i="2"/>
  <c r="U316" i="2"/>
  <c r="AD316" i="2" l="1"/>
  <c r="L316" i="2" s="1"/>
  <c r="J316" i="2"/>
  <c r="W316" i="2"/>
  <c r="X316" i="2" s="1"/>
  <c r="AF317" i="2"/>
  <c r="C317" i="2"/>
  <c r="D317" i="2" l="1"/>
  <c r="E317" i="2" s="1"/>
  <c r="T317" i="2" s="1"/>
  <c r="K316" i="2"/>
  <c r="I316" i="2"/>
  <c r="N316" i="2" l="1"/>
  <c r="M316" i="2" s="1"/>
  <c r="P316" i="2" s="1"/>
  <c r="V317" i="2"/>
  <c r="AG316" i="2" l="1"/>
  <c r="O316" i="2"/>
  <c r="Q316" i="2" s="1"/>
  <c r="R316" i="2" l="1"/>
  <c r="S316" i="2" s="1"/>
  <c r="Y316" i="2" l="1"/>
  <c r="AA316" i="2" s="1"/>
  <c r="AB317" i="2" s="1"/>
  <c r="Z316" i="2"/>
  <c r="B318" i="2" l="1"/>
  <c r="G317" i="2"/>
  <c r="H317" i="2" s="1"/>
  <c r="F317" i="2"/>
  <c r="AE317" i="2"/>
  <c r="AC317" i="2"/>
  <c r="U317" i="2"/>
  <c r="J317" i="2" l="1"/>
  <c r="W317" i="2"/>
  <c r="X317" i="2" s="1"/>
  <c r="AF318" i="2"/>
  <c r="C318" i="2"/>
  <c r="AD317" i="2"/>
  <c r="L317" i="2" s="1"/>
  <c r="D318" i="2" l="1"/>
  <c r="E318" i="2" s="1"/>
  <c r="T318" i="2" s="1"/>
  <c r="K317" i="2"/>
  <c r="I317" i="2"/>
  <c r="N317" i="2" l="1"/>
  <c r="M317" i="2" s="1"/>
  <c r="P317" i="2" s="1"/>
  <c r="V318" i="2"/>
  <c r="AG317" i="2" l="1"/>
  <c r="O317" i="2"/>
  <c r="R317" i="2" s="1"/>
  <c r="Q317" i="2" l="1"/>
  <c r="S317" i="2" s="1"/>
  <c r="Z317" i="2" s="1"/>
  <c r="Y317" i="2" l="1"/>
  <c r="AA317" i="2" s="1"/>
  <c r="AB318" i="2" s="1"/>
  <c r="B319" i="2" l="1"/>
  <c r="G318" i="2"/>
  <c r="H318" i="2" s="1"/>
  <c r="F318" i="2"/>
  <c r="AE318" i="2"/>
  <c r="AC318" i="2"/>
  <c r="U318" i="2"/>
  <c r="AF319" i="2" l="1"/>
  <c r="C319" i="2"/>
  <c r="AD318" i="2"/>
  <c r="L318" i="2" s="1"/>
  <c r="J318" i="2"/>
  <c r="W318" i="2"/>
  <c r="X318" i="2" s="1"/>
  <c r="I318" i="2" l="1"/>
  <c r="K318" i="2"/>
  <c r="D319" i="2"/>
  <c r="E319" i="2" s="1"/>
  <c r="T319" i="2" s="1"/>
  <c r="V319" i="2" l="1"/>
  <c r="N318" i="2"/>
  <c r="M318" i="2" s="1"/>
  <c r="P318" i="2" s="1"/>
  <c r="AG318" i="2" l="1"/>
  <c r="O318" i="2"/>
  <c r="R318" i="2" l="1"/>
  <c r="Q318" i="2"/>
  <c r="S318" i="2" l="1"/>
  <c r="Y318" i="2" s="1"/>
  <c r="AA318" i="2" s="1"/>
  <c r="Z318" i="2" l="1"/>
  <c r="AB319" i="2"/>
  <c r="B320" i="2" l="1"/>
  <c r="G319" i="2"/>
  <c r="H319" i="2" s="1"/>
  <c r="F319" i="2"/>
  <c r="AC319" i="2"/>
  <c r="AE319" i="2"/>
  <c r="U319" i="2"/>
  <c r="J319" i="2" l="1"/>
  <c r="W319" i="2"/>
  <c r="X319" i="2" s="1"/>
  <c r="C320" i="2"/>
  <c r="AF320" i="2"/>
  <c r="AD319" i="2"/>
  <c r="L319" i="2" s="1"/>
  <c r="I319" i="2" l="1"/>
  <c r="D320" i="2"/>
  <c r="E320" i="2" s="1"/>
  <c r="T320" i="2" s="1"/>
  <c r="K319" i="2"/>
  <c r="V320" i="2" l="1"/>
  <c r="N319" i="2"/>
  <c r="M319" i="2" s="1"/>
  <c r="P319" i="2" s="1"/>
  <c r="AG319" i="2" l="1"/>
  <c r="O319" i="2"/>
  <c r="R319" i="2" l="1"/>
  <c r="Q319" i="2"/>
  <c r="S319" i="2" l="1"/>
  <c r="Z319" i="2" s="1"/>
  <c r="Y319" i="2" l="1"/>
  <c r="AA319" i="2" s="1"/>
  <c r="AB320" i="2" s="1"/>
  <c r="B321" i="2" l="1"/>
  <c r="G320" i="2"/>
  <c r="H320" i="2" s="1"/>
  <c r="F320" i="2"/>
  <c r="AC320" i="2"/>
  <c r="AE320" i="2"/>
  <c r="U320" i="2"/>
  <c r="AD320" i="2" l="1"/>
  <c r="L320" i="2" s="1"/>
  <c r="AF321" i="2"/>
  <c r="C321" i="2"/>
  <c r="J320" i="2"/>
  <c r="W320" i="2"/>
  <c r="X320" i="2" s="1"/>
  <c r="I320" i="2" l="1"/>
  <c r="D321" i="2"/>
  <c r="E321" i="2" s="1"/>
  <c r="T321" i="2" s="1"/>
  <c r="K320" i="2"/>
  <c r="N320" i="2" l="1"/>
  <c r="M320" i="2" s="1"/>
  <c r="P320" i="2" s="1"/>
  <c r="V321" i="2"/>
  <c r="AG320" i="2" l="1"/>
  <c r="O320" i="2"/>
  <c r="R320" i="2" s="1"/>
  <c r="Q320" i="2" l="1"/>
  <c r="S320" i="2" s="1"/>
  <c r="Z320" i="2" s="1"/>
  <c r="Y320" i="2" l="1"/>
  <c r="AA320" i="2" s="1"/>
  <c r="AB321" i="2" s="1"/>
  <c r="B322" i="2" l="1"/>
  <c r="G321" i="2"/>
  <c r="H321" i="2" s="1"/>
  <c r="F321" i="2"/>
  <c r="AC321" i="2"/>
  <c r="AE321" i="2"/>
  <c r="U321" i="2"/>
  <c r="AD321" i="2" l="1"/>
  <c r="L321" i="2" s="1"/>
  <c r="AF322" i="2"/>
  <c r="C322" i="2"/>
  <c r="J321" i="2"/>
  <c r="W321" i="2"/>
  <c r="X321" i="2" s="1"/>
  <c r="I321" i="2" l="1"/>
  <c r="K321" i="2"/>
  <c r="D322" i="2"/>
  <c r="E322" i="2" s="1"/>
  <c r="T322" i="2" s="1"/>
  <c r="V322" i="2" l="1"/>
  <c r="N321" i="2"/>
  <c r="M321" i="2" s="1"/>
  <c r="P321" i="2" s="1"/>
  <c r="AG321" i="2" l="1"/>
  <c r="O321" i="2"/>
  <c r="R321" i="2" l="1"/>
  <c r="Q321" i="2"/>
  <c r="S321" i="2" l="1"/>
  <c r="Y321" i="2" s="1"/>
  <c r="AA321" i="2" s="1"/>
  <c r="Z321" i="2" l="1"/>
  <c r="AB322" i="2"/>
  <c r="B323" i="2" l="1"/>
  <c r="G322" i="2"/>
  <c r="H322" i="2" s="1"/>
  <c r="F322" i="2"/>
  <c r="AC322" i="2"/>
  <c r="AE322" i="2"/>
  <c r="U322" i="2"/>
  <c r="AD322" i="2" l="1"/>
  <c r="L322" i="2" s="1"/>
  <c r="AF323" i="2"/>
  <c r="C323" i="2"/>
  <c r="J322" i="2"/>
  <c r="W322" i="2"/>
  <c r="X322" i="2" s="1"/>
  <c r="D323" i="2" l="1"/>
  <c r="E323" i="2" s="1"/>
  <c r="T323" i="2" s="1"/>
  <c r="K322" i="2"/>
  <c r="I322" i="2"/>
  <c r="V323" i="2" l="1"/>
  <c r="N322" i="2"/>
  <c r="M322" i="2" s="1"/>
  <c r="P322" i="2" s="1"/>
  <c r="AG322" i="2" l="1"/>
  <c r="O322" i="2"/>
  <c r="R322" i="2" l="1"/>
  <c r="Q322" i="2"/>
  <c r="S322" i="2" l="1"/>
  <c r="Y322" i="2" s="1"/>
  <c r="AA322" i="2" s="1"/>
  <c r="Z322" i="2" l="1"/>
  <c r="AB323" i="2"/>
  <c r="B324" i="2" l="1"/>
  <c r="G323" i="2"/>
  <c r="H323" i="2" s="1"/>
  <c r="F323" i="2"/>
  <c r="AC323" i="2"/>
  <c r="AE323" i="2"/>
  <c r="U323" i="2"/>
  <c r="J323" i="2" l="1"/>
  <c r="W323" i="2"/>
  <c r="X323" i="2" s="1"/>
  <c r="C324" i="2"/>
  <c r="AF324" i="2"/>
  <c r="AD323" i="2"/>
  <c r="L323" i="2" s="1"/>
  <c r="D324" i="2" l="1"/>
  <c r="E324" i="2" s="1"/>
  <c r="T324" i="2" s="1"/>
  <c r="K323" i="2"/>
  <c r="I323" i="2"/>
  <c r="N323" i="2" l="1"/>
  <c r="M323" i="2" s="1"/>
  <c r="P323" i="2" s="1"/>
  <c r="V324" i="2"/>
  <c r="AG323" i="2" l="1"/>
  <c r="O323" i="2"/>
  <c r="R323" i="2" s="1"/>
  <c r="Q323" i="2" l="1"/>
  <c r="S323" i="2" s="1"/>
  <c r="Z323" i="2" s="1"/>
  <c r="Y323" i="2" l="1"/>
  <c r="AA323" i="2" s="1"/>
  <c r="AB324" i="2" s="1"/>
  <c r="B325" i="2" l="1"/>
  <c r="G324" i="2"/>
  <c r="H324" i="2" s="1"/>
  <c r="F324" i="2"/>
  <c r="AC324" i="2"/>
  <c r="AE324" i="2"/>
  <c r="U324" i="2"/>
  <c r="AF325" i="2" l="1"/>
  <c r="C325" i="2"/>
  <c r="AD324" i="2"/>
  <c r="L324" i="2" s="1"/>
  <c r="J324" i="2"/>
  <c r="W324" i="2"/>
  <c r="X324" i="2" s="1"/>
  <c r="K324" i="2" l="1"/>
  <c r="I324" i="2"/>
  <c r="D325" i="2"/>
  <c r="E325" i="2" s="1"/>
  <c r="T325" i="2" s="1"/>
  <c r="N324" i="2" l="1"/>
  <c r="M324" i="2" s="1"/>
  <c r="P324" i="2" s="1"/>
  <c r="V325" i="2"/>
  <c r="AG324" i="2" l="1"/>
  <c r="O324" i="2"/>
  <c r="Q324" i="2" s="1"/>
  <c r="R324" i="2" l="1"/>
  <c r="S324" i="2" s="1"/>
  <c r="Y324" i="2" s="1"/>
  <c r="AA324" i="2" s="1"/>
  <c r="Z324" i="2" l="1"/>
  <c r="AB325" i="2"/>
  <c r="B326" i="2" l="1"/>
  <c r="G325" i="2"/>
  <c r="H325" i="2" s="1"/>
  <c r="F325" i="2"/>
  <c r="AC325" i="2"/>
  <c r="AE325" i="2"/>
  <c r="U325" i="2"/>
  <c r="J325" i="2" l="1"/>
  <c r="W325" i="2"/>
  <c r="X325" i="2" s="1"/>
  <c r="AF326" i="2"/>
  <c r="C326" i="2"/>
  <c r="AD325" i="2"/>
  <c r="L325" i="2" s="1"/>
  <c r="D326" i="2" l="1"/>
  <c r="E326" i="2" s="1"/>
  <c r="T326" i="2" s="1"/>
  <c r="K325" i="2"/>
  <c r="I325" i="2"/>
  <c r="N325" i="2" l="1"/>
  <c r="M325" i="2" s="1"/>
  <c r="P325" i="2" s="1"/>
  <c r="V326" i="2"/>
  <c r="AG325" i="2" l="1"/>
  <c r="O325" i="2"/>
  <c r="Q325" i="2" s="1"/>
  <c r="R325" i="2" l="1"/>
  <c r="S325" i="2" s="1"/>
  <c r="Z325" i="2" s="1"/>
  <c r="Y325" i="2" l="1"/>
  <c r="AA325" i="2" s="1"/>
  <c r="AB326" i="2" s="1"/>
  <c r="B327" i="2" l="1"/>
  <c r="G326" i="2"/>
  <c r="H326" i="2" s="1"/>
  <c r="F326" i="2"/>
  <c r="AC326" i="2"/>
  <c r="AE326" i="2"/>
  <c r="U326" i="2"/>
  <c r="J326" i="2" l="1"/>
  <c r="W326" i="2"/>
  <c r="X326" i="2" s="1"/>
  <c r="AF327" i="2"/>
  <c r="C327" i="2"/>
  <c r="AD326" i="2"/>
  <c r="L326" i="2" s="1"/>
  <c r="K326" i="2" l="1"/>
  <c r="D327" i="2"/>
  <c r="E327" i="2" s="1"/>
  <c r="T327" i="2" s="1"/>
  <c r="I326" i="2"/>
  <c r="N326" i="2" l="1"/>
  <c r="M326" i="2" s="1"/>
  <c r="P326" i="2" s="1"/>
  <c r="V327" i="2"/>
  <c r="AG326" i="2" l="1"/>
  <c r="O326" i="2"/>
  <c r="Q326" i="2" s="1"/>
  <c r="R326" i="2" l="1"/>
  <c r="S326" i="2" s="1"/>
  <c r="Z326" i="2" s="1"/>
  <c r="Y326" i="2" l="1"/>
  <c r="AA326" i="2" s="1"/>
  <c r="AB327" i="2" s="1"/>
  <c r="B328" i="2" l="1"/>
  <c r="G327" i="2"/>
  <c r="H327" i="2" s="1"/>
  <c r="F327" i="2"/>
  <c r="AC327" i="2"/>
  <c r="AE327" i="2"/>
  <c r="U327" i="2"/>
  <c r="AF328" i="2" l="1"/>
  <c r="C328" i="2"/>
  <c r="AD327" i="2"/>
  <c r="L327" i="2" s="1"/>
  <c r="J327" i="2"/>
  <c r="W327" i="2"/>
  <c r="X327" i="2" s="1"/>
  <c r="K327" i="2" l="1"/>
  <c r="I327" i="2"/>
  <c r="D328" i="2"/>
  <c r="E328" i="2" s="1"/>
  <c r="T328" i="2" s="1"/>
  <c r="N327" i="2" l="1"/>
  <c r="M327" i="2" s="1"/>
  <c r="P327" i="2" s="1"/>
  <c r="V328" i="2"/>
  <c r="AG327" i="2" l="1"/>
  <c r="O327" i="2"/>
  <c r="Q327" i="2" s="1"/>
  <c r="R327" i="2" l="1"/>
  <c r="S327" i="2" s="1"/>
  <c r="Z327" i="2" s="1"/>
  <c r="Y327" i="2" l="1"/>
  <c r="AA327" i="2" s="1"/>
  <c r="AB328" i="2" s="1"/>
  <c r="B329" i="2" l="1"/>
  <c r="G328" i="2"/>
  <c r="H328" i="2" s="1"/>
  <c r="F328" i="2"/>
  <c r="AE328" i="2"/>
  <c r="AC328" i="2"/>
  <c r="U328" i="2"/>
  <c r="C329" i="2" l="1"/>
  <c r="AF329" i="2"/>
  <c r="J328" i="2"/>
  <c r="W328" i="2"/>
  <c r="X328" i="2" s="1"/>
  <c r="AD328" i="2"/>
  <c r="L328" i="2" s="1"/>
  <c r="K328" i="2" l="1"/>
  <c r="D329" i="2"/>
  <c r="E329" i="2" s="1"/>
  <c r="T329" i="2" s="1"/>
  <c r="I328" i="2"/>
  <c r="N328" i="2" l="1"/>
  <c r="M328" i="2" s="1"/>
  <c r="P328" i="2" s="1"/>
  <c r="V329" i="2"/>
  <c r="AG328" i="2" l="1"/>
  <c r="O328" i="2"/>
  <c r="Q328" i="2" s="1"/>
  <c r="R328" i="2" l="1"/>
  <c r="S328" i="2" s="1"/>
  <c r="Y328" i="2" l="1"/>
  <c r="AA328" i="2" s="1"/>
  <c r="AB329" i="2" s="1"/>
  <c r="Z328" i="2"/>
  <c r="B330" i="2" l="1"/>
  <c r="G329" i="2"/>
  <c r="H329" i="2" s="1"/>
  <c r="F329" i="2"/>
  <c r="AC329" i="2"/>
  <c r="AE329" i="2"/>
  <c r="U329" i="2"/>
  <c r="AD329" i="2" l="1"/>
  <c r="L329" i="2" s="1"/>
  <c r="AF330" i="2"/>
  <c r="C330" i="2"/>
  <c r="J329" i="2"/>
  <c r="W329" i="2"/>
  <c r="X329" i="2" s="1"/>
  <c r="K329" i="2" l="1"/>
  <c r="I329" i="2"/>
  <c r="D330" i="2"/>
  <c r="E330" i="2" s="1"/>
  <c r="T330" i="2" s="1"/>
  <c r="V330" i="2" l="1"/>
  <c r="N329" i="2"/>
  <c r="M329" i="2" s="1"/>
  <c r="P329" i="2" s="1"/>
  <c r="AG329" i="2" l="1"/>
  <c r="O329" i="2"/>
  <c r="R329" i="2" l="1"/>
  <c r="Q329" i="2"/>
  <c r="S329" i="2" l="1"/>
  <c r="Z329" i="2" s="1"/>
  <c r="Y329" i="2" l="1"/>
  <c r="AA329" i="2" s="1"/>
  <c r="AB330" i="2" s="1"/>
  <c r="B331" i="2" l="1"/>
  <c r="G330" i="2"/>
  <c r="H330" i="2" s="1"/>
  <c r="F330" i="2"/>
  <c r="AC330" i="2"/>
  <c r="AE330" i="2"/>
  <c r="U330" i="2"/>
  <c r="AD330" i="2" l="1"/>
  <c r="L330" i="2" s="1"/>
  <c r="AF331" i="2"/>
  <c r="C331" i="2"/>
  <c r="J330" i="2"/>
  <c r="W330" i="2"/>
  <c r="X330" i="2" s="1"/>
  <c r="I330" i="2" l="1"/>
  <c r="K330" i="2"/>
  <c r="D331" i="2"/>
  <c r="E331" i="2" s="1"/>
  <c r="T331" i="2" s="1"/>
  <c r="N330" i="2" l="1"/>
  <c r="M330" i="2" s="1"/>
  <c r="P330" i="2" s="1"/>
  <c r="V331" i="2"/>
  <c r="AG330" i="2" l="1"/>
  <c r="O330" i="2"/>
  <c r="Q330" i="2" s="1"/>
  <c r="R330" i="2" l="1"/>
  <c r="S330" i="2" s="1"/>
  <c r="Z330" i="2" s="1"/>
  <c r="Y330" i="2" l="1"/>
  <c r="AA330" i="2" s="1"/>
  <c r="AB331" i="2" s="1"/>
  <c r="B332" i="2" l="1"/>
  <c r="G331" i="2"/>
  <c r="H331" i="2" s="1"/>
  <c r="F331" i="2"/>
  <c r="AC331" i="2"/>
  <c r="AE331" i="2"/>
  <c r="U331" i="2"/>
  <c r="AF332" i="2" l="1"/>
  <c r="C332" i="2"/>
  <c r="AD331" i="2"/>
  <c r="L331" i="2" s="1"/>
  <c r="J331" i="2"/>
  <c r="W331" i="2"/>
  <c r="X331" i="2" s="1"/>
  <c r="K331" i="2" l="1"/>
  <c r="D332" i="2"/>
  <c r="E332" i="2" s="1"/>
  <c r="T332" i="2" s="1"/>
  <c r="I331" i="2"/>
  <c r="N331" i="2" l="1"/>
  <c r="M331" i="2" s="1"/>
  <c r="P331" i="2" s="1"/>
  <c r="V332" i="2"/>
  <c r="AG331" i="2" l="1"/>
  <c r="O331" i="2"/>
  <c r="Q331" i="2" s="1"/>
  <c r="R331" i="2" l="1"/>
  <c r="S331" i="2" s="1"/>
  <c r="Y331" i="2" l="1"/>
  <c r="AA331" i="2" s="1"/>
  <c r="AB332" i="2" s="1"/>
  <c r="Z331" i="2"/>
  <c r="B333" i="2" l="1"/>
  <c r="G332" i="2"/>
  <c r="H332" i="2" s="1"/>
  <c r="F332" i="2"/>
  <c r="AE332" i="2"/>
  <c r="AC332" i="2"/>
  <c r="U332" i="2"/>
  <c r="AF333" i="2" l="1"/>
  <c r="C333" i="2"/>
  <c r="AD332" i="2"/>
  <c r="L332" i="2" s="1"/>
  <c r="J332" i="2"/>
  <c r="W332" i="2"/>
  <c r="X332" i="2" s="1"/>
  <c r="I332" i="2" l="1"/>
  <c r="K332" i="2"/>
  <c r="D333" i="2"/>
  <c r="E333" i="2" s="1"/>
  <c r="T333" i="2" s="1"/>
  <c r="V333" i="2" l="1"/>
  <c r="N332" i="2"/>
  <c r="M332" i="2" s="1"/>
  <c r="P332" i="2" s="1"/>
  <c r="AG332" i="2" l="1"/>
  <c r="O332" i="2"/>
  <c r="R332" i="2" l="1"/>
  <c r="Q332" i="2"/>
  <c r="S332" i="2" l="1"/>
  <c r="Y332" i="2" s="1"/>
  <c r="AA332" i="2" s="1"/>
  <c r="Z332" i="2" l="1"/>
  <c r="AB333" i="2"/>
  <c r="B334" i="2" l="1"/>
  <c r="G333" i="2"/>
  <c r="H333" i="2" s="1"/>
  <c r="F333" i="2"/>
  <c r="AC333" i="2"/>
  <c r="AE333" i="2"/>
  <c r="U333" i="2"/>
  <c r="C334" i="2" l="1"/>
  <c r="AF334" i="2"/>
  <c r="J333" i="2"/>
  <c r="W333" i="2"/>
  <c r="X333" i="2" s="1"/>
  <c r="AD333" i="2"/>
  <c r="L333" i="2" s="1"/>
  <c r="I333" i="2" l="1"/>
  <c r="K333" i="2"/>
  <c r="D334" i="2"/>
  <c r="E334" i="2" s="1"/>
  <c r="T334" i="2" s="1"/>
  <c r="V334" i="2" l="1"/>
  <c r="N333" i="2"/>
  <c r="M333" i="2" s="1"/>
  <c r="P333" i="2" s="1"/>
  <c r="AG333" i="2" l="1"/>
  <c r="O333" i="2"/>
  <c r="R333" i="2" l="1"/>
  <c r="Q333" i="2"/>
  <c r="S333" i="2" l="1"/>
  <c r="Y333" i="2" s="1"/>
  <c r="AA333" i="2" s="1"/>
  <c r="Z333" i="2" l="1"/>
  <c r="AB334" i="2"/>
  <c r="B335" i="2" l="1"/>
  <c r="G334" i="2"/>
  <c r="H334" i="2" s="1"/>
  <c r="F334" i="2"/>
  <c r="AC334" i="2"/>
  <c r="AE334" i="2"/>
  <c r="U334" i="2"/>
  <c r="J334" i="2" l="1"/>
  <c r="W334" i="2"/>
  <c r="X334" i="2" s="1"/>
  <c r="AF335" i="2"/>
  <c r="C335" i="2"/>
  <c r="AD334" i="2"/>
  <c r="L334" i="2" s="1"/>
  <c r="I334" i="2" l="1"/>
  <c r="D335" i="2"/>
  <c r="E335" i="2" s="1"/>
  <c r="T335" i="2" s="1"/>
  <c r="K334" i="2"/>
  <c r="V335" i="2" l="1"/>
  <c r="N334" i="2"/>
  <c r="M334" i="2" s="1"/>
  <c r="P334" i="2" s="1"/>
  <c r="AG334" i="2" l="1"/>
  <c r="O334" i="2"/>
  <c r="R334" i="2" l="1"/>
  <c r="Q334" i="2"/>
  <c r="S334" i="2" l="1"/>
  <c r="Y334" i="2" s="1"/>
  <c r="AA334" i="2" s="1"/>
  <c r="Z334" i="2" l="1"/>
  <c r="AB335" i="2"/>
  <c r="B336" i="2" l="1"/>
  <c r="G335" i="2"/>
  <c r="H335" i="2" s="1"/>
  <c r="F335" i="2"/>
  <c r="AC335" i="2"/>
  <c r="AE335" i="2"/>
  <c r="U335" i="2"/>
  <c r="AD335" i="2" l="1"/>
  <c r="L335" i="2" s="1"/>
  <c r="AF336" i="2"/>
  <c r="C336" i="2"/>
  <c r="J335" i="2"/>
  <c r="W335" i="2"/>
  <c r="X335" i="2" s="1"/>
  <c r="I335" i="2" l="1"/>
  <c r="K335" i="2"/>
  <c r="D336" i="2"/>
  <c r="E336" i="2" s="1"/>
  <c r="T336" i="2" s="1"/>
  <c r="V336" i="2" l="1"/>
  <c r="N335" i="2"/>
  <c r="M335" i="2" s="1"/>
  <c r="P335" i="2" s="1"/>
  <c r="AG335" i="2" l="1"/>
  <c r="O335" i="2"/>
  <c r="R335" i="2" l="1"/>
  <c r="Q335" i="2"/>
  <c r="S335" i="2" l="1"/>
  <c r="Y335" i="2" s="1"/>
  <c r="AA335" i="2" s="1"/>
  <c r="Z335" i="2" l="1"/>
  <c r="AB336" i="2"/>
  <c r="B337" i="2" l="1"/>
  <c r="G336" i="2"/>
  <c r="H336" i="2" s="1"/>
  <c r="F336" i="2"/>
  <c r="AC336" i="2"/>
  <c r="AE336" i="2"/>
  <c r="U336" i="2"/>
  <c r="C337" i="2" l="1"/>
  <c r="AF337" i="2"/>
  <c r="AD336" i="2"/>
  <c r="L336" i="2" s="1"/>
  <c r="J336" i="2"/>
  <c r="W336" i="2"/>
  <c r="X336" i="2" s="1"/>
  <c r="K336" i="2" l="1"/>
  <c r="I336" i="2"/>
  <c r="D337" i="2"/>
  <c r="E337" i="2" s="1"/>
  <c r="T337" i="2" s="1"/>
  <c r="N336" i="2" l="1"/>
  <c r="M336" i="2" s="1"/>
  <c r="P336" i="2" s="1"/>
  <c r="V337" i="2"/>
  <c r="AG336" i="2" l="1"/>
  <c r="O336" i="2"/>
  <c r="R336" i="2" s="1"/>
  <c r="Q336" i="2" l="1"/>
  <c r="S336" i="2" s="1"/>
  <c r="Z336" i="2" s="1"/>
  <c r="Y336" i="2" l="1"/>
  <c r="AA336" i="2" s="1"/>
  <c r="AB337" i="2" s="1"/>
  <c r="B338" i="2" l="1"/>
  <c r="G337" i="2"/>
  <c r="H337" i="2" s="1"/>
  <c r="F337" i="2"/>
  <c r="AC337" i="2"/>
  <c r="AE337" i="2"/>
  <c r="U337" i="2"/>
  <c r="AD337" i="2" l="1"/>
  <c r="L337" i="2" s="1"/>
  <c r="AF338" i="2"/>
  <c r="C338" i="2"/>
  <c r="J337" i="2"/>
  <c r="W337" i="2"/>
  <c r="X337" i="2" s="1"/>
  <c r="K337" i="2" l="1"/>
  <c r="D338" i="2"/>
  <c r="E338" i="2" s="1"/>
  <c r="T338" i="2" s="1"/>
  <c r="I337" i="2"/>
  <c r="N337" i="2" l="1"/>
  <c r="M337" i="2" s="1"/>
  <c r="P337" i="2" s="1"/>
  <c r="V338" i="2"/>
  <c r="AG337" i="2" l="1"/>
  <c r="O337" i="2"/>
  <c r="Q337" i="2" s="1"/>
  <c r="R337" i="2" l="1"/>
  <c r="S337" i="2" s="1"/>
  <c r="Z337" i="2" s="1"/>
  <c r="Y337" i="2" l="1"/>
  <c r="AA337" i="2" s="1"/>
  <c r="AB338" i="2" s="1"/>
  <c r="B339" i="2" l="1"/>
  <c r="G338" i="2"/>
  <c r="H338" i="2" s="1"/>
  <c r="F338" i="2"/>
  <c r="AE338" i="2"/>
  <c r="AC338" i="2"/>
  <c r="U338" i="2"/>
  <c r="J338" i="2" l="1"/>
  <c r="W338" i="2"/>
  <c r="X338" i="2" s="1"/>
  <c r="C339" i="2"/>
  <c r="AF339" i="2"/>
  <c r="AD338" i="2"/>
  <c r="L338" i="2" s="1"/>
  <c r="K338" i="2" l="1"/>
  <c r="D339" i="2"/>
  <c r="E339" i="2" s="1"/>
  <c r="T339" i="2" s="1"/>
  <c r="I338" i="2"/>
  <c r="N338" i="2" l="1"/>
  <c r="M338" i="2" s="1"/>
  <c r="P338" i="2" s="1"/>
  <c r="V339" i="2"/>
  <c r="AG338" i="2" l="1"/>
  <c r="O338" i="2"/>
  <c r="Q338" i="2" s="1"/>
  <c r="R338" i="2" l="1"/>
  <c r="S338" i="2" s="1"/>
  <c r="Y338" i="2" l="1"/>
  <c r="AA338" i="2" s="1"/>
  <c r="AB339" i="2" s="1"/>
  <c r="Z338" i="2"/>
  <c r="B340" i="2" l="1"/>
  <c r="G339" i="2"/>
  <c r="H339" i="2" s="1"/>
  <c r="F339" i="2"/>
  <c r="AE339" i="2"/>
  <c r="AC339" i="2"/>
  <c r="U339" i="2"/>
  <c r="J339" i="2" l="1"/>
  <c r="W339" i="2"/>
  <c r="X339" i="2" s="1"/>
  <c r="AF340" i="2"/>
  <c r="C340" i="2"/>
  <c r="AD339" i="2"/>
  <c r="L339" i="2" s="1"/>
  <c r="D340" i="2" l="1"/>
  <c r="E340" i="2" s="1"/>
  <c r="T340" i="2" s="1"/>
  <c r="K339" i="2"/>
  <c r="I339" i="2"/>
  <c r="N339" i="2" l="1"/>
  <c r="M339" i="2" s="1"/>
  <c r="P339" i="2" s="1"/>
  <c r="V340" i="2"/>
  <c r="AG339" i="2" l="1"/>
  <c r="O339" i="2"/>
  <c r="R339" i="2" s="1"/>
  <c r="Q339" i="2" l="1"/>
  <c r="S339" i="2" s="1"/>
  <c r="Y339" i="2" s="1"/>
  <c r="AA339" i="2" s="1"/>
  <c r="Z339" i="2" l="1"/>
  <c r="AB340" i="2"/>
  <c r="B341" i="2" l="1"/>
  <c r="G340" i="2"/>
  <c r="H340" i="2" s="1"/>
  <c r="F340" i="2"/>
  <c r="AE340" i="2"/>
  <c r="AC340" i="2"/>
  <c r="U340" i="2"/>
  <c r="AF341" i="2" l="1"/>
  <c r="C341" i="2"/>
  <c r="J340" i="2"/>
  <c r="W340" i="2"/>
  <c r="X340" i="2" s="1"/>
  <c r="AD340" i="2"/>
  <c r="L340" i="2" s="1"/>
  <c r="I340" i="2" l="1"/>
  <c r="D341" i="2"/>
  <c r="E341" i="2" s="1"/>
  <c r="T341" i="2" s="1"/>
  <c r="K340" i="2"/>
  <c r="V341" i="2" l="1"/>
  <c r="N340" i="2"/>
  <c r="M340" i="2" s="1"/>
  <c r="P340" i="2" s="1"/>
  <c r="AG340" i="2" l="1"/>
  <c r="O340" i="2"/>
  <c r="Q340" i="2" l="1"/>
  <c r="R340" i="2"/>
  <c r="S340" i="2" l="1"/>
  <c r="Y340" i="2" l="1"/>
  <c r="AA340" i="2" s="1"/>
  <c r="Z340" i="2"/>
  <c r="AB341" i="2" l="1"/>
  <c r="B342" i="2" l="1"/>
  <c r="G341" i="2"/>
  <c r="H341" i="2" s="1"/>
  <c r="F341" i="2"/>
  <c r="AE341" i="2"/>
  <c r="AC341" i="2"/>
  <c r="U341" i="2"/>
  <c r="J341" i="2" l="1"/>
  <c r="W341" i="2"/>
  <c r="X341" i="2" s="1"/>
  <c r="AF342" i="2"/>
  <c r="C342" i="2"/>
  <c r="AD341" i="2"/>
  <c r="L341" i="2" s="1"/>
  <c r="I341" i="2" l="1"/>
  <c r="D342" i="2"/>
  <c r="E342" i="2" s="1"/>
  <c r="T342" i="2" s="1"/>
  <c r="K341" i="2"/>
  <c r="N341" i="2" l="1"/>
  <c r="M341" i="2" s="1"/>
  <c r="P341" i="2" s="1"/>
  <c r="V342" i="2"/>
  <c r="AG341" i="2" l="1"/>
  <c r="O341" i="2"/>
  <c r="R341" i="2" s="1"/>
  <c r="Q341" i="2" l="1"/>
  <c r="S341" i="2" s="1"/>
  <c r="Z341" i="2" s="1"/>
  <c r="Y341" i="2" l="1"/>
  <c r="AA341" i="2" s="1"/>
  <c r="AB342" i="2" s="1"/>
  <c r="B343" i="2" l="1"/>
  <c r="G342" i="2"/>
  <c r="H342" i="2" s="1"/>
  <c r="F342" i="2"/>
  <c r="AE342" i="2"/>
  <c r="AC342" i="2"/>
  <c r="U342" i="2"/>
  <c r="J342" i="2" l="1"/>
  <c r="W342" i="2"/>
  <c r="X342" i="2" s="1"/>
  <c r="AD342" i="2"/>
  <c r="L342" i="2" s="1"/>
  <c r="AF343" i="2"/>
  <c r="C343" i="2"/>
  <c r="I342" i="2" l="1"/>
  <c r="D343" i="2"/>
  <c r="E343" i="2" s="1"/>
  <c r="T343" i="2" s="1"/>
  <c r="K342" i="2"/>
  <c r="V343" i="2" l="1"/>
  <c r="N342" i="2"/>
  <c r="M342" i="2" s="1"/>
  <c r="P342" i="2" s="1"/>
  <c r="AG342" i="2" l="1"/>
  <c r="O342" i="2"/>
  <c r="R342" i="2" l="1"/>
  <c r="Q342" i="2"/>
  <c r="S342" i="2" l="1"/>
  <c r="Z342" i="2" s="1"/>
  <c r="Y342" i="2" l="1"/>
  <c r="AA342" i="2" s="1"/>
  <c r="AB343" i="2" s="1"/>
  <c r="B344" i="2" l="1"/>
  <c r="G343" i="2"/>
  <c r="H343" i="2" s="1"/>
  <c r="F343" i="2"/>
  <c r="AE343" i="2"/>
  <c r="AC343" i="2"/>
  <c r="U343" i="2"/>
  <c r="AF344" i="2" l="1"/>
  <c r="C344" i="2"/>
  <c r="AD343" i="2"/>
  <c r="L343" i="2" s="1"/>
  <c r="J343" i="2"/>
  <c r="W343" i="2"/>
  <c r="X343" i="2" s="1"/>
  <c r="I343" i="2" l="1"/>
  <c r="K343" i="2"/>
  <c r="D344" i="2"/>
  <c r="E344" i="2" s="1"/>
  <c r="T344" i="2" s="1"/>
  <c r="V344" i="2" l="1"/>
  <c r="N343" i="2"/>
  <c r="M343" i="2" s="1"/>
  <c r="P343" i="2" s="1"/>
  <c r="AG343" i="2" l="1"/>
  <c r="O343" i="2"/>
  <c r="R343" i="2" l="1"/>
  <c r="Q343" i="2"/>
  <c r="S343" i="2" l="1"/>
  <c r="Z343" i="2" s="1"/>
  <c r="Y343" i="2" l="1"/>
  <c r="AA343" i="2" s="1"/>
  <c r="AB344" i="2" s="1"/>
  <c r="B345" i="2" l="1"/>
  <c r="G344" i="2"/>
  <c r="H344" i="2" s="1"/>
  <c r="F344" i="2"/>
  <c r="AE344" i="2"/>
  <c r="AC344" i="2"/>
  <c r="U344" i="2"/>
  <c r="AD344" i="2" l="1"/>
  <c r="L344" i="2" s="1"/>
  <c r="AF345" i="2"/>
  <c r="C345" i="2"/>
  <c r="J344" i="2"/>
  <c r="W344" i="2"/>
  <c r="X344" i="2" s="1"/>
  <c r="I344" i="2" l="1"/>
  <c r="K344" i="2"/>
  <c r="D345" i="2"/>
  <c r="E345" i="2" s="1"/>
  <c r="T345" i="2" s="1"/>
  <c r="V345" i="2" l="1"/>
  <c r="N344" i="2"/>
  <c r="M344" i="2" s="1"/>
  <c r="P344" i="2" s="1"/>
  <c r="AG344" i="2" l="1"/>
  <c r="O344" i="2"/>
  <c r="Q344" i="2" l="1"/>
  <c r="R344" i="2"/>
  <c r="S344" i="2" l="1"/>
  <c r="Y344" i="2" l="1"/>
  <c r="AA344" i="2" s="1"/>
  <c r="AB345" i="2" s="1"/>
  <c r="Z344" i="2"/>
  <c r="B346" i="2" l="1"/>
  <c r="G345" i="2"/>
  <c r="H345" i="2" s="1"/>
  <c r="F345" i="2"/>
  <c r="AC345" i="2"/>
  <c r="AE345" i="2"/>
  <c r="U345" i="2"/>
  <c r="AD345" i="2" l="1"/>
  <c r="L345" i="2" s="1"/>
  <c r="AF346" i="2"/>
  <c r="C346" i="2"/>
  <c r="J345" i="2"/>
  <c r="W345" i="2"/>
  <c r="X345" i="2" s="1"/>
  <c r="I345" i="2" l="1"/>
  <c r="K345" i="2"/>
  <c r="D346" i="2"/>
  <c r="E346" i="2" s="1"/>
  <c r="T346" i="2" s="1"/>
  <c r="V346" i="2" l="1"/>
  <c r="N345" i="2"/>
  <c r="M345" i="2" s="1"/>
  <c r="P345" i="2" s="1"/>
  <c r="AG345" i="2" l="1"/>
  <c r="O345" i="2"/>
  <c r="R345" i="2" l="1"/>
  <c r="Q345" i="2"/>
  <c r="S345" i="2" l="1"/>
  <c r="Z345" i="2" s="1"/>
  <c r="Y345" i="2" l="1"/>
  <c r="AA345" i="2" s="1"/>
  <c r="AB346" i="2" s="1"/>
  <c r="B347" i="2" l="1"/>
  <c r="G346" i="2"/>
  <c r="H346" i="2" s="1"/>
  <c r="F346" i="2"/>
  <c r="AC346" i="2"/>
  <c r="AE346" i="2"/>
  <c r="U346" i="2"/>
  <c r="J346" i="2" l="1"/>
  <c r="W346" i="2"/>
  <c r="X346" i="2" s="1"/>
  <c r="AF347" i="2"/>
  <c r="C347" i="2"/>
  <c r="AD346" i="2"/>
  <c r="L346" i="2" s="1"/>
  <c r="K346" i="2" l="1"/>
  <c r="D347" i="2"/>
  <c r="E347" i="2" s="1"/>
  <c r="T347" i="2" s="1"/>
  <c r="I346" i="2"/>
  <c r="N346" i="2" l="1"/>
  <c r="M346" i="2" s="1"/>
  <c r="P346" i="2" s="1"/>
  <c r="V347" i="2"/>
  <c r="AG346" i="2" l="1"/>
  <c r="O346" i="2"/>
  <c r="R346" i="2" s="1"/>
  <c r="Q346" i="2" l="1"/>
  <c r="S346" i="2" s="1"/>
  <c r="Y346" i="2" l="1"/>
  <c r="AA346" i="2" s="1"/>
  <c r="Z346" i="2"/>
  <c r="AB347" i="2" l="1"/>
  <c r="B348" i="2" l="1"/>
  <c r="G347" i="2"/>
  <c r="H347" i="2" s="1"/>
  <c r="F347" i="2"/>
  <c r="AC347" i="2"/>
  <c r="AE347" i="2"/>
  <c r="U347" i="2"/>
  <c r="AD347" i="2" l="1"/>
  <c r="L347" i="2" s="1"/>
  <c r="AF348" i="2"/>
  <c r="C348" i="2"/>
  <c r="J347" i="2"/>
  <c r="W347" i="2"/>
  <c r="X347" i="2" s="1"/>
  <c r="I347" i="2" l="1"/>
  <c r="K347" i="2"/>
  <c r="D348" i="2"/>
  <c r="E348" i="2" s="1"/>
  <c r="T348" i="2" s="1"/>
  <c r="N347" i="2" l="1"/>
  <c r="M347" i="2" s="1"/>
  <c r="P347" i="2" s="1"/>
  <c r="V348" i="2"/>
  <c r="AG347" i="2" l="1"/>
  <c r="O347" i="2"/>
  <c r="R347" i="2" s="1"/>
  <c r="Q347" i="2" l="1"/>
  <c r="S347" i="2" s="1"/>
  <c r="Y347" i="2" l="1"/>
  <c r="AA347" i="2" s="1"/>
  <c r="Z347" i="2"/>
  <c r="AB348" i="2" l="1"/>
  <c r="B349" i="2" l="1"/>
  <c r="G348" i="2"/>
  <c r="H348" i="2" s="1"/>
  <c r="F348" i="2"/>
  <c r="AC348" i="2"/>
  <c r="AE348" i="2"/>
  <c r="U348" i="2"/>
  <c r="AF349" i="2" l="1"/>
  <c r="C349" i="2"/>
  <c r="J348" i="2"/>
  <c r="W348" i="2"/>
  <c r="X348" i="2" s="1"/>
  <c r="AD348" i="2"/>
  <c r="L348" i="2" s="1"/>
  <c r="I348" i="2" l="1"/>
  <c r="D349" i="2"/>
  <c r="E349" i="2" s="1"/>
  <c r="T349" i="2" s="1"/>
  <c r="K348" i="2"/>
  <c r="V349" i="2" l="1"/>
  <c r="N348" i="2"/>
  <c r="M348" i="2" s="1"/>
  <c r="P348" i="2" s="1"/>
  <c r="AG348" i="2" l="1"/>
  <c r="O348" i="2"/>
  <c r="R348" i="2" l="1"/>
  <c r="Q348" i="2"/>
  <c r="S348" i="2" l="1"/>
  <c r="Y348" i="2" s="1"/>
  <c r="AA348" i="2" s="1"/>
  <c r="Z348" i="2" l="1"/>
  <c r="AB349" i="2"/>
  <c r="B350" i="2" l="1"/>
  <c r="G349" i="2"/>
  <c r="H349" i="2" s="1"/>
  <c r="F349" i="2"/>
  <c r="AC349" i="2"/>
  <c r="AE349" i="2"/>
  <c r="U349" i="2"/>
  <c r="J349" i="2" l="1"/>
  <c r="W349" i="2"/>
  <c r="X349" i="2" s="1"/>
  <c r="AF350" i="2"/>
  <c r="C350" i="2"/>
  <c r="AD349" i="2"/>
  <c r="L349" i="2" s="1"/>
  <c r="D350" i="2" l="1"/>
  <c r="E350" i="2" s="1"/>
  <c r="T350" i="2" s="1"/>
  <c r="K349" i="2"/>
  <c r="I349" i="2"/>
  <c r="N349" i="2" l="1"/>
  <c r="M349" i="2" s="1"/>
  <c r="P349" i="2" s="1"/>
  <c r="V350" i="2"/>
  <c r="AG349" i="2" l="1"/>
  <c r="O349" i="2"/>
  <c r="Q349" i="2" s="1"/>
  <c r="R349" i="2" l="1"/>
  <c r="S349" i="2" s="1"/>
  <c r="Y349" i="2" l="1"/>
  <c r="AA349" i="2" s="1"/>
  <c r="AB350" i="2" s="1"/>
  <c r="Z349" i="2"/>
  <c r="B351" i="2" l="1"/>
  <c r="G350" i="2"/>
  <c r="H350" i="2" s="1"/>
  <c r="F350" i="2"/>
  <c r="AC350" i="2"/>
  <c r="AE350" i="2"/>
  <c r="U350" i="2"/>
  <c r="AD350" i="2" l="1"/>
  <c r="L350" i="2" s="1"/>
  <c r="AF351" i="2"/>
  <c r="C351" i="2"/>
  <c r="J350" i="2"/>
  <c r="W350" i="2"/>
  <c r="X350" i="2" s="1"/>
  <c r="I350" i="2" l="1"/>
  <c r="K350" i="2"/>
  <c r="D351" i="2"/>
  <c r="E351" i="2" s="1"/>
  <c r="T351" i="2" s="1"/>
  <c r="V351" i="2" l="1"/>
  <c r="N350" i="2"/>
  <c r="M350" i="2" s="1"/>
  <c r="P350" i="2" s="1"/>
  <c r="AG350" i="2" l="1"/>
  <c r="O350" i="2"/>
  <c r="R350" i="2" l="1"/>
  <c r="Q350" i="2"/>
  <c r="S350" i="2" l="1"/>
  <c r="Y350" i="2" s="1"/>
  <c r="AA350" i="2" s="1"/>
  <c r="Z350" i="2" l="1"/>
  <c r="AB351" i="2"/>
  <c r="B352" i="2" l="1"/>
  <c r="G351" i="2"/>
  <c r="H351" i="2" s="1"/>
  <c r="F351" i="2"/>
  <c r="AC351" i="2"/>
  <c r="AE351" i="2"/>
  <c r="U351" i="2"/>
  <c r="AF352" i="2" l="1"/>
  <c r="C352" i="2"/>
  <c r="J351" i="2"/>
  <c r="W351" i="2"/>
  <c r="X351" i="2" s="1"/>
  <c r="AD351" i="2"/>
  <c r="L351" i="2" s="1"/>
  <c r="I351" i="2" l="1"/>
  <c r="D352" i="2"/>
  <c r="E352" i="2" s="1"/>
  <c r="T352" i="2" s="1"/>
  <c r="K351" i="2"/>
  <c r="V352" i="2" l="1"/>
  <c r="N351" i="2"/>
  <c r="M351" i="2" s="1"/>
  <c r="P351" i="2" s="1"/>
  <c r="AG351" i="2" l="1"/>
  <c r="O351" i="2"/>
  <c r="R351" i="2" l="1"/>
  <c r="Q351" i="2"/>
  <c r="S351" i="2" l="1"/>
  <c r="Y351" i="2" s="1"/>
  <c r="AA351" i="2" s="1"/>
  <c r="Z351" i="2" l="1"/>
  <c r="AB352" i="2"/>
  <c r="B353" i="2" l="1"/>
  <c r="G352" i="2"/>
  <c r="H352" i="2" s="1"/>
  <c r="F352" i="2"/>
  <c r="AC352" i="2"/>
  <c r="AE352" i="2"/>
  <c r="U352" i="2"/>
  <c r="AD352" i="2" l="1"/>
  <c r="L352" i="2" s="1"/>
  <c r="AF353" i="2"/>
  <c r="C353" i="2"/>
  <c r="J352" i="2"/>
  <c r="W352" i="2"/>
  <c r="X352" i="2" s="1"/>
  <c r="K352" i="2" l="1"/>
  <c r="I352" i="2"/>
  <c r="D353" i="2"/>
  <c r="E353" i="2" s="1"/>
  <c r="T353" i="2" s="1"/>
  <c r="N352" i="2" l="1"/>
  <c r="M352" i="2" s="1"/>
  <c r="P352" i="2" s="1"/>
  <c r="V353" i="2"/>
  <c r="AG352" i="2" l="1"/>
  <c r="O352" i="2"/>
  <c r="Q352" i="2" s="1"/>
  <c r="R352" i="2" l="1"/>
  <c r="S352" i="2" s="1"/>
  <c r="Y352" i="2" l="1"/>
  <c r="AA352" i="2" s="1"/>
  <c r="AB353" i="2" s="1"/>
  <c r="Z352" i="2"/>
  <c r="B354" i="2" l="1"/>
  <c r="G353" i="2"/>
  <c r="H353" i="2" s="1"/>
  <c r="F353" i="2"/>
  <c r="AE353" i="2"/>
  <c r="AC353" i="2"/>
  <c r="U353" i="2"/>
  <c r="J353" i="2" l="1"/>
  <c r="W353" i="2"/>
  <c r="X353" i="2" s="1"/>
  <c r="AD353" i="2"/>
  <c r="L353" i="2" s="1"/>
  <c r="AF354" i="2"/>
  <c r="C354" i="2"/>
  <c r="K353" i="2" l="1"/>
  <c r="D354" i="2"/>
  <c r="E354" i="2" s="1"/>
  <c r="T354" i="2" s="1"/>
  <c r="I353" i="2"/>
  <c r="N353" i="2" l="1"/>
  <c r="M353" i="2" s="1"/>
  <c r="P353" i="2" s="1"/>
  <c r="V354" i="2"/>
  <c r="AG353" i="2" l="1"/>
  <c r="O353" i="2"/>
  <c r="R353" i="2" s="1"/>
  <c r="Q353" i="2" l="1"/>
  <c r="S353" i="2" s="1"/>
  <c r="Y353" i="2" l="1"/>
  <c r="AA353" i="2" s="1"/>
  <c r="Z353" i="2"/>
  <c r="AB354" i="2" l="1"/>
  <c r="B355" i="2" l="1"/>
  <c r="G354" i="2"/>
  <c r="H354" i="2" s="1"/>
  <c r="F354" i="2"/>
  <c r="AE354" i="2"/>
  <c r="AC354" i="2"/>
  <c r="U354" i="2"/>
  <c r="AD354" i="2" l="1"/>
  <c r="L354" i="2" s="1"/>
  <c r="AF355" i="2"/>
  <c r="C355" i="2"/>
  <c r="J354" i="2"/>
  <c r="W354" i="2"/>
  <c r="X354" i="2" s="1"/>
  <c r="K354" i="2" l="1"/>
  <c r="I354" i="2"/>
  <c r="D355" i="2"/>
  <c r="E355" i="2" s="1"/>
  <c r="T355" i="2" s="1"/>
  <c r="N354" i="2" l="1"/>
  <c r="M354" i="2" s="1"/>
  <c r="P354" i="2" s="1"/>
  <c r="V355" i="2"/>
  <c r="AG354" i="2" l="1"/>
  <c r="O354" i="2"/>
  <c r="R354" i="2" s="1"/>
  <c r="Q354" i="2" l="1"/>
  <c r="S354" i="2" s="1"/>
  <c r="Y354" i="2" s="1"/>
  <c r="AA354" i="2" s="1"/>
  <c r="Z354" i="2" l="1"/>
  <c r="AB355" i="2"/>
  <c r="B356" i="2" l="1"/>
  <c r="G355" i="2"/>
  <c r="H355" i="2" s="1"/>
  <c r="F355" i="2"/>
  <c r="AE355" i="2"/>
  <c r="AC355" i="2"/>
  <c r="U355" i="2"/>
  <c r="AF356" i="2" l="1"/>
  <c r="C356" i="2"/>
  <c r="J355" i="2"/>
  <c r="W355" i="2"/>
  <c r="X355" i="2" s="1"/>
  <c r="AD355" i="2"/>
  <c r="L355" i="2" s="1"/>
  <c r="I355" i="2" l="1"/>
  <c r="D356" i="2"/>
  <c r="E356" i="2" s="1"/>
  <c r="T356" i="2" s="1"/>
  <c r="K355" i="2"/>
  <c r="V356" i="2" l="1"/>
  <c r="N355" i="2"/>
  <c r="M355" i="2" s="1"/>
  <c r="P355" i="2" s="1"/>
  <c r="AG355" i="2" l="1"/>
  <c r="O355" i="2"/>
  <c r="R355" i="2" l="1"/>
  <c r="Q355" i="2"/>
  <c r="S355" i="2" l="1"/>
  <c r="Y355" i="2" s="1"/>
  <c r="AA355" i="2" s="1"/>
  <c r="Z355" i="2" l="1"/>
  <c r="AB356" i="2"/>
  <c r="B357" i="2" l="1"/>
  <c r="G356" i="2"/>
  <c r="H356" i="2" s="1"/>
  <c r="F356" i="2"/>
  <c r="AE356" i="2"/>
  <c r="AC356" i="2"/>
  <c r="U356" i="2"/>
  <c r="AF357" i="2" l="1"/>
  <c r="C357" i="2"/>
  <c r="J356" i="2"/>
  <c r="W356" i="2"/>
  <c r="X356" i="2" s="1"/>
  <c r="AD356" i="2"/>
  <c r="L356" i="2" s="1"/>
  <c r="K356" i="2" l="1"/>
  <c r="D357" i="2"/>
  <c r="E357" i="2" s="1"/>
  <c r="T357" i="2" s="1"/>
  <c r="I356" i="2"/>
  <c r="N356" i="2" l="1"/>
  <c r="M356" i="2" s="1"/>
  <c r="P356" i="2" s="1"/>
  <c r="V357" i="2"/>
  <c r="AG356" i="2" l="1"/>
  <c r="O356" i="2"/>
  <c r="Q356" i="2" s="1"/>
  <c r="R356" i="2" l="1"/>
  <c r="S356" i="2" s="1"/>
  <c r="Y356" i="2" l="1"/>
  <c r="AA356" i="2" s="1"/>
  <c r="AB357" i="2" s="1"/>
  <c r="Z356" i="2"/>
  <c r="B358" i="2" l="1"/>
  <c r="G357" i="2"/>
  <c r="H357" i="2" s="1"/>
  <c r="F357" i="2"/>
  <c r="AE357" i="2"/>
  <c r="AC357" i="2"/>
  <c r="U357" i="2"/>
  <c r="AF358" i="2" l="1"/>
  <c r="C358" i="2"/>
  <c r="J357" i="2"/>
  <c r="W357" i="2"/>
  <c r="X357" i="2" s="1"/>
  <c r="AD357" i="2"/>
  <c r="L357" i="2" s="1"/>
  <c r="D358" i="2" l="1"/>
  <c r="E358" i="2" s="1"/>
  <c r="T358" i="2" s="1"/>
  <c r="K357" i="2"/>
  <c r="I357" i="2"/>
  <c r="N357" i="2" l="1"/>
  <c r="M357" i="2" s="1"/>
  <c r="P357" i="2" s="1"/>
  <c r="V358" i="2"/>
  <c r="AG357" i="2" l="1"/>
  <c r="O357" i="2"/>
  <c r="Q357" i="2" s="1"/>
  <c r="R357" i="2" l="1"/>
  <c r="S357" i="2" s="1"/>
  <c r="Z357" i="2" s="1"/>
  <c r="Y357" i="2" l="1"/>
  <c r="AA357" i="2" s="1"/>
  <c r="AB358" i="2" s="1"/>
  <c r="B359" i="2" l="1"/>
  <c r="G358" i="2"/>
  <c r="H358" i="2" s="1"/>
  <c r="F358" i="2"/>
  <c r="AC358" i="2"/>
  <c r="AE358" i="2"/>
  <c r="U358" i="2"/>
  <c r="J358" i="2" l="1"/>
  <c r="W358" i="2"/>
  <c r="X358" i="2" s="1"/>
  <c r="C359" i="2"/>
  <c r="AF359" i="2"/>
  <c r="AD358" i="2"/>
  <c r="L358" i="2" s="1"/>
  <c r="D359" i="2" l="1"/>
  <c r="E359" i="2" s="1"/>
  <c r="T359" i="2" s="1"/>
  <c r="K358" i="2"/>
  <c r="I358" i="2"/>
  <c r="N358" i="2" l="1"/>
  <c r="M358" i="2" s="1"/>
  <c r="P358" i="2" s="1"/>
  <c r="V359" i="2"/>
  <c r="AG358" i="2" l="1"/>
  <c r="O358" i="2"/>
  <c r="R358" i="2" s="1"/>
  <c r="Q358" i="2" l="1"/>
  <c r="S358" i="2" s="1"/>
  <c r="Y358" i="2" s="1"/>
  <c r="AA358" i="2" s="1"/>
  <c r="Z358" i="2" l="1"/>
  <c r="AB359" i="2"/>
  <c r="B360" i="2" l="1"/>
  <c r="G359" i="2"/>
  <c r="H359" i="2" s="1"/>
  <c r="F359" i="2"/>
  <c r="AC359" i="2"/>
  <c r="AE359" i="2"/>
  <c r="U359" i="2"/>
  <c r="AD359" i="2" l="1"/>
  <c r="L359" i="2" s="1"/>
  <c r="J359" i="2"/>
  <c r="W359" i="2"/>
  <c r="X359" i="2" s="1"/>
  <c r="AF360" i="2"/>
  <c r="C360" i="2"/>
  <c r="D360" i="2" l="1"/>
  <c r="E360" i="2" s="1"/>
  <c r="T360" i="2" s="1"/>
  <c r="K359" i="2"/>
  <c r="I359" i="2"/>
  <c r="V360" i="2" l="1"/>
  <c r="N359" i="2"/>
  <c r="M359" i="2" s="1"/>
  <c r="P359" i="2" s="1"/>
  <c r="AG359" i="2" l="1"/>
  <c r="O359" i="2"/>
  <c r="R359" i="2" l="1"/>
  <c r="Q359" i="2"/>
  <c r="S359" i="2" l="1"/>
  <c r="Y359" i="2" s="1"/>
  <c r="AA359" i="2" s="1"/>
  <c r="Z359" i="2" l="1"/>
  <c r="AB360" i="2"/>
  <c r="B361" i="2" l="1"/>
  <c r="G360" i="2"/>
  <c r="H360" i="2" s="1"/>
  <c r="F360" i="2"/>
  <c r="AE360" i="2"/>
  <c r="AC360" i="2"/>
  <c r="U360" i="2"/>
  <c r="AF361" i="2" l="1"/>
  <c r="C361" i="2"/>
  <c r="AD360" i="2"/>
  <c r="L360" i="2" s="1"/>
  <c r="J360" i="2"/>
  <c r="W360" i="2"/>
  <c r="X360" i="2" s="1"/>
  <c r="I360" i="2" l="1"/>
  <c r="K360" i="2"/>
  <c r="D361" i="2"/>
  <c r="E361" i="2" s="1"/>
  <c r="T361" i="2" s="1"/>
  <c r="V361" i="2" l="1"/>
  <c r="N360" i="2"/>
  <c r="M360" i="2" s="1"/>
  <c r="P360" i="2" s="1"/>
  <c r="AG360" i="2" l="1"/>
  <c r="O360" i="2"/>
  <c r="R360" i="2" l="1"/>
  <c r="Q360" i="2"/>
  <c r="S360" i="2" l="1"/>
  <c r="Y360" i="2" s="1"/>
  <c r="AA360" i="2" s="1"/>
  <c r="Z360" i="2" l="1"/>
  <c r="AB361" i="2"/>
  <c r="B362" i="2" l="1"/>
  <c r="G361" i="2"/>
  <c r="H361" i="2" s="1"/>
  <c r="F361" i="2"/>
  <c r="AE361" i="2"/>
  <c r="AC361" i="2"/>
  <c r="U361" i="2"/>
  <c r="AF362" i="2" l="1"/>
  <c r="C362" i="2"/>
  <c r="J361" i="2"/>
  <c r="W361" i="2"/>
  <c r="X361" i="2" s="1"/>
  <c r="AD361" i="2"/>
  <c r="L361" i="2" s="1"/>
  <c r="I361" i="2" l="1"/>
  <c r="D362" i="2"/>
  <c r="E362" i="2" s="1"/>
  <c r="T362" i="2" s="1"/>
  <c r="K361" i="2"/>
  <c r="V362" i="2" l="1"/>
  <c r="N361" i="2"/>
  <c r="M361" i="2" s="1"/>
  <c r="P361" i="2" s="1"/>
  <c r="AG361" i="2" l="1"/>
  <c r="O361" i="2"/>
  <c r="R361" i="2" l="1"/>
  <c r="Q361" i="2"/>
  <c r="S361" i="2" l="1"/>
  <c r="Z361" i="2" s="1"/>
  <c r="Y361" i="2" l="1"/>
  <c r="AA361" i="2" s="1"/>
  <c r="AB362" i="2" s="1"/>
  <c r="B363" i="2" l="1"/>
  <c r="G362" i="2"/>
  <c r="H362" i="2" s="1"/>
  <c r="F362" i="2"/>
  <c r="AE362" i="2"/>
  <c r="AC362" i="2"/>
  <c r="U362" i="2"/>
  <c r="C363" i="2" l="1"/>
  <c r="AF363" i="2"/>
  <c r="J362" i="2"/>
  <c r="W362" i="2"/>
  <c r="X362" i="2" s="1"/>
  <c r="AD362" i="2"/>
  <c r="L362" i="2" s="1"/>
  <c r="D363" i="2" l="1"/>
  <c r="E363" i="2" s="1"/>
  <c r="T363" i="2" s="1"/>
  <c r="K362" i="2"/>
  <c r="I362" i="2"/>
  <c r="N362" i="2" l="1"/>
  <c r="M362" i="2" s="1"/>
  <c r="P362" i="2" s="1"/>
  <c r="V363" i="2"/>
  <c r="AG362" i="2" l="1"/>
  <c r="O362" i="2"/>
  <c r="Q362" i="2" s="1"/>
  <c r="R362" i="2" l="1"/>
  <c r="S362" i="2" s="1"/>
  <c r="Y362" i="2" l="1"/>
  <c r="AA362" i="2" s="1"/>
  <c r="AB363" i="2" s="1"/>
  <c r="Z362" i="2"/>
  <c r="B364" i="2" l="1"/>
  <c r="G363" i="2"/>
  <c r="H363" i="2" s="1"/>
  <c r="F363" i="2"/>
  <c r="AC363" i="2"/>
  <c r="AE363" i="2"/>
  <c r="U363" i="2"/>
  <c r="AF364" i="2" l="1"/>
  <c r="C364" i="2"/>
  <c r="J363" i="2"/>
  <c r="W363" i="2"/>
  <c r="X363" i="2" s="1"/>
  <c r="AD363" i="2"/>
  <c r="L363" i="2" s="1"/>
  <c r="I363" i="2" l="1"/>
  <c r="D364" i="2"/>
  <c r="E364" i="2" s="1"/>
  <c r="T364" i="2" s="1"/>
  <c r="K363" i="2"/>
  <c r="V364" i="2" l="1"/>
  <c r="N363" i="2"/>
  <c r="M363" i="2" s="1"/>
  <c r="P363" i="2" s="1"/>
  <c r="AG363" i="2" l="1"/>
  <c r="O363" i="2"/>
  <c r="R363" i="2" l="1"/>
  <c r="Q363" i="2"/>
  <c r="S363" i="2" l="1"/>
  <c r="Z363" i="2" s="1"/>
  <c r="Y363" i="2" l="1"/>
  <c r="AA363" i="2" s="1"/>
  <c r="AB364" i="2" s="1"/>
  <c r="B365" i="2" l="1"/>
  <c r="G364" i="2"/>
  <c r="H364" i="2" s="1"/>
  <c r="F364" i="2"/>
  <c r="AC364" i="2"/>
  <c r="AE364" i="2"/>
  <c r="U364" i="2"/>
  <c r="AD364" i="2" l="1"/>
  <c r="L364" i="2" s="1"/>
  <c r="AF365" i="2"/>
  <c r="C365" i="2"/>
  <c r="J364" i="2"/>
  <c r="W364" i="2"/>
  <c r="X364" i="2" s="1"/>
  <c r="K364" i="2" l="1"/>
  <c r="I364" i="2"/>
  <c r="D365" i="2"/>
  <c r="E365" i="2" s="1"/>
  <c r="T365" i="2" s="1"/>
  <c r="N364" i="2" l="1"/>
  <c r="M364" i="2" s="1"/>
  <c r="P364" i="2" s="1"/>
  <c r="V365" i="2"/>
  <c r="AG364" i="2" l="1"/>
  <c r="O364" i="2"/>
  <c r="R364" i="2" s="1"/>
  <c r="Q364" i="2" l="1"/>
  <c r="S364" i="2" s="1"/>
  <c r="Z364" i="2" s="1"/>
  <c r="Y364" i="2" l="1"/>
  <c r="AA364" i="2" s="1"/>
  <c r="AB365" i="2" s="1"/>
  <c r="B366" i="2" l="1"/>
  <c r="G365" i="2"/>
  <c r="H365" i="2" s="1"/>
  <c r="F365" i="2"/>
  <c r="AE365" i="2"/>
  <c r="AC365" i="2"/>
  <c r="U365" i="2"/>
  <c r="C366" i="2" l="1"/>
  <c r="AF366" i="2"/>
  <c r="J365" i="2"/>
  <c r="W365" i="2"/>
  <c r="X365" i="2" s="1"/>
  <c r="AD365" i="2"/>
  <c r="L365" i="2" s="1"/>
  <c r="D366" i="2" l="1"/>
  <c r="E366" i="2" s="1"/>
  <c r="T366" i="2" s="1"/>
  <c r="K365" i="2"/>
  <c r="I365" i="2"/>
  <c r="N365" i="2" l="1"/>
  <c r="M365" i="2" s="1"/>
  <c r="P365" i="2" s="1"/>
  <c r="V366" i="2"/>
  <c r="AG365" i="2" l="1"/>
  <c r="O365" i="2"/>
  <c r="Q365" i="2" s="1"/>
  <c r="R365" i="2" l="1"/>
  <c r="S365" i="2" s="1"/>
  <c r="Y365" i="2" l="1"/>
  <c r="AA365" i="2" s="1"/>
  <c r="AB366" i="2" s="1"/>
  <c r="Z365" i="2"/>
  <c r="B367" i="2" l="1"/>
  <c r="G366" i="2"/>
  <c r="H366" i="2" s="1"/>
  <c r="F366" i="2"/>
  <c r="AC366" i="2"/>
  <c r="AE366" i="2"/>
  <c r="U366" i="2"/>
  <c r="J366" i="2" l="1"/>
  <c r="W366" i="2"/>
  <c r="X366" i="2" s="1"/>
  <c r="C367" i="2"/>
  <c r="AF367" i="2"/>
  <c r="AD366" i="2"/>
  <c r="L366" i="2" s="1"/>
  <c r="D367" i="2" l="1"/>
  <c r="E367" i="2" s="1"/>
  <c r="T367" i="2" s="1"/>
  <c r="K366" i="2"/>
  <c r="I366" i="2"/>
  <c r="N366" i="2" l="1"/>
  <c r="M366" i="2" s="1"/>
  <c r="P366" i="2" s="1"/>
  <c r="V367" i="2"/>
  <c r="AG366" i="2" l="1"/>
  <c r="O366" i="2"/>
  <c r="Q366" i="2" s="1"/>
  <c r="R366" i="2" l="1"/>
  <c r="S366" i="2" s="1"/>
  <c r="Y366" i="2" s="1"/>
  <c r="AA366" i="2" s="1"/>
  <c r="Z366" i="2" l="1"/>
  <c r="AB367" i="2"/>
  <c r="B368" i="2" l="1"/>
  <c r="G367" i="2"/>
  <c r="H367" i="2" s="1"/>
  <c r="F367" i="2"/>
  <c r="AC367" i="2"/>
  <c r="AE367" i="2"/>
  <c r="U367" i="2"/>
  <c r="AD367" i="2" l="1"/>
  <c r="L367" i="2" s="1"/>
  <c r="AF368" i="2"/>
  <c r="C368" i="2"/>
  <c r="J367" i="2"/>
  <c r="W367" i="2"/>
  <c r="X367" i="2" s="1"/>
  <c r="I367" i="2" l="1"/>
  <c r="K367" i="2"/>
  <c r="D368" i="2"/>
  <c r="E368" i="2" s="1"/>
  <c r="T368" i="2" s="1"/>
  <c r="V368" i="2" l="1"/>
  <c r="N367" i="2"/>
  <c r="M367" i="2" s="1"/>
  <c r="P367" i="2" s="1"/>
  <c r="AG367" i="2" l="1"/>
  <c r="O367" i="2"/>
  <c r="R367" i="2" l="1"/>
  <c r="Q367" i="2"/>
  <c r="S367" i="2" l="1"/>
  <c r="Z367" i="2" s="1"/>
  <c r="Y367" i="2" l="1"/>
  <c r="AA367" i="2" s="1"/>
  <c r="AB368" i="2" s="1"/>
  <c r="B369" i="2" l="1"/>
  <c r="G368" i="2"/>
  <c r="H368" i="2" s="1"/>
  <c r="F368" i="2"/>
  <c r="AC368" i="2"/>
  <c r="AE368" i="2"/>
  <c r="U368" i="2"/>
  <c r="AD368" i="2" l="1"/>
  <c r="L368" i="2" s="1"/>
  <c r="AF369" i="2"/>
  <c r="C369" i="2"/>
  <c r="J368" i="2"/>
  <c r="W368" i="2"/>
  <c r="X368" i="2" s="1"/>
  <c r="K368" i="2" l="1"/>
  <c r="I368" i="2"/>
  <c r="D369" i="2"/>
  <c r="E369" i="2" s="1"/>
  <c r="T369" i="2" s="1"/>
  <c r="N368" i="2" l="1"/>
  <c r="M368" i="2" s="1"/>
  <c r="P368" i="2" s="1"/>
  <c r="V369" i="2"/>
  <c r="AG368" i="2" l="1"/>
  <c r="O368" i="2"/>
  <c r="Q368" i="2" s="1"/>
  <c r="R368" i="2" l="1"/>
  <c r="S368" i="2" s="1"/>
  <c r="Y368" i="2" l="1"/>
  <c r="AA368" i="2" s="1"/>
  <c r="AB369" i="2" s="1"/>
  <c r="Z368" i="2"/>
  <c r="B370" i="2" l="1"/>
  <c r="G369" i="2"/>
  <c r="H369" i="2" s="1"/>
  <c r="F369" i="2"/>
  <c r="AE369" i="2"/>
  <c r="AC369" i="2"/>
  <c r="U369" i="2"/>
  <c r="J369" i="2" l="1"/>
  <c r="W369" i="2"/>
  <c r="X369" i="2" s="1"/>
  <c r="AF370" i="2"/>
  <c r="C370" i="2"/>
  <c r="AD369" i="2"/>
  <c r="L369" i="2" s="1"/>
  <c r="K369" i="2" l="1"/>
  <c r="D370" i="2"/>
  <c r="E370" i="2" s="1"/>
  <c r="T370" i="2" s="1"/>
  <c r="I369" i="2"/>
  <c r="N369" i="2" l="1"/>
  <c r="M369" i="2" s="1"/>
  <c r="P369" i="2" s="1"/>
  <c r="V370" i="2"/>
  <c r="AG369" i="2" l="1"/>
  <c r="O369" i="2"/>
  <c r="Q369" i="2" s="1"/>
  <c r="R369" i="2" l="1"/>
  <c r="S369" i="2" s="1"/>
  <c r="Y369" i="2" s="1"/>
  <c r="AA369" i="2" s="1"/>
  <c r="Z369" i="2" l="1"/>
  <c r="AB370" i="2"/>
  <c r="B371" i="2" l="1"/>
  <c r="G370" i="2"/>
  <c r="H370" i="2" s="1"/>
  <c r="F370" i="2"/>
  <c r="AE370" i="2"/>
  <c r="AC370" i="2"/>
  <c r="U370" i="2"/>
  <c r="C371" i="2" l="1"/>
  <c r="AF371" i="2"/>
  <c r="J370" i="2"/>
  <c r="W370" i="2"/>
  <c r="X370" i="2" s="1"/>
  <c r="AD370" i="2"/>
  <c r="L370" i="2" s="1"/>
  <c r="I370" i="2" l="1"/>
  <c r="K370" i="2"/>
  <c r="D371" i="2"/>
  <c r="E371" i="2" s="1"/>
  <c r="T371" i="2" s="1"/>
  <c r="V371" i="2" l="1"/>
  <c r="N370" i="2"/>
  <c r="M370" i="2" s="1"/>
  <c r="P370" i="2" s="1"/>
  <c r="AG370" i="2" l="1"/>
  <c r="O370" i="2"/>
  <c r="R370" i="2" l="1"/>
  <c r="Q370" i="2"/>
  <c r="S370" i="2" l="1"/>
  <c r="Y370" i="2" s="1"/>
  <c r="AA370" i="2" s="1"/>
  <c r="Z370" i="2" l="1"/>
  <c r="AB371" i="2"/>
  <c r="B372" i="2" l="1"/>
  <c r="G371" i="2"/>
  <c r="H371" i="2" s="1"/>
  <c r="F371" i="2"/>
  <c r="AE371" i="2"/>
  <c r="AC371" i="2"/>
  <c r="U371" i="2"/>
  <c r="AF372" i="2" l="1"/>
  <c r="C372" i="2"/>
  <c r="J371" i="2"/>
  <c r="W371" i="2"/>
  <c r="X371" i="2" s="1"/>
  <c r="AD371" i="2"/>
  <c r="L371" i="2" s="1"/>
  <c r="D372" i="2" l="1"/>
  <c r="E372" i="2" s="1"/>
  <c r="T372" i="2" s="1"/>
  <c r="K371" i="2"/>
  <c r="I371" i="2"/>
  <c r="N371" i="2" l="1"/>
  <c r="M371" i="2" s="1"/>
  <c r="P371" i="2" s="1"/>
  <c r="V372" i="2"/>
  <c r="AG371" i="2" l="1"/>
  <c r="O371" i="2"/>
  <c r="Q371" i="2" s="1"/>
  <c r="R371" i="2" l="1"/>
  <c r="S371" i="2" s="1"/>
  <c r="Y371" i="2" s="1"/>
  <c r="AA371" i="2" s="1"/>
  <c r="Z371" i="2" l="1"/>
  <c r="AB372" i="2"/>
  <c r="B373" i="2" l="1"/>
  <c r="G372" i="2"/>
  <c r="H372" i="2" s="1"/>
  <c r="F372" i="2"/>
  <c r="AC372" i="2"/>
  <c r="AE372" i="2"/>
  <c r="U372" i="2"/>
  <c r="AD372" i="2" l="1"/>
  <c r="L372" i="2" s="1"/>
  <c r="C373" i="2"/>
  <c r="AF373" i="2"/>
  <c r="J372" i="2"/>
  <c r="W372" i="2"/>
  <c r="X372" i="2" s="1"/>
  <c r="I372" i="2" l="1"/>
  <c r="K372" i="2"/>
  <c r="D373" i="2"/>
  <c r="E373" i="2" s="1"/>
  <c r="T373" i="2" s="1"/>
  <c r="N372" i="2" l="1"/>
  <c r="M372" i="2" s="1"/>
  <c r="P372" i="2" s="1"/>
  <c r="V373" i="2"/>
  <c r="AG372" i="2" l="1"/>
  <c r="O372" i="2"/>
  <c r="R372" i="2" s="1"/>
  <c r="Q372" i="2" l="1"/>
  <c r="S372" i="2" s="1"/>
  <c r="Z372" i="2" s="1"/>
  <c r="Y372" i="2" l="1"/>
  <c r="AA372" i="2" s="1"/>
  <c r="AB373" i="2" s="1"/>
  <c r="B374" i="2" l="1"/>
  <c r="G373" i="2"/>
  <c r="H373" i="2" s="1"/>
  <c r="F373" i="2"/>
  <c r="AE373" i="2"/>
  <c r="AC373" i="2"/>
  <c r="U373" i="2"/>
  <c r="J373" i="2" l="1"/>
  <c r="W373" i="2"/>
  <c r="X373" i="2" s="1"/>
  <c r="AD373" i="2"/>
  <c r="L373" i="2" s="1"/>
  <c r="AF374" i="2"/>
  <c r="C374" i="2"/>
  <c r="K373" i="2" l="1"/>
  <c r="D374" i="2"/>
  <c r="E374" i="2" s="1"/>
  <c r="T374" i="2" s="1"/>
  <c r="I373" i="2"/>
  <c r="N373" i="2" l="1"/>
  <c r="M373" i="2" s="1"/>
  <c r="P373" i="2" s="1"/>
  <c r="V374" i="2"/>
  <c r="AG373" i="2" l="1"/>
  <c r="O373" i="2"/>
  <c r="R373" i="2" s="1"/>
  <c r="Q373" i="2" l="1"/>
  <c r="S373" i="2" s="1"/>
  <c r="Y373" i="2" s="1"/>
  <c r="AA373" i="2" s="1"/>
  <c r="Z373" i="2" l="1"/>
  <c r="AB374" i="2"/>
  <c r="B375" i="2" l="1"/>
  <c r="G374" i="2"/>
  <c r="H374" i="2" s="1"/>
  <c r="F374" i="2"/>
  <c r="AE374" i="2"/>
  <c r="AC374" i="2"/>
  <c r="U374" i="2"/>
  <c r="J374" i="2" l="1"/>
  <c r="W374" i="2"/>
  <c r="X374" i="2" s="1"/>
  <c r="C375" i="2"/>
  <c r="AF375" i="2"/>
  <c r="AD374" i="2"/>
  <c r="L374" i="2" s="1"/>
  <c r="K374" i="2" l="1"/>
  <c r="D375" i="2"/>
  <c r="E375" i="2" s="1"/>
  <c r="T375" i="2" s="1"/>
  <c r="I374" i="2"/>
  <c r="N374" i="2" l="1"/>
  <c r="M374" i="2" s="1"/>
  <c r="P374" i="2" s="1"/>
  <c r="V375" i="2"/>
  <c r="AG374" i="2" l="1"/>
  <c r="O374" i="2"/>
  <c r="Q374" i="2" s="1"/>
  <c r="R374" i="2" l="1"/>
  <c r="S374" i="2" s="1"/>
  <c r="Y374" i="2" l="1"/>
  <c r="AA374" i="2" s="1"/>
  <c r="AB375" i="2" s="1"/>
  <c r="Z374" i="2"/>
  <c r="B376" i="2" l="1"/>
  <c r="G375" i="2"/>
  <c r="H375" i="2" s="1"/>
  <c r="F375" i="2"/>
  <c r="AE375" i="2"/>
  <c r="AC375" i="2"/>
  <c r="U375" i="2"/>
  <c r="J375" i="2" l="1"/>
  <c r="W375" i="2"/>
  <c r="X375" i="2" s="1"/>
  <c r="AF376" i="2"/>
  <c r="C376" i="2"/>
  <c r="AD375" i="2"/>
  <c r="L375" i="2" s="1"/>
  <c r="D376" i="2" l="1"/>
  <c r="E376" i="2" s="1"/>
  <c r="T376" i="2" s="1"/>
  <c r="K375" i="2"/>
  <c r="I375" i="2"/>
  <c r="N375" i="2" l="1"/>
  <c r="M375" i="2" s="1"/>
  <c r="P375" i="2" s="1"/>
  <c r="V376" i="2"/>
  <c r="AG375" i="2" l="1"/>
  <c r="O375" i="2"/>
  <c r="Q375" i="2" s="1"/>
  <c r="R375" i="2" l="1"/>
  <c r="S375" i="2" s="1"/>
  <c r="Y375" i="2" l="1"/>
  <c r="AA375" i="2" s="1"/>
  <c r="AB376" i="2" s="1"/>
  <c r="Z375" i="2"/>
  <c r="B377" i="2" l="1"/>
  <c r="G376" i="2"/>
  <c r="H376" i="2" s="1"/>
  <c r="F376" i="2"/>
  <c r="AE376" i="2"/>
  <c r="AC376" i="2"/>
  <c r="U376" i="2"/>
  <c r="AF377" i="2" l="1"/>
  <c r="C377" i="2"/>
  <c r="AD376" i="2"/>
  <c r="L376" i="2" s="1"/>
  <c r="J376" i="2"/>
  <c r="W376" i="2"/>
  <c r="X376" i="2" s="1"/>
  <c r="I376" i="2" l="1"/>
  <c r="K376" i="2"/>
  <c r="D377" i="2"/>
  <c r="E377" i="2" s="1"/>
  <c r="T377" i="2" s="1"/>
  <c r="N376" i="2" l="1"/>
  <c r="M376" i="2" s="1"/>
  <c r="P376" i="2" s="1"/>
  <c r="V377" i="2"/>
  <c r="AG376" i="2" l="1"/>
  <c r="O376" i="2"/>
  <c r="Q376" i="2" s="1"/>
  <c r="R376" i="2" l="1"/>
  <c r="S376" i="2" s="1"/>
  <c r="Y376" i="2" s="1"/>
  <c r="AA376" i="2" s="1"/>
  <c r="Z376" i="2" l="1"/>
  <c r="AB377" i="2"/>
  <c r="B378" i="2" l="1"/>
  <c r="G377" i="2"/>
  <c r="H377" i="2" s="1"/>
  <c r="F377" i="2"/>
  <c r="AC377" i="2"/>
  <c r="AE377" i="2"/>
  <c r="U377" i="2"/>
  <c r="AF378" i="2" l="1"/>
  <c r="C378" i="2"/>
  <c r="J377" i="2"/>
  <c r="W377" i="2"/>
  <c r="X377" i="2" s="1"/>
  <c r="AD377" i="2"/>
  <c r="L377" i="2" s="1"/>
  <c r="I377" i="2" l="1"/>
  <c r="D378" i="2"/>
  <c r="E378" i="2" s="1"/>
  <c r="T378" i="2" s="1"/>
  <c r="K377" i="2"/>
  <c r="V378" i="2" l="1"/>
  <c r="N377" i="2"/>
  <c r="M377" i="2" s="1"/>
  <c r="P377" i="2" s="1"/>
  <c r="AG377" i="2" l="1"/>
  <c r="O377" i="2"/>
  <c r="R377" i="2" l="1"/>
  <c r="Q377" i="2"/>
  <c r="S377" i="2" l="1"/>
  <c r="Z377" i="2" s="1"/>
  <c r="Y377" i="2" l="1"/>
  <c r="AA377" i="2" s="1"/>
  <c r="AB378" i="2" s="1"/>
  <c r="B379" i="2" l="1"/>
  <c r="G378" i="2"/>
  <c r="H378" i="2" s="1"/>
  <c r="F378" i="2"/>
  <c r="AC378" i="2"/>
  <c r="AE378" i="2"/>
  <c r="U378" i="2"/>
  <c r="AD378" i="2" l="1"/>
  <c r="L378" i="2" s="1"/>
  <c r="AF379" i="2"/>
  <c r="C379" i="2"/>
  <c r="J378" i="2"/>
  <c r="W378" i="2"/>
  <c r="X378" i="2" s="1"/>
  <c r="I378" i="2" l="1"/>
  <c r="K378" i="2"/>
  <c r="D379" i="2"/>
  <c r="E379" i="2" s="1"/>
  <c r="T379" i="2" s="1"/>
  <c r="N378" i="2" l="1"/>
  <c r="M378" i="2" s="1"/>
  <c r="P378" i="2" s="1"/>
  <c r="V379" i="2"/>
  <c r="AG378" i="2" l="1"/>
  <c r="O378" i="2"/>
  <c r="R378" i="2" s="1"/>
  <c r="Q378" i="2" l="1"/>
  <c r="S378" i="2" s="1"/>
  <c r="Z378" i="2" s="1"/>
  <c r="Y378" i="2" l="1"/>
  <c r="AA378" i="2" s="1"/>
  <c r="AB379" i="2" s="1"/>
  <c r="B380" i="2" l="1"/>
  <c r="G379" i="2"/>
  <c r="H379" i="2" s="1"/>
  <c r="F379" i="2"/>
  <c r="AC379" i="2"/>
  <c r="AE379" i="2"/>
  <c r="U379" i="2"/>
  <c r="AD379" i="2" l="1"/>
  <c r="L379" i="2" s="1"/>
  <c r="J379" i="2"/>
  <c r="W379" i="2"/>
  <c r="X379" i="2" s="1"/>
  <c r="C380" i="2"/>
  <c r="AF380" i="2"/>
  <c r="K379" i="2" l="1"/>
  <c r="D380" i="2"/>
  <c r="E380" i="2" s="1"/>
  <c r="T380" i="2" s="1"/>
  <c r="I379" i="2"/>
  <c r="V380" i="2" l="1"/>
  <c r="N379" i="2"/>
  <c r="M379" i="2" s="1"/>
  <c r="P379" i="2" s="1"/>
  <c r="AG379" i="2" l="1"/>
  <c r="O379" i="2"/>
  <c r="R379" i="2" l="1"/>
  <c r="Q379" i="2"/>
  <c r="S379" i="2" l="1"/>
  <c r="Y379" i="2" s="1"/>
  <c r="AA379" i="2" s="1"/>
  <c r="Z379" i="2" l="1"/>
  <c r="AB380" i="2"/>
  <c r="B381" i="2" l="1"/>
  <c r="G380" i="2"/>
  <c r="H380" i="2" s="1"/>
  <c r="F380" i="2"/>
  <c r="AE380" i="2"/>
  <c r="AC380" i="2"/>
  <c r="U380" i="2"/>
  <c r="J380" i="2" l="1"/>
  <c r="W380" i="2"/>
  <c r="X380" i="2" s="1"/>
  <c r="AD380" i="2"/>
  <c r="L380" i="2" s="1"/>
  <c r="AF381" i="2"/>
  <c r="C381" i="2"/>
  <c r="K380" i="2" l="1"/>
  <c r="D381" i="2"/>
  <c r="E381" i="2" s="1"/>
  <c r="T381" i="2" s="1"/>
  <c r="I380" i="2"/>
  <c r="N380" i="2" l="1"/>
  <c r="M380" i="2" s="1"/>
  <c r="P380" i="2" s="1"/>
  <c r="V381" i="2"/>
  <c r="AG380" i="2" l="1"/>
  <c r="O380" i="2"/>
  <c r="R380" i="2" s="1"/>
  <c r="Q380" i="2" l="1"/>
  <c r="S380" i="2" s="1"/>
  <c r="Y380" i="2" s="1"/>
  <c r="AA380" i="2" s="1"/>
  <c r="Z380" i="2" l="1"/>
  <c r="AB381" i="2"/>
  <c r="B382" i="2" l="1"/>
  <c r="G381" i="2"/>
  <c r="H381" i="2" s="1"/>
  <c r="F381" i="2"/>
  <c r="AE381" i="2"/>
  <c r="AC381" i="2"/>
  <c r="U381" i="2"/>
  <c r="J381" i="2" l="1"/>
  <c r="W381" i="2"/>
  <c r="X381" i="2" s="1"/>
  <c r="AF382" i="2"/>
  <c r="C382" i="2"/>
  <c r="AD381" i="2"/>
  <c r="L381" i="2" s="1"/>
  <c r="I381" i="2" l="1"/>
  <c r="D382" i="2"/>
  <c r="E382" i="2" s="1"/>
  <c r="T382" i="2" s="1"/>
  <c r="K381" i="2"/>
  <c r="V382" i="2" l="1"/>
  <c r="N381" i="2"/>
  <c r="M381" i="2" s="1"/>
  <c r="P381" i="2" s="1"/>
  <c r="AG381" i="2" l="1"/>
  <c r="O381" i="2"/>
  <c r="R381" i="2" l="1"/>
  <c r="Q381" i="2"/>
  <c r="S381" i="2" l="1"/>
  <c r="Z381" i="2" s="1"/>
  <c r="Y381" i="2" l="1"/>
  <c r="AA381" i="2" s="1"/>
  <c r="AB382" i="2" s="1"/>
  <c r="B383" i="2" l="1"/>
  <c r="G382" i="2"/>
  <c r="H382" i="2" s="1"/>
  <c r="F382" i="2"/>
  <c r="AE382" i="2"/>
  <c r="AC382" i="2"/>
  <c r="U382" i="2"/>
  <c r="J382" i="2" l="1"/>
  <c r="W382" i="2"/>
  <c r="X382" i="2" s="1"/>
  <c r="AF383" i="2"/>
  <c r="C383" i="2"/>
  <c r="AD382" i="2"/>
  <c r="L382" i="2" s="1"/>
  <c r="K382" i="2" l="1"/>
  <c r="D383" i="2"/>
  <c r="E383" i="2" s="1"/>
  <c r="T383" i="2" s="1"/>
  <c r="I382" i="2"/>
  <c r="N382" i="2" l="1"/>
  <c r="M382" i="2" s="1"/>
  <c r="P382" i="2" s="1"/>
  <c r="V383" i="2"/>
  <c r="AG382" i="2" l="1"/>
  <c r="O382" i="2"/>
  <c r="Q382" i="2" s="1"/>
  <c r="R382" i="2" l="1"/>
  <c r="S382" i="2" s="1"/>
  <c r="Y382" i="2" s="1"/>
  <c r="AA382" i="2" s="1"/>
  <c r="Z382" i="2" l="1"/>
  <c r="AB383" i="2"/>
  <c r="B384" i="2" l="1"/>
  <c r="G383" i="2"/>
  <c r="H383" i="2" s="1"/>
  <c r="F383" i="2"/>
  <c r="AC383" i="2"/>
  <c r="AE383" i="2"/>
  <c r="U383" i="2"/>
  <c r="J383" i="2" l="1"/>
  <c r="W383" i="2"/>
  <c r="X383" i="2" s="1"/>
  <c r="AF384" i="2"/>
  <c r="C384" i="2"/>
  <c r="AD383" i="2"/>
  <c r="L383" i="2" s="1"/>
  <c r="K383" i="2" l="1"/>
  <c r="D384" i="2"/>
  <c r="E384" i="2" s="1"/>
  <c r="T384" i="2" s="1"/>
  <c r="I383" i="2"/>
  <c r="N383" i="2" l="1"/>
  <c r="M383" i="2" s="1"/>
  <c r="P383" i="2" s="1"/>
  <c r="V384" i="2"/>
  <c r="AG383" i="2" l="1"/>
  <c r="O383" i="2"/>
  <c r="R383" i="2" s="1"/>
  <c r="Q383" i="2" l="1"/>
  <c r="S383" i="2" s="1"/>
  <c r="Y383" i="2" s="1"/>
  <c r="AA383" i="2" s="1"/>
  <c r="Z383" i="2" l="1"/>
  <c r="AB384" i="2"/>
  <c r="B385" i="2" l="1"/>
  <c r="G384" i="2"/>
  <c r="H384" i="2" s="1"/>
  <c r="F384" i="2"/>
  <c r="AC384" i="2"/>
  <c r="AE384" i="2"/>
  <c r="U384" i="2"/>
  <c r="AD384" i="2" l="1"/>
  <c r="L384" i="2" s="1"/>
  <c r="J384" i="2"/>
  <c r="W384" i="2"/>
  <c r="X384" i="2" s="1"/>
  <c r="AF385" i="2"/>
  <c r="C385" i="2"/>
  <c r="I384" i="2" l="1"/>
  <c r="D385" i="2"/>
  <c r="E385" i="2" s="1"/>
  <c r="T385" i="2" s="1"/>
  <c r="K384" i="2"/>
  <c r="V385" i="2" l="1"/>
  <c r="N384" i="2"/>
  <c r="M384" i="2" s="1"/>
  <c r="P384" i="2" s="1"/>
  <c r="AG384" i="2" l="1"/>
  <c r="O384" i="2"/>
  <c r="R384" i="2" l="1"/>
  <c r="Q384" i="2"/>
  <c r="S384" i="2" l="1"/>
  <c r="Y384" i="2" s="1"/>
  <c r="AA384" i="2" s="1"/>
  <c r="Z384" i="2" l="1"/>
  <c r="AB385" i="2"/>
  <c r="B386" i="2" l="1"/>
  <c r="G385" i="2"/>
  <c r="H385" i="2" s="1"/>
  <c r="F385" i="2"/>
  <c r="AE385" i="2"/>
  <c r="AC385" i="2"/>
  <c r="U385" i="2"/>
  <c r="AF386" i="2" l="1"/>
  <c r="C386" i="2"/>
  <c r="J385" i="2"/>
  <c r="W385" i="2"/>
  <c r="X385" i="2" s="1"/>
  <c r="AD385" i="2"/>
  <c r="L385" i="2" s="1"/>
  <c r="I385" i="2" l="1"/>
  <c r="D386" i="2"/>
  <c r="E386" i="2" s="1"/>
  <c r="T386" i="2" s="1"/>
  <c r="K385" i="2"/>
  <c r="V386" i="2" l="1"/>
  <c r="N385" i="2"/>
  <c r="M385" i="2" s="1"/>
  <c r="P385" i="2" s="1"/>
  <c r="AG385" i="2" l="1"/>
  <c r="O385" i="2"/>
  <c r="Q385" i="2" l="1"/>
  <c r="R385" i="2"/>
  <c r="S385" i="2" l="1"/>
  <c r="Y385" i="2" l="1"/>
  <c r="AA385" i="2" s="1"/>
  <c r="Z385" i="2"/>
  <c r="AB386" i="2" l="1"/>
  <c r="B387" i="2" l="1"/>
  <c r="G386" i="2"/>
  <c r="H386" i="2" s="1"/>
  <c r="F386" i="2"/>
  <c r="AE386" i="2"/>
  <c r="AC386" i="2"/>
  <c r="U386" i="2"/>
  <c r="J386" i="2" l="1"/>
  <c r="W386" i="2"/>
  <c r="X386" i="2" s="1"/>
  <c r="AD386" i="2"/>
  <c r="L386" i="2" s="1"/>
  <c r="C387" i="2"/>
  <c r="AF387" i="2"/>
  <c r="I386" i="2" l="1"/>
  <c r="D387" i="2"/>
  <c r="E387" i="2" s="1"/>
  <c r="T387" i="2" s="1"/>
  <c r="K386" i="2"/>
  <c r="N386" i="2" l="1"/>
  <c r="M386" i="2" s="1"/>
  <c r="P386" i="2" s="1"/>
  <c r="V387" i="2"/>
  <c r="AG386" i="2" l="1"/>
  <c r="O386" i="2"/>
  <c r="Q386" i="2" s="1"/>
  <c r="R386" i="2" l="1"/>
  <c r="S386" i="2" s="1"/>
  <c r="Y386" i="2" s="1"/>
  <c r="AA386" i="2" s="1"/>
  <c r="Z386" i="2" l="1"/>
  <c r="AB387" i="2"/>
  <c r="B388" i="2" l="1"/>
  <c r="G387" i="2"/>
  <c r="H387" i="2" s="1"/>
  <c r="F387" i="2"/>
  <c r="AC387" i="2"/>
  <c r="AE387" i="2"/>
  <c r="U387" i="2"/>
  <c r="J387" i="2" l="1"/>
  <c r="W387" i="2"/>
  <c r="X387" i="2" s="1"/>
  <c r="AF388" i="2"/>
  <c r="C388" i="2"/>
  <c r="AD387" i="2"/>
  <c r="L387" i="2" s="1"/>
  <c r="D388" i="2" l="1"/>
  <c r="E388" i="2" s="1"/>
  <c r="T388" i="2" s="1"/>
  <c r="K387" i="2"/>
  <c r="I387" i="2"/>
  <c r="N387" i="2" l="1"/>
  <c r="M387" i="2" s="1"/>
  <c r="P387" i="2" s="1"/>
  <c r="V388" i="2"/>
  <c r="AG387" i="2" l="1"/>
  <c r="O387" i="2"/>
  <c r="R387" i="2" s="1"/>
  <c r="Q387" i="2" l="1"/>
  <c r="S387" i="2" s="1"/>
  <c r="Y387" i="2" l="1"/>
  <c r="AA387" i="2" s="1"/>
  <c r="Z387" i="2"/>
  <c r="AB388" i="2" l="1"/>
  <c r="B389" i="2" l="1"/>
  <c r="G388" i="2"/>
  <c r="H388" i="2" s="1"/>
  <c r="F388" i="2"/>
  <c r="AC388" i="2"/>
  <c r="AE388" i="2"/>
  <c r="U388" i="2"/>
  <c r="AD388" i="2" l="1"/>
  <c r="L388" i="2" s="1"/>
  <c r="J388" i="2"/>
  <c r="W388" i="2"/>
  <c r="X388" i="2" s="1"/>
  <c r="AF389" i="2"/>
  <c r="C389" i="2"/>
  <c r="K388" i="2" l="1"/>
  <c r="I388" i="2"/>
  <c r="D389" i="2"/>
  <c r="E389" i="2" s="1"/>
  <c r="T389" i="2" s="1"/>
  <c r="N388" i="2" l="1"/>
  <c r="M388" i="2" s="1"/>
  <c r="P388" i="2" s="1"/>
  <c r="V389" i="2"/>
  <c r="AG388" i="2" l="1"/>
  <c r="O388" i="2"/>
  <c r="R388" i="2" s="1"/>
  <c r="Q388" i="2" l="1"/>
  <c r="S388" i="2" s="1"/>
  <c r="Z388" i="2" s="1"/>
  <c r="Y388" i="2" l="1"/>
  <c r="AA388" i="2" s="1"/>
  <c r="AB389" i="2" s="1"/>
  <c r="B390" i="2" l="1"/>
  <c r="G389" i="2"/>
  <c r="H389" i="2" s="1"/>
  <c r="F389" i="2"/>
  <c r="AE389" i="2"/>
  <c r="AC389" i="2"/>
  <c r="U389" i="2"/>
  <c r="J389" i="2" l="1"/>
  <c r="W389" i="2"/>
  <c r="X389" i="2" s="1"/>
  <c r="AF390" i="2"/>
  <c r="C390" i="2"/>
  <c r="AD389" i="2"/>
  <c r="L389" i="2" s="1"/>
  <c r="D390" i="2" l="1"/>
  <c r="E390" i="2" s="1"/>
  <c r="T390" i="2" s="1"/>
  <c r="K389" i="2"/>
  <c r="I389" i="2"/>
  <c r="N389" i="2" l="1"/>
  <c r="M389" i="2" s="1"/>
  <c r="P389" i="2" s="1"/>
  <c r="V390" i="2"/>
  <c r="AG389" i="2" l="1"/>
  <c r="O389" i="2"/>
  <c r="Q389" i="2" s="1"/>
  <c r="R389" i="2" l="1"/>
  <c r="S389" i="2" s="1"/>
  <c r="Y389" i="2" s="1"/>
  <c r="AA389" i="2" s="1"/>
  <c r="Z389" i="2" l="1"/>
  <c r="AB390" i="2"/>
  <c r="B391" i="2" l="1"/>
  <c r="G390" i="2"/>
  <c r="H390" i="2" s="1"/>
  <c r="F390" i="2"/>
  <c r="AE390" i="2"/>
  <c r="AC390" i="2"/>
  <c r="U390" i="2"/>
  <c r="J390" i="2" l="1"/>
  <c r="W390" i="2"/>
  <c r="X390" i="2" s="1"/>
  <c r="AD390" i="2"/>
  <c r="L390" i="2" s="1"/>
  <c r="C391" i="2"/>
  <c r="AF391" i="2"/>
  <c r="I390" i="2" l="1"/>
  <c r="D391" i="2"/>
  <c r="E391" i="2" s="1"/>
  <c r="T391" i="2" s="1"/>
  <c r="K390" i="2"/>
  <c r="N390" i="2" l="1"/>
  <c r="M390" i="2" s="1"/>
  <c r="P390" i="2" s="1"/>
  <c r="V391" i="2"/>
  <c r="AG390" i="2" l="1"/>
  <c r="O390" i="2"/>
  <c r="Q390" i="2" s="1"/>
  <c r="R390" i="2" l="1"/>
  <c r="S390" i="2" s="1"/>
  <c r="Z390" i="2" s="1"/>
  <c r="Y390" i="2" l="1"/>
  <c r="AA390" i="2" s="1"/>
  <c r="AB391" i="2" s="1"/>
  <c r="B392" i="2" l="1"/>
  <c r="G391" i="2"/>
  <c r="H391" i="2" s="1"/>
  <c r="F391" i="2"/>
  <c r="AE391" i="2"/>
  <c r="AC391" i="2"/>
  <c r="U391" i="2"/>
  <c r="J391" i="2" l="1"/>
  <c r="W391" i="2"/>
  <c r="X391" i="2" s="1"/>
  <c r="AF392" i="2"/>
  <c r="C392" i="2"/>
  <c r="AD391" i="2"/>
  <c r="L391" i="2" s="1"/>
  <c r="D392" i="2" l="1"/>
  <c r="E392" i="2" s="1"/>
  <c r="T392" i="2" s="1"/>
  <c r="K391" i="2"/>
  <c r="I391" i="2"/>
  <c r="N391" i="2" l="1"/>
  <c r="M391" i="2" s="1"/>
  <c r="P391" i="2" s="1"/>
  <c r="V392" i="2"/>
  <c r="AG391" i="2" l="1"/>
  <c r="O391" i="2"/>
  <c r="Q391" i="2" s="1"/>
  <c r="R391" i="2" l="1"/>
  <c r="S391" i="2" s="1"/>
  <c r="Y391" i="2" s="1"/>
  <c r="AA391" i="2" s="1"/>
  <c r="Z391" i="2" l="1"/>
  <c r="AB392" i="2"/>
  <c r="B393" i="2" l="1"/>
  <c r="G392" i="2"/>
  <c r="H392" i="2" s="1"/>
  <c r="F392" i="2"/>
  <c r="AE392" i="2"/>
  <c r="AC392" i="2"/>
  <c r="U392" i="2"/>
  <c r="J392" i="2" l="1"/>
  <c r="W392" i="2"/>
  <c r="X392" i="2" s="1"/>
  <c r="AD392" i="2"/>
  <c r="L392" i="2" s="1"/>
  <c r="AF393" i="2"/>
  <c r="C393" i="2"/>
  <c r="K392" i="2" l="1"/>
  <c r="D393" i="2"/>
  <c r="E393" i="2" s="1"/>
  <c r="T393" i="2" s="1"/>
  <c r="I392" i="2"/>
  <c r="N392" i="2" l="1"/>
  <c r="M392" i="2" s="1"/>
  <c r="P392" i="2" s="1"/>
  <c r="V393" i="2"/>
  <c r="AG392" i="2" l="1"/>
  <c r="O392" i="2"/>
  <c r="R392" i="2" s="1"/>
  <c r="Q392" i="2" l="1"/>
  <c r="S392" i="2" s="1"/>
  <c r="Y392" i="2" s="1"/>
  <c r="AA392" i="2" s="1"/>
  <c r="Z392" i="2" l="1"/>
  <c r="AB393" i="2"/>
  <c r="B394" i="2" l="1"/>
  <c r="G393" i="2"/>
  <c r="H393" i="2" s="1"/>
  <c r="F393" i="2"/>
  <c r="AE393" i="2"/>
  <c r="AC393" i="2"/>
  <c r="U393" i="2"/>
  <c r="J393" i="2" l="1"/>
  <c r="W393" i="2"/>
  <c r="X393" i="2" s="1"/>
  <c r="AF394" i="2"/>
  <c r="C394" i="2"/>
  <c r="AD393" i="2"/>
  <c r="L393" i="2" s="1"/>
  <c r="D394" i="2" l="1"/>
  <c r="E394" i="2" s="1"/>
  <c r="T394" i="2" s="1"/>
  <c r="K393" i="2"/>
  <c r="I393" i="2"/>
  <c r="N393" i="2" l="1"/>
  <c r="M393" i="2" s="1"/>
  <c r="P393" i="2" s="1"/>
  <c r="V394" i="2"/>
  <c r="AG393" i="2" l="1"/>
  <c r="O393" i="2"/>
  <c r="Q393" i="2" s="1"/>
  <c r="R393" i="2" l="1"/>
  <c r="S393" i="2" s="1"/>
  <c r="Y393" i="2" l="1"/>
  <c r="AA393" i="2" s="1"/>
  <c r="AB394" i="2" s="1"/>
  <c r="Z393" i="2"/>
  <c r="B395" i="2" l="1"/>
  <c r="G394" i="2"/>
  <c r="H394" i="2" s="1"/>
  <c r="F394" i="2"/>
  <c r="AE394" i="2"/>
  <c r="AC394" i="2"/>
  <c r="U394" i="2"/>
  <c r="J394" i="2" l="1"/>
  <c r="W394" i="2"/>
  <c r="X394" i="2" s="1"/>
  <c r="AF395" i="2"/>
  <c r="C395" i="2"/>
  <c r="AD394" i="2"/>
  <c r="L394" i="2" s="1"/>
  <c r="D395" i="2" l="1"/>
  <c r="E395" i="2" s="1"/>
  <c r="T395" i="2" s="1"/>
  <c r="K394" i="2"/>
  <c r="I394" i="2"/>
  <c r="N394" i="2" l="1"/>
  <c r="M394" i="2" s="1"/>
  <c r="P394" i="2" s="1"/>
  <c r="V395" i="2"/>
  <c r="AG394" i="2" l="1"/>
  <c r="O394" i="2"/>
  <c r="Q394" i="2" s="1"/>
  <c r="R394" i="2" l="1"/>
  <c r="S394" i="2" s="1"/>
  <c r="Y394" i="2" l="1"/>
  <c r="AA394" i="2" s="1"/>
  <c r="AB395" i="2" s="1"/>
  <c r="Z394" i="2"/>
  <c r="B396" i="2" l="1"/>
  <c r="G395" i="2"/>
  <c r="H395" i="2" s="1"/>
  <c r="F395" i="2"/>
  <c r="AE395" i="2"/>
  <c r="AC395" i="2"/>
  <c r="U395" i="2"/>
  <c r="J395" i="2" l="1"/>
  <c r="W395" i="2"/>
  <c r="X395" i="2" s="1"/>
  <c r="AF396" i="2"/>
  <c r="C396" i="2"/>
  <c r="AD395" i="2"/>
  <c r="L395" i="2" s="1"/>
  <c r="K395" i="2" l="1"/>
  <c r="D396" i="2"/>
  <c r="E396" i="2" s="1"/>
  <c r="T396" i="2" s="1"/>
  <c r="I395" i="2"/>
  <c r="N395" i="2" l="1"/>
  <c r="M395" i="2" s="1"/>
  <c r="P395" i="2" s="1"/>
  <c r="V396" i="2"/>
  <c r="AG395" i="2" l="1"/>
  <c r="O395" i="2"/>
  <c r="Q395" i="2" s="1"/>
  <c r="R395" i="2" l="1"/>
  <c r="S395" i="2" s="1"/>
  <c r="Z395" i="2" s="1"/>
  <c r="Y395" i="2" l="1"/>
  <c r="AA395" i="2" s="1"/>
  <c r="AB396" i="2" s="1"/>
  <c r="B397" i="2" l="1"/>
  <c r="G396" i="2"/>
  <c r="H396" i="2" s="1"/>
  <c r="F396" i="2"/>
  <c r="AE396" i="2"/>
  <c r="AC396" i="2"/>
  <c r="U396" i="2"/>
  <c r="J396" i="2" l="1"/>
  <c r="W396" i="2"/>
  <c r="X396" i="2" s="1"/>
  <c r="AF397" i="2"/>
  <c r="C397" i="2"/>
  <c r="AD396" i="2"/>
  <c r="L396" i="2" s="1"/>
  <c r="I396" i="2" l="1"/>
  <c r="D397" i="2"/>
  <c r="E397" i="2" s="1"/>
  <c r="T397" i="2" s="1"/>
  <c r="K396" i="2"/>
  <c r="N396" i="2" l="1"/>
  <c r="M396" i="2" s="1"/>
  <c r="P396" i="2" s="1"/>
  <c r="V397" i="2"/>
  <c r="AG396" i="2" l="1"/>
  <c r="O396" i="2"/>
  <c r="R396" i="2" s="1"/>
  <c r="Q396" i="2" l="1"/>
  <c r="S396" i="2" s="1"/>
  <c r="Y396" i="2" s="1"/>
  <c r="AA396" i="2" s="1"/>
  <c r="Z396" i="2" l="1"/>
  <c r="AB397" i="2"/>
  <c r="B398" i="2" l="1"/>
  <c r="G397" i="2"/>
  <c r="H397" i="2" s="1"/>
  <c r="F397" i="2"/>
  <c r="AE397" i="2"/>
  <c r="AC397" i="2"/>
  <c r="U397" i="2"/>
  <c r="J397" i="2" l="1"/>
  <c r="W397" i="2"/>
  <c r="X397" i="2" s="1"/>
  <c r="AF398" i="2"/>
  <c r="C398" i="2"/>
  <c r="AD397" i="2"/>
  <c r="L397" i="2" s="1"/>
  <c r="D398" i="2" l="1"/>
  <c r="E398" i="2" s="1"/>
  <c r="T398" i="2" s="1"/>
  <c r="K397" i="2"/>
  <c r="I397" i="2"/>
  <c r="N397" i="2" l="1"/>
  <c r="M397" i="2" s="1"/>
  <c r="P397" i="2" s="1"/>
  <c r="V398" i="2"/>
  <c r="AG397" i="2" l="1"/>
  <c r="O397" i="2"/>
  <c r="Q397" i="2" s="1"/>
  <c r="R397" i="2" l="1"/>
  <c r="S397" i="2" s="1"/>
  <c r="Z397" i="2" s="1"/>
  <c r="Y397" i="2" l="1"/>
  <c r="AA397" i="2" s="1"/>
  <c r="AB398" i="2" s="1"/>
  <c r="B399" i="2" l="1"/>
  <c r="G398" i="2"/>
  <c r="H398" i="2" s="1"/>
  <c r="F398" i="2"/>
  <c r="AE398" i="2"/>
  <c r="AC398" i="2"/>
  <c r="U398" i="2"/>
  <c r="C399" i="2" l="1"/>
  <c r="AF399" i="2"/>
  <c r="J398" i="2"/>
  <c r="W398" i="2"/>
  <c r="X398" i="2" s="1"/>
  <c r="AD398" i="2"/>
  <c r="L398" i="2" s="1"/>
  <c r="D399" i="2" l="1"/>
  <c r="E399" i="2" s="1"/>
  <c r="T399" i="2" s="1"/>
  <c r="K398" i="2"/>
  <c r="I398" i="2"/>
  <c r="N398" i="2" l="1"/>
  <c r="M398" i="2" s="1"/>
  <c r="P398" i="2" s="1"/>
  <c r="V399" i="2"/>
  <c r="AG398" i="2" l="1"/>
  <c r="O398" i="2"/>
  <c r="R398" i="2" s="1"/>
  <c r="Q398" i="2" l="1"/>
  <c r="S398" i="2" s="1"/>
  <c r="Z398" i="2" s="1"/>
  <c r="Y398" i="2" l="1"/>
  <c r="AA398" i="2" s="1"/>
  <c r="AB399" i="2" s="1"/>
  <c r="B400" i="2" l="1"/>
  <c r="G399" i="2"/>
  <c r="H399" i="2" s="1"/>
  <c r="F399" i="2"/>
  <c r="AC399" i="2"/>
  <c r="AE399" i="2"/>
  <c r="U399" i="2"/>
  <c r="AD399" i="2" l="1"/>
  <c r="L399" i="2" s="1"/>
  <c r="AF400" i="2"/>
  <c r="C400" i="2"/>
  <c r="J399" i="2"/>
  <c r="W399" i="2"/>
  <c r="X399" i="2" s="1"/>
  <c r="K399" i="2" l="1"/>
  <c r="I399" i="2"/>
  <c r="D400" i="2"/>
  <c r="E400" i="2" s="1"/>
  <c r="T400" i="2" s="1"/>
  <c r="V400" i="2" l="1"/>
  <c r="N399" i="2"/>
  <c r="M399" i="2" s="1"/>
  <c r="P399" i="2" s="1"/>
  <c r="AG399" i="2" l="1"/>
  <c r="O399" i="2"/>
  <c r="R399" i="2" l="1"/>
  <c r="Q399" i="2"/>
  <c r="S399" i="2" l="1"/>
  <c r="Y399" i="2" s="1"/>
  <c r="AA399" i="2" s="1"/>
  <c r="Z399" i="2" l="1"/>
  <c r="AB400" i="2"/>
  <c r="B401" i="2" l="1"/>
  <c r="G400" i="2"/>
  <c r="H400" i="2" s="1"/>
  <c r="F400" i="2"/>
  <c r="AC400" i="2"/>
  <c r="AE400" i="2"/>
  <c r="U400" i="2"/>
  <c r="AF401" i="2" l="1"/>
  <c r="C401" i="2"/>
  <c r="AD400" i="2"/>
  <c r="L400" i="2" s="1"/>
  <c r="J400" i="2"/>
  <c r="W400" i="2"/>
  <c r="X400" i="2" s="1"/>
  <c r="K400" i="2" l="1"/>
  <c r="I400" i="2"/>
  <c r="D401" i="2"/>
  <c r="E401" i="2" s="1"/>
  <c r="T401" i="2" s="1"/>
  <c r="N400" i="2" l="1"/>
  <c r="M400" i="2" s="1"/>
  <c r="P400" i="2" s="1"/>
  <c r="V401" i="2"/>
  <c r="AG400" i="2" l="1"/>
  <c r="O400" i="2"/>
  <c r="R400" i="2" s="1"/>
  <c r="Q400" i="2" l="1"/>
  <c r="S400" i="2" s="1"/>
  <c r="Y400" i="2" l="1"/>
  <c r="AA400" i="2" s="1"/>
  <c r="Z400" i="2"/>
  <c r="AB401" i="2" l="1"/>
  <c r="B402" i="2" l="1"/>
  <c r="G401" i="2"/>
  <c r="H401" i="2" s="1"/>
  <c r="F401" i="2"/>
  <c r="AE401" i="2"/>
  <c r="AC401" i="2"/>
  <c r="U401" i="2"/>
  <c r="AF402" i="2" l="1"/>
  <c r="C402" i="2"/>
  <c r="J401" i="2"/>
  <c r="W401" i="2"/>
  <c r="X401" i="2" s="1"/>
  <c r="AD401" i="2"/>
  <c r="L401" i="2" s="1"/>
  <c r="D402" i="2" l="1"/>
  <c r="E402" i="2" s="1"/>
  <c r="T402" i="2" s="1"/>
  <c r="K401" i="2"/>
  <c r="I401" i="2"/>
  <c r="N401" i="2" l="1"/>
  <c r="M401" i="2" s="1"/>
  <c r="P401" i="2" s="1"/>
  <c r="V402" i="2"/>
  <c r="AG401" i="2" l="1"/>
  <c r="O401" i="2"/>
  <c r="R401" i="2" s="1"/>
  <c r="Q401" i="2" l="1"/>
  <c r="S401" i="2" s="1"/>
  <c r="Z401" i="2" s="1"/>
  <c r="Y401" i="2" l="1"/>
  <c r="AA401" i="2" s="1"/>
  <c r="AB402" i="2" s="1"/>
  <c r="B403" i="2" l="1"/>
  <c r="G402" i="2"/>
  <c r="H402" i="2" s="1"/>
  <c r="F402" i="2"/>
  <c r="AC402" i="2"/>
  <c r="AE402" i="2"/>
  <c r="U402" i="2"/>
  <c r="J402" i="2" l="1"/>
  <c r="W402" i="2"/>
  <c r="X402" i="2" s="1"/>
  <c r="AF403" i="2"/>
  <c r="C403" i="2"/>
  <c r="AD402" i="2"/>
  <c r="L402" i="2" s="1"/>
  <c r="K402" i="2" l="1"/>
  <c r="D403" i="2"/>
  <c r="E403" i="2" s="1"/>
  <c r="T403" i="2" s="1"/>
  <c r="I402" i="2"/>
  <c r="N402" i="2" l="1"/>
  <c r="M402" i="2" s="1"/>
  <c r="P402" i="2" s="1"/>
  <c r="V403" i="2"/>
  <c r="AG402" i="2" l="1"/>
  <c r="O402" i="2"/>
  <c r="Q402" i="2" s="1"/>
  <c r="R402" i="2" l="1"/>
  <c r="S402" i="2" s="1"/>
  <c r="Y402" i="2" l="1"/>
  <c r="AA402" i="2" s="1"/>
  <c r="AB403" i="2" s="1"/>
  <c r="Z402" i="2"/>
  <c r="B404" i="2" l="1"/>
  <c r="G403" i="2"/>
  <c r="H403" i="2" s="1"/>
  <c r="F403" i="2"/>
  <c r="AC403" i="2"/>
  <c r="AE403" i="2"/>
  <c r="U403" i="2"/>
  <c r="J403" i="2" l="1"/>
  <c r="W403" i="2"/>
  <c r="X403" i="2" s="1"/>
  <c r="AD403" i="2"/>
  <c r="L403" i="2" s="1"/>
  <c r="AF404" i="2"/>
  <c r="C404" i="2"/>
  <c r="I403" i="2" l="1"/>
  <c r="D404" i="2"/>
  <c r="E404" i="2" s="1"/>
  <c r="T404" i="2" s="1"/>
  <c r="K403" i="2"/>
  <c r="V404" i="2" l="1"/>
  <c r="N403" i="2"/>
  <c r="M403" i="2" s="1"/>
  <c r="P403" i="2" s="1"/>
  <c r="AG403" i="2" l="1"/>
  <c r="O403" i="2"/>
  <c r="R403" i="2" l="1"/>
  <c r="Q403" i="2"/>
  <c r="S403" i="2" l="1"/>
  <c r="Z403" i="2" s="1"/>
  <c r="Y403" i="2" l="1"/>
  <c r="AA403" i="2" s="1"/>
  <c r="AB404" i="2" s="1"/>
  <c r="B405" i="2" l="1"/>
  <c r="G404" i="2"/>
  <c r="H404" i="2" s="1"/>
  <c r="F404" i="2"/>
  <c r="AE404" i="2"/>
  <c r="AC404" i="2"/>
  <c r="U404" i="2"/>
  <c r="AF405" i="2" l="1"/>
  <c r="C405" i="2"/>
  <c r="AD404" i="2"/>
  <c r="L404" i="2" s="1"/>
  <c r="J404" i="2"/>
  <c r="W404" i="2"/>
  <c r="X404" i="2" s="1"/>
  <c r="K404" i="2" l="1"/>
  <c r="D405" i="2"/>
  <c r="E405" i="2" s="1"/>
  <c r="T405" i="2" s="1"/>
  <c r="I404" i="2"/>
  <c r="V405" i="2" l="1"/>
  <c r="N404" i="2"/>
  <c r="M404" i="2" s="1"/>
  <c r="P404" i="2" s="1"/>
  <c r="AG404" i="2" l="1"/>
  <c r="O404" i="2"/>
  <c r="R404" i="2" l="1"/>
  <c r="Q404" i="2"/>
  <c r="S404" i="2" l="1"/>
  <c r="Y404" i="2" s="1"/>
  <c r="AA404" i="2" s="1"/>
  <c r="Z404" i="2" l="1"/>
  <c r="AB405" i="2"/>
  <c r="B406" i="2" l="1"/>
  <c r="G405" i="2"/>
  <c r="H405" i="2" s="1"/>
  <c r="F405" i="2"/>
  <c r="AC405" i="2"/>
  <c r="AE405" i="2"/>
  <c r="U405" i="2"/>
  <c r="J405" i="2" l="1"/>
  <c r="W405" i="2"/>
  <c r="X405" i="2" s="1"/>
  <c r="AF406" i="2"/>
  <c r="C406" i="2"/>
  <c r="AD405" i="2"/>
  <c r="L405" i="2" s="1"/>
  <c r="K405" i="2" l="1"/>
  <c r="D406" i="2"/>
  <c r="E406" i="2" s="1"/>
  <c r="T406" i="2" s="1"/>
  <c r="I405" i="2"/>
  <c r="N405" i="2" l="1"/>
  <c r="M405" i="2" s="1"/>
  <c r="P405" i="2" s="1"/>
  <c r="V406" i="2"/>
  <c r="AG405" i="2" l="1"/>
  <c r="O405" i="2"/>
  <c r="R405" i="2" s="1"/>
  <c r="Q405" i="2" l="1"/>
  <c r="S405" i="2" s="1"/>
  <c r="Z405" i="2" s="1"/>
  <c r="Y405" i="2" l="1"/>
  <c r="AA405" i="2" s="1"/>
  <c r="AB406" i="2" s="1"/>
  <c r="B407" i="2" l="1"/>
  <c r="G406" i="2"/>
  <c r="H406" i="2" s="1"/>
  <c r="F406" i="2"/>
  <c r="AC406" i="2"/>
  <c r="AE406" i="2"/>
  <c r="U406" i="2"/>
  <c r="J406" i="2" l="1"/>
  <c r="W406" i="2"/>
  <c r="X406" i="2" s="1"/>
  <c r="AF407" i="2"/>
  <c r="C407" i="2"/>
  <c r="AD406" i="2"/>
  <c r="L406" i="2" s="1"/>
  <c r="I406" i="2" l="1"/>
  <c r="D407" i="2"/>
  <c r="E407" i="2" s="1"/>
  <c r="T407" i="2" s="1"/>
  <c r="K406" i="2"/>
  <c r="V407" i="2" l="1"/>
  <c r="N406" i="2"/>
  <c r="M406" i="2" s="1"/>
  <c r="P406" i="2" s="1"/>
  <c r="AG406" i="2" l="1"/>
  <c r="O406" i="2"/>
  <c r="R406" i="2" l="1"/>
  <c r="Q406" i="2"/>
  <c r="S406" i="2" l="1"/>
  <c r="Z406" i="2" s="1"/>
  <c r="Y406" i="2" l="1"/>
  <c r="AA406" i="2" s="1"/>
  <c r="AB407" i="2" s="1"/>
  <c r="B408" i="2" l="1"/>
  <c r="G407" i="2"/>
  <c r="H407" i="2" s="1"/>
  <c r="F407" i="2"/>
  <c r="AC407" i="2"/>
  <c r="AE407" i="2"/>
  <c r="U407" i="2"/>
  <c r="C408" i="2" l="1"/>
  <c r="AF408" i="2"/>
  <c r="J407" i="2"/>
  <c r="W407" i="2"/>
  <c r="X407" i="2" s="1"/>
  <c r="AD407" i="2"/>
  <c r="L407" i="2" s="1"/>
  <c r="K407" i="2" l="1"/>
  <c r="I407" i="2"/>
  <c r="D408" i="2"/>
  <c r="E408" i="2" s="1"/>
  <c r="T408" i="2" s="1"/>
  <c r="N407" i="2" l="1"/>
  <c r="M407" i="2" s="1"/>
  <c r="P407" i="2" s="1"/>
  <c r="V408" i="2"/>
  <c r="AG407" i="2" l="1"/>
  <c r="O407" i="2"/>
  <c r="Q407" i="2" s="1"/>
  <c r="R407" i="2" l="1"/>
  <c r="S407" i="2" s="1"/>
  <c r="Y407" i="2" l="1"/>
  <c r="AA407" i="2" s="1"/>
  <c r="AB408" i="2" s="1"/>
  <c r="Z407" i="2"/>
  <c r="B409" i="2" l="1"/>
  <c r="G408" i="2"/>
  <c r="H408" i="2" s="1"/>
  <c r="F408" i="2"/>
  <c r="AC408" i="2"/>
  <c r="AE408" i="2"/>
  <c r="U408" i="2"/>
  <c r="AD408" i="2" l="1"/>
  <c r="L408" i="2" s="1"/>
  <c r="AF409" i="2"/>
  <c r="C409" i="2"/>
  <c r="J408" i="2"/>
  <c r="W408" i="2"/>
  <c r="X408" i="2" s="1"/>
  <c r="K408" i="2" l="1"/>
  <c r="D409" i="2"/>
  <c r="E409" i="2" s="1"/>
  <c r="T409" i="2" s="1"/>
  <c r="I408" i="2"/>
  <c r="V409" i="2" l="1"/>
  <c r="N408" i="2"/>
  <c r="M408" i="2" s="1"/>
  <c r="P408" i="2" s="1"/>
  <c r="AG408" i="2" l="1"/>
  <c r="O408" i="2"/>
  <c r="R408" i="2" l="1"/>
  <c r="Q408" i="2"/>
  <c r="S408" i="2" l="1"/>
  <c r="Z408" i="2" s="1"/>
  <c r="Y408" i="2" l="1"/>
  <c r="AA408" i="2" s="1"/>
  <c r="AB409" i="2" s="1"/>
  <c r="B410" i="2" l="1"/>
  <c r="G409" i="2"/>
  <c r="H409" i="2" s="1"/>
  <c r="F409" i="2"/>
  <c r="AE409" i="2"/>
  <c r="AC409" i="2"/>
  <c r="U409" i="2"/>
  <c r="AF410" i="2" l="1"/>
  <c r="C410" i="2"/>
  <c r="J409" i="2"/>
  <c r="W409" i="2"/>
  <c r="X409" i="2" s="1"/>
  <c r="AD409" i="2"/>
  <c r="L409" i="2" s="1"/>
  <c r="D410" i="2" l="1"/>
  <c r="E410" i="2" s="1"/>
  <c r="T410" i="2" s="1"/>
  <c r="K409" i="2"/>
  <c r="I409" i="2"/>
  <c r="N409" i="2" l="1"/>
  <c r="M409" i="2" s="1"/>
  <c r="P409" i="2" s="1"/>
  <c r="V410" i="2"/>
  <c r="AG409" i="2" l="1"/>
  <c r="O409" i="2"/>
  <c r="Q409" i="2" s="1"/>
  <c r="R409" i="2" l="1"/>
  <c r="S409" i="2" s="1"/>
  <c r="Y409" i="2" s="1"/>
  <c r="AA409" i="2" s="1"/>
  <c r="Z409" i="2" l="1"/>
  <c r="AB410" i="2"/>
  <c r="B411" i="2" l="1"/>
  <c r="G410" i="2"/>
  <c r="H410" i="2" s="1"/>
  <c r="F410" i="2"/>
  <c r="AC410" i="2"/>
  <c r="AE410" i="2"/>
  <c r="U410" i="2"/>
  <c r="AD410" i="2" l="1"/>
  <c r="L410" i="2" s="1"/>
  <c r="AF411" i="2"/>
  <c r="C411" i="2"/>
  <c r="J410" i="2"/>
  <c r="W410" i="2"/>
  <c r="X410" i="2" s="1"/>
  <c r="I410" i="2" l="1"/>
  <c r="D411" i="2"/>
  <c r="E411" i="2" s="1"/>
  <c r="T411" i="2" s="1"/>
  <c r="K410" i="2"/>
  <c r="N410" i="2" l="1"/>
  <c r="M410" i="2" s="1"/>
  <c r="P410" i="2" s="1"/>
  <c r="V411" i="2"/>
  <c r="AG410" i="2" l="1"/>
  <c r="O410" i="2"/>
  <c r="R410" i="2" s="1"/>
  <c r="Q410" i="2" l="1"/>
  <c r="S410" i="2" s="1"/>
  <c r="Y410" i="2" s="1"/>
  <c r="AA410" i="2" s="1"/>
  <c r="Z410" i="2" l="1"/>
  <c r="AB411" i="2"/>
  <c r="B412" i="2" l="1"/>
  <c r="G411" i="2"/>
  <c r="H411" i="2" s="1"/>
  <c r="F411" i="2"/>
  <c r="AC411" i="2"/>
  <c r="AE411" i="2"/>
  <c r="U411" i="2"/>
  <c r="AD411" i="2" l="1"/>
  <c r="L411" i="2" s="1"/>
  <c r="AF412" i="2"/>
  <c r="C412" i="2"/>
  <c r="J411" i="2"/>
  <c r="W411" i="2"/>
  <c r="X411" i="2" s="1"/>
  <c r="I411" i="2" l="1"/>
  <c r="D412" i="2"/>
  <c r="E412" i="2" s="1"/>
  <c r="T412" i="2" s="1"/>
  <c r="K411" i="2"/>
  <c r="N411" i="2" l="1"/>
  <c r="M411" i="2" s="1"/>
  <c r="P411" i="2" s="1"/>
  <c r="V412" i="2"/>
  <c r="AG411" i="2" l="1"/>
  <c r="O411" i="2"/>
  <c r="R411" i="2" s="1"/>
  <c r="Q411" i="2" l="1"/>
  <c r="S411" i="2" s="1"/>
  <c r="Z411" i="2" s="1"/>
  <c r="Y411" i="2" l="1"/>
  <c r="AA411" i="2" s="1"/>
  <c r="AB412" i="2" s="1"/>
  <c r="B413" i="2" l="1"/>
  <c r="G412" i="2"/>
  <c r="H412" i="2" s="1"/>
  <c r="F412" i="2"/>
  <c r="AC412" i="2"/>
  <c r="AE412" i="2"/>
  <c r="U412" i="2"/>
  <c r="AD412" i="2" l="1"/>
  <c r="L412" i="2" s="1"/>
  <c r="AF413" i="2"/>
  <c r="C413" i="2"/>
  <c r="J412" i="2"/>
  <c r="W412" i="2"/>
  <c r="X412" i="2" s="1"/>
  <c r="K412" i="2" l="1"/>
  <c r="D413" i="2"/>
  <c r="E413" i="2" s="1"/>
  <c r="T413" i="2" s="1"/>
  <c r="I412" i="2"/>
  <c r="N412" i="2" l="1"/>
  <c r="M412" i="2" s="1"/>
  <c r="P412" i="2" s="1"/>
  <c r="V413" i="2"/>
  <c r="AG412" i="2" l="1"/>
  <c r="O412" i="2"/>
  <c r="R412" i="2" s="1"/>
  <c r="Q412" i="2" l="1"/>
  <c r="S412" i="2" s="1"/>
  <c r="Z412" i="2" s="1"/>
  <c r="Y412" i="2" l="1"/>
  <c r="AA412" i="2" s="1"/>
  <c r="AB413" i="2" s="1"/>
  <c r="B414" i="2" l="1"/>
  <c r="G413" i="2"/>
  <c r="H413" i="2" s="1"/>
  <c r="F413" i="2"/>
  <c r="AE413" i="2"/>
  <c r="AC413" i="2"/>
  <c r="U413" i="2"/>
  <c r="J413" i="2" l="1"/>
  <c r="W413" i="2"/>
  <c r="X413" i="2" s="1"/>
  <c r="AD413" i="2"/>
  <c r="L413" i="2" s="1"/>
  <c r="AF414" i="2"/>
  <c r="C414" i="2"/>
  <c r="K413" i="2" l="1"/>
  <c r="D414" i="2"/>
  <c r="E414" i="2" s="1"/>
  <c r="T414" i="2" s="1"/>
  <c r="I413" i="2"/>
  <c r="N413" i="2" l="1"/>
  <c r="M413" i="2" s="1"/>
  <c r="P413" i="2" s="1"/>
  <c r="V414" i="2"/>
  <c r="AG413" i="2" l="1"/>
  <c r="O413" i="2"/>
  <c r="Q413" i="2" s="1"/>
  <c r="R413" i="2" l="1"/>
  <c r="S413" i="2" s="1"/>
  <c r="Z413" i="2" s="1"/>
  <c r="Y413" i="2" l="1"/>
  <c r="AA413" i="2" s="1"/>
  <c r="AB414" i="2" s="1"/>
  <c r="B415" i="2" l="1"/>
  <c r="G414" i="2"/>
  <c r="H414" i="2" s="1"/>
  <c r="F414" i="2"/>
  <c r="AE414" i="2"/>
  <c r="AC414" i="2"/>
  <c r="U414" i="2"/>
  <c r="AF415" i="2" l="1"/>
  <c r="C415" i="2"/>
  <c r="J414" i="2"/>
  <c r="W414" i="2"/>
  <c r="X414" i="2" s="1"/>
  <c r="AD414" i="2"/>
  <c r="L414" i="2" s="1"/>
  <c r="K414" i="2" l="1"/>
  <c r="D415" i="2"/>
  <c r="E415" i="2" s="1"/>
  <c r="T415" i="2" s="1"/>
  <c r="I414" i="2"/>
  <c r="N414" i="2" l="1"/>
  <c r="M414" i="2" s="1"/>
  <c r="P414" i="2" s="1"/>
  <c r="V415" i="2"/>
  <c r="AG414" i="2" l="1"/>
  <c r="O414" i="2"/>
  <c r="Q414" i="2" s="1"/>
  <c r="R414" i="2" l="1"/>
  <c r="S414" i="2" s="1"/>
  <c r="Y414" i="2" l="1"/>
  <c r="AA414" i="2" s="1"/>
  <c r="AB415" i="2" s="1"/>
  <c r="Z414" i="2"/>
  <c r="B416" i="2" l="1"/>
  <c r="G415" i="2"/>
  <c r="H415" i="2" s="1"/>
  <c r="F415" i="2"/>
  <c r="AC415" i="2"/>
  <c r="AE415" i="2"/>
  <c r="U415" i="2"/>
  <c r="AF416" i="2" l="1"/>
  <c r="C416" i="2"/>
  <c r="J415" i="2"/>
  <c r="W415" i="2"/>
  <c r="X415" i="2" s="1"/>
  <c r="AD415" i="2"/>
  <c r="L415" i="2" s="1"/>
  <c r="I415" i="2" l="1"/>
  <c r="D416" i="2"/>
  <c r="E416" i="2" s="1"/>
  <c r="T416" i="2" s="1"/>
  <c r="K415" i="2"/>
  <c r="V416" i="2" l="1"/>
  <c r="N415" i="2"/>
  <c r="M415" i="2" s="1"/>
  <c r="P415" i="2" s="1"/>
  <c r="AG415" i="2" l="1"/>
  <c r="O415" i="2"/>
  <c r="R415" i="2" l="1"/>
  <c r="Q415" i="2"/>
  <c r="S415" i="2" l="1"/>
  <c r="Z415" i="2" s="1"/>
  <c r="Y415" i="2" l="1"/>
  <c r="AA415" i="2" s="1"/>
  <c r="AB416" i="2" s="1"/>
  <c r="B417" i="2" l="1"/>
  <c r="G416" i="2"/>
  <c r="H416" i="2" s="1"/>
  <c r="F416" i="2"/>
  <c r="AC416" i="2"/>
  <c r="AE416" i="2"/>
  <c r="U416" i="2"/>
  <c r="J416" i="2" l="1"/>
  <c r="W416" i="2"/>
  <c r="X416" i="2" s="1"/>
  <c r="AD416" i="2"/>
  <c r="L416" i="2" s="1"/>
  <c r="C417" i="2"/>
  <c r="AF417" i="2"/>
  <c r="D417" i="2" l="1"/>
  <c r="E417" i="2" s="1"/>
  <c r="T417" i="2" s="1"/>
  <c r="K416" i="2"/>
  <c r="I416" i="2"/>
  <c r="N416" i="2" l="1"/>
  <c r="M416" i="2" s="1"/>
  <c r="P416" i="2" s="1"/>
  <c r="V417" i="2"/>
  <c r="AG416" i="2" l="1"/>
  <c r="O416" i="2"/>
  <c r="Q416" i="2" s="1"/>
  <c r="R416" i="2" l="1"/>
  <c r="S416" i="2" s="1"/>
  <c r="Z416" i="2" s="1"/>
  <c r="Y416" i="2" l="1"/>
  <c r="AA416" i="2" s="1"/>
  <c r="AB417" i="2" s="1"/>
  <c r="B418" i="2" l="1"/>
  <c r="G417" i="2"/>
  <c r="H417" i="2" s="1"/>
  <c r="F417" i="2"/>
  <c r="AE417" i="2"/>
  <c r="AC417" i="2"/>
  <c r="U417" i="2"/>
  <c r="AD417" i="2" l="1"/>
  <c r="L417" i="2" s="1"/>
  <c r="AF418" i="2"/>
  <c r="C418" i="2"/>
  <c r="J417" i="2"/>
  <c r="W417" i="2"/>
  <c r="X417" i="2" s="1"/>
  <c r="K417" i="2" l="1"/>
  <c r="I417" i="2"/>
  <c r="D418" i="2"/>
  <c r="E418" i="2" s="1"/>
  <c r="T418" i="2" s="1"/>
  <c r="N417" i="2" l="1"/>
  <c r="M417" i="2" s="1"/>
  <c r="P417" i="2" s="1"/>
  <c r="V418" i="2"/>
  <c r="AG417" i="2" l="1"/>
  <c r="O417" i="2"/>
  <c r="Q417" i="2" s="1"/>
  <c r="R417" i="2" l="1"/>
  <c r="S417" i="2" s="1"/>
  <c r="Y417" i="2" s="1"/>
  <c r="AA417" i="2" s="1"/>
  <c r="Z417" i="2" l="1"/>
  <c r="AB418" i="2"/>
  <c r="B419" i="2" l="1"/>
  <c r="G418" i="2"/>
  <c r="H418" i="2" s="1"/>
  <c r="F418" i="2"/>
  <c r="AC418" i="2"/>
  <c r="AE418" i="2"/>
  <c r="U418" i="2"/>
  <c r="J418" i="2" l="1"/>
  <c r="W418" i="2"/>
  <c r="X418" i="2" s="1"/>
  <c r="AD418" i="2"/>
  <c r="L418" i="2" s="1"/>
  <c r="AF419" i="2"/>
  <c r="C419" i="2"/>
  <c r="K418" i="2" l="1"/>
  <c r="D419" i="2"/>
  <c r="E419" i="2" s="1"/>
  <c r="T419" i="2" s="1"/>
  <c r="I418" i="2"/>
  <c r="N418" i="2" l="1"/>
  <c r="M418" i="2" s="1"/>
  <c r="P418" i="2" s="1"/>
  <c r="V419" i="2"/>
  <c r="AG418" i="2" l="1"/>
  <c r="O418" i="2"/>
  <c r="Q418" i="2" s="1"/>
  <c r="R418" i="2" l="1"/>
  <c r="S418" i="2" s="1"/>
  <c r="Z418" i="2" s="1"/>
  <c r="Y418" i="2" l="1"/>
  <c r="AA418" i="2" s="1"/>
  <c r="AB419" i="2" s="1"/>
  <c r="B420" i="2" l="1"/>
  <c r="G419" i="2"/>
  <c r="H419" i="2" s="1"/>
  <c r="F419" i="2"/>
  <c r="AE419" i="2"/>
  <c r="AC419" i="2"/>
  <c r="U419" i="2"/>
  <c r="J419" i="2" l="1"/>
  <c r="W419" i="2"/>
  <c r="X419" i="2" s="1"/>
  <c r="AF420" i="2"/>
  <c r="C420" i="2"/>
  <c r="AD419" i="2"/>
  <c r="L419" i="2" s="1"/>
  <c r="I419" i="2" l="1"/>
  <c r="D420" i="2"/>
  <c r="E420" i="2" s="1"/>
  <c r="T420" i="2" s="1"/>
  <c r="K419" i="2"/>
  <c r="N419" i="2" l="1"/>
  <c r="M419" i="2" s="1"/>
  <c r="P419" i="2" s="1"/>
  <c r="V420" i="2"/>
  <c r="AG419" i="2" l="1"/>
  <c r="O419" i="2"/>
  <c r="Q419" i="2" s="1"/>
  <c r="R419" i="2" l="1"/>
  <c r="S419" i="2" s="1"/>
  <c r="Y419" i="2" s="1"/>
  <c r="AA419" i="2" s="1"/>
  <c r="Z419" i="2" l="1"/>
  <c r="AB420" i="2"/>
  <c r="B421" i="2" l="1"/>
  <c r="G420" i="2"/>
  <c r="H420" i="2" s="1"/>
  <c r="F420" i="2"/>
  <c r="AE420" i="2"/>
  <c r="AC420" i="2"/>
  <c r="U420" i="2"/>
  <c r="J420" i="2" l="1"/>
  <c r="W420" i="2"/>
  <c r="X420" i="2" s="1"/>
  <c r="C421" i="2"/>
  <c r="AF421" i="2"/>
  <c r="AD420" i="2"/>
  <c r="L420" i="2" s="1"/>
  <c r="K420" i="2" l="1"/>
  <c r="D421" i="2"/>
  <c r="E421" i="2" s="1"/>
  <c r="T421" i="2" s="1"/>
  <c r="I420" i="2"/>
  <c r="N420" i="2" l="1"/>
  <c r="M420" i="2" s="1"/>
  <c r="P420" i="2" s="1"/>
  <c r="V421" i="2"/>
  <c r="AG420" i="2" l="1"/>
  <c r="O420" i="2"/>
  <c r="Q420" i="2" s="1"/>
  <c r="R420" i="2" l="1"/>
  <c r="S420" i="2" s="1"/>
  <c r="Z420" i="2" s="1"/>
  <c r="Y420" i="2" l="1"/>
  <c r="AA420" i="2" s="1"/>
  <c r="AB421" i="2" s="1"/>
  <c r="B422" i="2" l="1"/>
  <c r="G421" i="2"/>
  <c r="H421" i="2" s="1"/>
  <c r="F421" i="2"/>
  <c r="AE421" i="2"/>
  <c r="AC421" i="2"/>
  <c r="U421" i="2"/>
  <c r="AF422" i="2" l="1"/>
  <c r="C422" i="2"/>
  <c r="J421" i="2"/>
  <c r="W421" i="2"/>
  <c r="X421" i="2" s="1"/>
  <c r="AD421" i="2"/>
  <c r="L421" i="2" s="1"/>
  <c r="D422" i="2" l="1"/>
  <c r="E422" i="2" s="1"/>
  <c r="T422" i="2" s="1"/>
  <c r="K421" i="2"/>
  <c r="I421" i="2"/>
  <c r="N421" i="2" l="1"/>
  <c r="M421" i="2" s="1"/>
  <c r="P421" i="2" s="1"/>
  <c r="V422" i="2"/>
  <c r="AG421" i="2" l="1"/>
  <c r="O421" i="2"/>
  <c r="Q421" i="2" s="1"/>
  <c r="R421" i="2" l="1"/>
  <c r="S421" i="2" s="1"/>
  <c r="Z421" i="2" s="1"/>
  <c r="Y421" i="2" l="1"/>
  <c r="AA421" i="2" s="1"/>
  <c r="AB422" i="2" s="1"/>
  <c r="B423" i="2" l="1"/>
  <c r="G422" i="2"/>
  <c r="H422" i="2" s="1"/>
  <c r="F422" i="2"/>
  <c r="AC422" i="2"/>
  <c r="AE422" i="2"/>
  <c r="U422" i="2"/>
  <c r="AD422" i="2" l="1"/>
  <c r="L422" i="2" s="1"/>
  <c r="AF423" i="2"/>
  <c r="C423" i="2"/>
  <c r="J422" i="2"/>
  <c r="W422" i="2"/>
  <c r="X422" i="2" s="1"/>
  <c r="I422" i="2" l="1"/>
  <c r="D423" i="2"/>
  <c r="E423" i="2" s="1"/>
  <c r="T423" i="2" s="1"/>
  <c r="K422" i="2"/>
  <c r="N422" i="2" l="1"/>
  <c r="M422" i="2" s="1"/>
  <c r="P422" i="2" s="1"/>
  <c r="V423" i="2"/>
  <c r="AG422" i="2" l="1"/>
  <c r="O422" i="2"/>
  <c r="Q422" i="2" s="1"/>
  <c r="R422" i="2" l="1"/>
  <c r="S422" i="2" s="1"/>
  <c r="Z422" i="2" s="1"/>
  <c r="Y422" i="2" l="1"/>
  <c r="AA422" i="2" s="1"/>
  <c r="AB423" i="2" s="1"/>
  <c r="B424" i="2" l="1"/>
  <c r="G423" i="2"/>
  <c r="H423" i="2" s="1"/>
  <c r="F423" i="2"/>
  <c r="AE423" i="2"/>
  <c r="AC423" i="2"/>
  <c r="U423" i="2"/>
  <c r="J423" i="2" l="1"/>
  <c r="W423" i="2"/>
  <c r="X423" i="2" s="1"/>
  <c r="AF424" i="2"/>
  <c r="C424" i="2"/>
  <c r="AD423" i="2"/>
  <c r="L423" i="2" s="1"/>
  <c r="D424" i="2" l="1"/>
  <c r="E424" i="2" s="1"/>
  <c r="T424" i="2" s="1"/>
  <c r="K423" i="2"/>
  <c r="I423" i="2"/>
  <c r="N423" i="2" l="1"/>
  <c r="M423" i="2" s="1"/>
  <c r="P423" i="2" s="1"/>
  <c r="V424" i="2"/>
  <c r="AG423" i="2" l="1"/>
  <c r="O423" i="2"/>
  <c r="R423" i="2" s="1"/>
  <c r="Q423" i="2" l="1"/>
  <c r="S423" i="2" s="1"/>
  <c r="Y423" i="2" l="1"/>
  <c r="AA423" i="2" s="1"/>
  <c r="Z423" i="2"/>
  <c r="AB424" i="2" l="1"/>
  <c r="B425" i="2" l="1"/>
  <c r="G424" i="2"/>
  <c r="H424" i="2" s="1"/>
  <c r="F424" i="2"/>
  <c r="AE424" i="2"/>
  <c r="AC424" i="2"/>
  <c r="U424" i="2"/>
  <c r="J424" i="2" l="1"/>
  <c r="W424" i="2"/>
  <c r="X424" i="2" s="1"/>
  <c r="C425" i="2"/>
  <c r="AF425" i="2"/>
  <c r="AD424" i="2"/>
  <c r="L424" i="2" s="1"/>
  <c r="I424" i="2" l="1"/>
  <c r="D425" i="2"/>
  <c r="E425" i="2" s="1"/>
  <c r="T425" i="2" s="1"/>
  <c r="K424" i="2"/>
  <c r="V425" i="2" l="1"/>
  <c r="N424" i="2"/>
  <c r="M424" i="2" s="1"/>
  <c r="P424" i="2" s="1"/>
  <c r="AG424" i="2" l="1"/>
  <c r="O424" i="2"/>
  <c r="R424" i="2" l="1"/>
  <c r="Q424" i="2"/>
  <c r="S424" i="2" l="1"/>
  <c r="Y424" i="2" s="1"/>
  <c r="AA424" i="2" s="1"/>
  <c r="Z424" i="2" l="1"/>
  <c r="AB425" i="2"/>
  <c r="B426" i="2" l="1"/>
  <c r="G425" i="2"/>
  <c r="H425" i="2" s="1"/>
  <c r="F425" i="2"/>
  <c r="AE425" i="2"/>
  <c r="AC425" i="2"/>
  <c r="U425" i="2"/>
  <c r="AF426" i="2" l="1"/>
  <c r="C426" i="2"/>
  <c r="AD425" i="2"/>
  <c r="L425" i="2" s="1"/>
  <c r="J425" i="2"/>
  <c r="W425" i="2"/>
  <c r="X425" i="2" s="1"/>
  <c r="K425" i="2" l="1"/>
  <c r="I425" i="2"/>
  <c r="D426" i="2"/>
  <c r="E426" i="2" s="1"/>
  <c r="T426" i="2" s="1"/>
  <c r="N425" i="2" l="1"/>
  <c r="M425" i="2" s="1"/>
  <c r="P425" i="2" s="1"/>
  <c r="V426" i="2"/>
  <c r="AG425" i="2" l="1"/>
  <c r="O425" i="2"/>
  <c r="R425" i="2" s="1"/>
  <c r="Q425" i="2" l="1"/>
  <c r="S425" i="2" s="1"/>
  <c r="Y425" i="2" s="1"/>
  <c r="AA425" i="2" s="1"/>
  <c r="Z425" i="2" l="1"/>
  <c r="AB426" i="2"/>
  <c r="B427" i="2" l="1"/>
  <c r="G426" i="2"/>
  <c r="H426" i="2" s="1"/>
  <c r="F426" i="2"/>
  <c r="AC426" i="2"/>
  <c r="AE426" i="2"/>
  <c r="U426" i="2"/>
  <c r="AD426" i="2" l="1"/>
  <c r="L426" i="2" s="1"/>
  <c r="AF427" i="2"/>
  <c r="C427" i="2"/>
  <c r="J426" i="2"/>
  <c r="W426" i="2"/>
  <c r="X426" i="2" s="1"/>
  <c r="K426" i="2" l="1"/>
  <c r="I426" i="2"/>
  <c r="D427" i="2"/>
  <c r="E427" i="2" s="1"/>
  <c r="T427" i="2" s="1"/>
  <c r="V427" i="2" l="1"/>
  <c r="N426" i="2"/>
  <c r="M426" i="2" s="1"/>
  <c r="P426" i="2" s="1"/>
  <c r="AG426" i="2" l="1"/>
  <c r="O426" i="2"/>
  <c r="R426" i="2" l="1"/>
  <c r="Q426" i="2"/>
  <c r="S426" i="2" l="1"/>
  <c r="Z426" i="2" s="1"/>
  <c r="Y426" i="2" l="1"/>
  <c r="AA426" i="2" s="1"/>
  <c r="AB427" i="2" s="1"/>
  <c r="B428" i="2" l="1"/>
  <c r="G427" i="2"/>
  <c r="H427" i="2" s="1"/>
  <c r="F427" i="2"/>
  <c r="AC427" i="2"/>
  <c r="AE427" i="2"/>
  <c r="U427" i="2"/>
  <c r="AD427" i="2" l="1"/>
  <c r="L427" i="2" s="1"/>
  <c r="AF428" i="2"/>
  <c r="C428" i="2"/>
  <c r="J427" i="2"/>
  <c r="W427" i="2"/>
  <c r="X427" i="2" s="1"/>
  <c r="I427" i="2" l="1"/>
  <c r="K427" i="2"/>
  <c r="D428" i="2"/>
  <c r="E428" i="2" s="1"/>
  <c r="T428" i="2" s="1"/>
  <c r="V428" i="2" l="1"/>
  <c r="N427" i="2"/>
  <c r="M427" i="2" s="1"/>
  <c r="P427" i="2" s="1"/>
  <c r="AG427" i="2" l="1"/>
  <c r="O427" i="2"/>
  <c r="R427" i="2" l="1"/>
  <c r="Q427" i="2"/>
  <c r="S427" i="2" l="1"/>
  <c r="Z427" i="2" s="1"/>
  <c r="Y427" i="2" l="1"/>
  <c r="AA427" i="2" s="1"/>
  <c r="AB428" i="2" s="1"/>
  <c r="B429" i="2" l="1"/>
  <c r="G428" i="2"/>
  <c r="H428" i="2" s="1"/>
  <c r="F428" i="2"/>
  <c r="AC428" i="2"/>
  <c r="AE428" i="2"/>
  <c r="U428" i="2"/>
  <c r="C429" i="2" l="1"/>
  <c r="AF429" i="2"/>
  <c r="AD428" i="2"/>
  <c r="L428" i="2" s="1"/>
  <c r="J428" i="2"/>
  <c r="W428" i="2"/>
  <c r="X428" i="2" s="1"/>
  <c r="K428" i="2" l="1"/>
  <c r="I428" i="2"/>
  <c r="D429" i="2"/>
  <c r="E429" i="2" s="1"/>
  <c r="T429" i="2" s="1"/>
  <c r="N428" i="2" l="1"/>
  <c r="M428" i="2" s="1"/>
  <c r="P428" i="2" s="1"/>
  <c r="V429" i="2"/>
  <c r="AG428" i="2" l="1"/>
  <c r="O428" i="2"/>
  <c r="R428" i="2" s="1"/>
  <c r="Q428" i="2" l="1"/>
  <c r="S428" i="2" s="1"/>
  <c r="Z428" i="2" s="1"/>
  <c r="Y428" i="2" l="1"/>
  <c r="AA428" i="2" s="1"/>
  <c r="AB429" i="2" s="1"/>
  <c r="B430" i="2" l="1"/>
  <c r="G429" i="2"/>
  <c r="H429" i="2" s="1"/>
  <c r="F429" i="2"/>
  <c r="AE429" i="2"/>
  <c r="AC429" i="2"/>
  <c r="U429" i="2"/>
  <c r="AF430" i="2" l="1"/>
  <c r="C430" i="2"/>
  <c r="J429" i="2"/>
  <c r="W429" i="2"/>
  <c r="X429" i="2" s="1"/>
  <c r="AD429" i="2"/>
  <c r="L429" i="2" s="1"/>
  <c r="D430" i="2" l="1"/>
  <c r="E430" i="2" s="1"/>
  <c r="T430" i="2" s="1"/>
  <c r="K429" i="2"/>
  <c r="I429" i="2"/>
  <c r="N429" i="2" l="1"/>
  <c r="M429" i="2" s="1"/>
  <c r="P429" i="2" s="1"/>
  <c r="V430" i="2"/>
  <c r="AG429" i="2" l="1"/>
  <c r="O429" i="2"/>
  <c r="R429" i="2" s="1"/>
  <c r="Q429" i="2" l="1"/>
  <c r="S429" i="2" s="1"/>
  <c r="Y429" i="2" s="1"/>
  <c r="AA429" i="2" s="1"/>
  <c r="Z429" i="2" l="1"/>
  <c r="AB430" i="2"/>
  <c r="B431" i="2" l="1"/>
  <c r="G430" i="2"/>
  <c r="H430" i="2" s="1"/>
  <c r="F430" i="2"/>
  <c r="AC430" i="2"/>
  <c r="AE430" i="2"/>
  <c r="U430" i="2"/>
  <c r="AF431" i="2" l="1"/>
  <c r="C431" i="2"/>
  <c r="J430" i="2"/>
  <c r="W430" i="2"/>
  <c r="X430" i="2" s="1"/>
  <c r="AD430" i="2"/>
  <c r="L430" i="2" s="1"/>
  <c r="I430" i="2" l="1"/>
  <c r="D431" i="2"/>
  <c r="E431" i="2" s="1"/>
  <c r="T431" i="2" s="1"/>
  <c r="K430" i="2"/>
  <c r="N430" i="2" l="1"/>
  <c r="M430" i="2" s="1"/>
  <c r="P430" i="2" s="1"/>
  <c r="V431" i="2"/>
  <c r="AG430" i="2" l="1"/>
  <c r="O430" i="2"/>
  <c r="R430" i="2" l="1"/>
  <c r="Q430" i="2"/>
  <c r="S430" i="2" l="1"/>
  <c r="Z430" i="2" s="1"/>
  <c r="Y430" i="2" l="1"/>
  <c r="AA430" i="2" s="1"/>
  <c r="AB431" i="2" s="1"/>
  <c r="B432" i="2" l="1"/>
  <c r="G431" i="2"/>
  <c r="H431" i="2" s="1"/>
  <c r="F431" i="2"/>
  <c r="AC431" i="2"/>
  <c r="AE431" i="2"/>
  <c r="U431" i="2"/>
  <c r="J431" i="2" l="1"/>
  <c r="W431" i="2"/>
  <c r="X431" i="2" s="1"/>
  <c r="AF432" i="2"/>
  <c r="C432" i="2"/>
  <c r="AD431" i="2"/>
  <c r="L431" i="2" s="1"/>
  <c r="D432" i="2" l="1"/>
  <c r="E432" i="2" s="1"/>
  <c r="T432" i="2" s="1"/>
  <c r="K431" i="2"/>
  <c r="I431" i="2"/>
  <c r="N431" i="2" l="1"/>
  <c r="M431" i="2" s="1"/>
  <c r="P431" i="2" s="1"/>
  <c r="V432" i="2"/>
  <c r="AG431" i="2" l="1"/>
  <c r="O431" i="2"/>
  <c r="R431" i="2" s="1"/>
  <c r="Q431" i="2" l="1"/>
  <c r="S431" i="2" s="1"/>
  <c r="Y431" i="2" s="1"/>
  <c r="AA431" i="2" s="1"/>
  <c r="Z431" i="2" l="1"/>
  <c r="AB432" i="2"/>
  <c r="B433" i="2" l="1"/>
  <c r="G432" i="2"/>
  <c r="H432" i="2" s="1"/>
  <c r="F432" i="2"/>
  <c r="AC432" i="2"/>
  <c r="AE432" i="2"/>
  <c r="U432" i="2"/>
  <c r="J432" i="2" l="1"/>
  <c r="W432" i="2"/>
  <c r="X432" i="2" s="1"/>
  <c r="AD432" i="2"/>
  <c r="L432" i="2" s="1"/>
  <c r="AF433" i="2"/>
  <c r="C433" i="2"/>
  <c r="D433" i="2" l="1"/>
  <c r="E433" i="2" s="1"/>
  <c r="T433" i="2" s="1"/>
  <c r="K432" i="2"/>
  <c r="I432" i="2"/>
  <c r="N432" i="2" l="1"/>
  <c r="M432" i="2" s="1"/>
  <c r="P432" i="2" s="1"/>
  <c r="V433" i="2"/>
  <c r="AG432" i="2" l="1"/>
  <c r="O432" i="2"/>
  <c r="R432" i="2" s="1"/>
  <c r="Q432" i="2" l="1"/>
  <c r="S432" i="2" s="1"/>
  <c r="Z432" i="2" s="1"/>
  <c r="Y432" i="2" l="1"/>
  <c r="AA432" i="2" s="1"/>
  <c r="AB433" i="2" s="1"/>
  <c r="B434" i="2" l="1"/>
  <c r="G433" i="2"/>
  <c r="H433" i="2" s="1"/>
  <c r="F433" i="2"/>
  <c r="AE433" i="2"/>
  <c r="AC433" i="2"/>
  <c r="U433" i="2"/>
  <c r="AF434" i="2" l="1"/>
  <c r="C434" i="2"/>
  <c r="J433" i="2"/>
  <c r="W433" i="2"/>
  <c r="X433" i="2" s="1"/>
  <c r="AD433" i="2"/>
  <c r="L433" i="2" s="1"/>
  <c r="D434" i="2" l="1"/>
  <c r="E434" i="2" s="1"/>
  <c r="T434" i="2" s="1"/>
  <c r="K433" i="2"/>
  <c r="I433" i="2"/>
  <c r="N433" i="2" l="1"/>
  <c r="M433" i="2" s="1"/>
  <c r="P433" i="2" s="1"/>
  <c r="V434" i="2"/>
  <c r="AG433" i="2" l="1"/>
  <c r="O433" i="2"/>
  <c r="Q433" i="2" s="1"/>
  <c r="R433" i="2" l="1"/>
  <c r="S433" i="2" s="1"/>
  <c r="Y433" i="2" s="1"/>
  <c r="AA433" i="2" s="1"/>
  <c r="Z433" i="2" l="1"/>
  <c r="AB434" i="2"/>
  <c r="B435" i="2" l="1"/>
  <c r="G434" i="2"/>
  <c r="H434" i="2" s="1"/>
  <c r="F434" i="2"/>
  <c r="AC434" i="2"/>
  <c r="AE434" i="2"/>
  <c r="U434" i="2"/>
  <c r="J434" i="2" l="1"/>
  <c r="W434" i="2"/>
  <c r="X434" i="2" s="1"/>
  <c r="AD434" i="2"/>
  <c r="L434" i="2" s="1"/>
  <c r="AF435" i="2"/>
  <c r="C435" i="2"/>
  <c r="K434" i="2" l="1"/>
  <c r="D435" i="2"/>
  <c r="E435" i="2" s="1"/>
  <c r="T435" i="2" s="1"/>
  <c r="I434" i="2"/>
  <c r="N434" i="2" l="1"/>
  <c r="M434" i="2" s="1"/>
  <c r="P434" i="2" s="1"/>
  <c r="V435" i="2"/>
  <c r="AG434" i="2" l="1"/>
  <c r="O434" i="2"/>
  <c r="Q434" i="2" s="1"/>
  <c r="R434" i="2" l="1"/>
  <c r="S434" i="2" s="1"/>
  <c r="Z434" i="2" s="1"/>
  <c r="Y434" i="2" l="1"/>
  <c r="AA434" i="2" s="1"/>
  <c r="AB435" i="2" s="1"/>
  <c r="B436" i="2" l="1"/>
  <c r="G435" i="2"/>
  <c r="H435" i="2" s="1"/>
  <c r="F435" i="2"/>
  <c r="AE435" i="2"/>
  <c r="AC435" i="2"/>
  <c r="U435" i="2"/>
  <c r="AF436" i="2" l="1"/>
  <c r="C436" i="2"/>
  <c r="J435" i="2"/>
  <c r="W435" i="2"/>
  <c r="X435" i="2" s="1"/>
  <c r="AD435" i="2"/>
  <c r="L435" i="2" s="1"/>
  <c r="K435" i="2" l="1"/>
  <c r="D436" i="2"/>
  <c r="E436" i="2" s="1"/>
  <c r="T436" i="2" s="1"/>
  <c r="I435" i="2"/>
  <c r="N435" i="2" l="1"/>
  <c r="M435" i="2" s="1"/>
  <c r="P435" i="2" s="1"/>
  <c r="V436" i="2"/>
  <c r="AG435" i="2" l="1"/>
  <c r="O435" i="2"/>
  <c r="Q435" i="2" s="1"/>
  <c r="R435" i="2" l="1"/>
  <c r="S435" i="2" s="1"/>
  <c r="Y435" i="2" l="1"/>
  <c r="AA435" i="2" s="1"/>
  <c r="AB436" i="2" s="1"/>
  <c r="Z435" i="2"/>
  <c r="B437" i="2" l="1"/>
  <c r="G436" i="2"/>
  <c r="H436" i="2" s="1"/>
  <c r="F436" i="2"/>
  <c r="AC436" i="2"/>
  <c r="AE436" i="2"/>
  <c r="U436" i="2"/>
  <c r="J436" i="2" l="1"/>
  <c r="W436" i="2"/>
  <c r="X436" i="2" s="1"/>
  <c r="AD436" i="2"/>
  <c r="L436" i="2" s="1"/>
  <c r="AF437" i="2"/>
  <c r="C437" i="2"/>
  <c r="D437" i="2" l="1"/>
  <c r="E437" i="2" s="1"/>
  <c r="T437" i="2" s="1"/>
  <c r="K436" i="2"/>
  <c r="I436" i="2"/>
  <c r="N436" i="2" l="1"/>
  <c r="M436" i="2" s="1"/>
  <c r="P436" i="2" s="1"/>
  <c r="V437" i="2"/>
  <c r="AG436" i="2" l="1"/>
  <c r="O436" i="2"/>
  <c r="Q436" i="2" s="1"/>
  <c r="R436" i="2" l="1"/>
  <c r="S436" i="2" s="1"/>
  <c r="Y436" i="2" s="1"/>
  <c r="AA436" i="2" s="1"/>
  <c r="Z436" i="2" l="1"/>
  <c r="AB437" i="2"/>
  <c r="B438" i="2" l="1"/>
  <c r="G437" i="2"/>
  <c r="H437" i="2" s="1"/>
  <c r="F437" i="2"/>
  <c r="AE437" i="2"/>
  <c r="AC437" i="2"/>
  <c r="U437" i="2"/>
  <c r="AF438" i="2" l="1"/>
  <c r="C438" i="2"/>
  <c r="J437" i="2"/>
  <c r="W437" i="2"/>
  <c r="X437" i="2" s="1"/>
  <c r="AD437" i="2"/>
  <c r="L437" i="2" s="1"/>
  <c r="I437" i="2" l="1"/>
  <c r="D438" i="2"/>
  <c r="E438" i="2" s="1"/>
  <c r="T438" i="2" s="1"/>
  <c r="K437" i="2"/>
  <c r="V438" i="2" l="1"/>
  <c r="N437" i="2"/>
  <c r="M437" i="2" s="1"/>
  <c r="P437" i="2" s="1"/>
  <c r="AG437" i="2" l="1"/>
  <c r="O437" i="2"/>
  <c r="R437" i="2" l="1"/>
  <c r="Q437" i="2"/>
  <c r="S437" i="2" l="1"/>
  <c r="Z437" i="2" s="1"/>
  <c r="Y437" i="2" l="1"/>
  <c r="AA437" i="2" s="1"/>
  <c r="AB438" i="2" s="1"/>
  <c r="B439" i="2" l="1"/>
  <c r="G438" i="2"/>
  <c r="H438" i="2" s="1"/>
  <c r="F438" i="2"/>
  <c r="AE438" i="2"/>
  <c r="AC438" i="2"/>
  <c r="U438" i="2"/>
  <c r="AF439" i="2" l="1"/>
  <c r="C439" i="2"/>
  <c r="J438" i="2"/>
  <c r="W438" i="2"/>
  <c r="X438" i="2" s="1"/>
  <c r="AD438" i="2"/>
  <c r="L438" i="2" s="1"/>
  <c r="K438" i="2" l="1"/>
  <c r="D439" i="2"/>
  <c r="E439" i="2" s="1"/>
  <c r="T439" i="2" s="1"/>
  <c r="I438" i="2"/>
  <c r="N438" i="2" l="1"/>
  <c r="M438" i="2" s="1"/>
  <c r="P438" i="2" s="1"/>
  <c r="V439" i="2"/>
  <c r="AG438" i="2" l="1"/>
  <c r="O438" i="2"/>
  <c r="R438" i="2" s="1"/>
  <c r="Q438" i="2" l="1"/>
  <c r="S438" i="2" s="1"/>
  <c r="Y438" i="2" s="1"/>
  <c r="AA438" i="2" s="1"/>
  <c r="Z438" i="2" l="1"/>
  <c r="AB439" i="2"/>
  <c r="B440" i="2" l="1"/>
  <c r="G439" i="2"/>
  <c r="H439" i="2" s="1"/>
  <c r="F439" i="2"/>
  <c r="AC439" i="2"/>
  <c r="AE439" i="2"/>
  <c r="U439" i="2"/>
  <c r="AF440" i="2" l="1"/>
  <c r="C440" i="2"/>
  <c r="J439" i="2"/>
  <c r="W439" i="2"/>
  <c r="X439" i="2" s="1"/>
  <c r="AD439" i="2"/>
  <c r="L439" i="2" s="1"/>
  <c r="K439" i="2" l="1"/>
  <c r="D440" i="2"/>
  <c r="E440" i="2" s="1"/>
  <c r="T440" i="2" s="1"/>
  <c r="I439" i="2"/>
  <c r="N439" i="2" l="1"/>
  <c r="M439" i="2" s="1"/>
  <c r="P439" i="2" s="1"/>
  <c r="V440" i="2"/>
  <c r="AG439" i="2" l="1"/>
  <c r="O439" i="2"/>
  <c r="Q439" i="2" s="1"/>
  <c r="R439" i="2" l="1"/>
  <c r="S439" i="2" s="1"/>
  <c r="Y439" i="2" s="1"/>
  <c r="AA439" i="2" s="1"/>
  <c r="Z439" i="2" l="1"/>
  <c r="AB440" i="2"/>
  <c r="B441" i="2" l="1"/>
  <c r="G440" i="2"/>
  <c r="H440" i="2" s="1"/>
  <c r="F440" i="2"/>
  <c r="AC440" i="2"/>
  <c r="AE440" i="2"/>
  <c r="U440" i="2"/>
  <c r="AD440" i="2" l="1"/>
  <c r="L440" i="2" s="1"/>
  <c r="AF441" i="2"/>
  <c r="C441" i="2"/>
  <c r="J440" i="2"/>
  <c r="W440" i="2"/>
  <c r="X440" i="2" s="1"/>
  <c r="I440" i="2" l="1"/>
  <c r="K440" i="2"/>
  <c r="D441" i="2"/>
  <c r="E441" i="2" s="1"/>
  <c r="T441" i="2" s="1"/>
  <c r="N440" i="2" l="1"/>
  <c r="M440" i="2" s="1"/>
  <c r="P440" i="2" s="1"/>
  <c r="V441" i="2"/>
  <c r="AG440" i="2" l="1"/>
  <c r="O440" i="2"/>
  <c r="R440" i="2" s="1"/>
  <c r="Q440" i="2" l="1"/>
  <c r="S440" i="2" s="1"/>
  <c r="Z440" i="2" s="1"/>
  <c r="Y440" i="2" l="1"/>
  <c r="AA440" i="2" s="1"/>
  <c r="AB441" i="2" s="1"/>
  <c r="B442" i="2" l="1"/>
  <c r="G441" i="2"/>
  <c r="H441" i="2" s="1"/>
  <c r="F441" i="2"/>
  <c r="AC441" i="2"/>
  <c r="AE441" i="2"/>
  <c r="U441" i="2"/>
  <c r="AF442" i="2" l="1"/>
  <c r="C442" i="2"/>
  <c r="J441" i="2"/>
  <c r="W441" i="2"/>
  <c r="X441" i="2" s="1"/>
  <c r="AD441" i="2"/>
  <c r="L441" i="2" s="1"/>
  <c r="I441" i="2" l="1"/>
  <c r="D442" i="2"/>
  <c r="E442" i="2" s="1"/>
  <c r="T442" i="2" s="1"/>
  <c r="K441" i="2"/>
  <c r="V442" i="2" l="1"/>
  <c r="N441" i="2"/>
  <c r="M441" i="2" s="1"/>
  <c r="P441" i="2" s="1"/>
  <c r="AG441" i="2" l="1"/>
  <c r="O441" i="2"/>
  <c r="R441" i="2" l="1"/>
  <c r="Q441" i="2"/>
  <c r="S441" i="2" l="1"/>
  <c r="Z441" i="2" s="1"/>
  <c r="Y441" i="2" l="1"/>
  <c r="AA441" i="2" s="1"/>
  <c r="AB442" i="2" s="1"/>
  <c r="B443" i="2" l="1"/>
  <c r="G442" i="2"/>
  <c r="H442" i="2" s="1"/>
  <c r="F442" i="2"/>
  <c r="AC442" i="2"/>
  <c r="AE442" i="2"/>
  <c r="U442" i="2"/>
  <c r="AF443" i="2" l="1"/>
  <c r="C443" i="2"/>
  <c r="J442" i="2"/>
  <c r="W442" i="2"/>
  <c r="X442" i="2" s="1"/>
  <c r="AD442" i="2"/>
  <c r="L442" i="2" s="1"/>
  <c r="I442" i="2" l="1"/>
  <c r="D443" i="2"/>
  <c r="E443" i="2" s="1"/>
  <c r="T443" i="2" s="1"/>
  <c r="K442" i="2"/>
  <c r="V443" i="2" l="1"/>
  <c r="N442" i="2"/>
  <c r="M442" i="2" s="1"/>
  <c r="P442" i="2" s="1"/>
  <c r="AG442" i="2" l="1"/>
  <c r="O442" i="2"/>
  <c r="R442" i="2" l="1"/>
  <c r="Q442" i="2"/>
  <c r="S442" i="2" l="1"/>
  <c r="Z442" i="2" s="1"/>
  <c r="Y442" i="2" l="1"/>
  <c r="AA442" i="2" s="1"/>
  <c r="AB443" i="2" s="1"/>
  <c r="B444" i="2" l="1"/>
  <c r="G443" i="2"/>
  <c r="H443" i="2" s="1"/>
  <c r="F443" i="2"/>
  <c r="AE443" i="2"/>
  <c r="AC443" i="2"/>
  <c r="U443" i="2"/>
  <c r="AF444" i="2" l="1"/>
  <c r="C444" i="2"/>
  <c r="J443" i="2"/>
  <c r="W443" i="2"/>
  <c r="X443" i="2" s="1"/>
  <c r="AD443" i="2"/>
  <c r="L443" i="2" s="1"/>
  <c r="D444" i="2" l="1"/>
  <c r="E444" i="2" s="1"/>
  <c r="T444" i="2" s="1"/>
  <c r="K443" i="2"/>
  <c r="I443" i="2"/>
  <c r="N443" i="2" l="1"/>
  <c r="M443" i="2" s="1"/>
  <c r="P443" i="2" s="1"/>
  <c r="V444" i="2"/>
  <c r="AG443" i="2" l="1"/>
  <c r="O443" i="2"/>
  <c r="Q443" i="2" s="1"/>
  <c r="R443" i="2" l="1"/>
  <c r="S443" i="2" s="1"/>
  <c r="Y443" i="2" s="1"/>
  <c r="AA443" i="2" s="1"/>
  <c r="Z443" i="2" l="1"/>
  <c r="AB444" i="2"/>
  <c r="B445" i="2" l="1"/>
  <c r="G444" i="2"/>
  <c r="H444" i="2" s="1"/>
  <c r="F444" i="2"/>
  <c r="AC444" i="2"/>
  <c r="AE444" i="2"/>
  <c r="U444" i="2"/>
  <c r="AF445" i="2" l="1"/>
  <c r="C445" i="2"/>
  <c r="AD444" i="2"/>
  <c r="L444" i="2" s="1"/>
  <c r="J444" i="2"/>
  <c r="W444" i="2"/>
  <c r="X444" i="2" s="1"/>
  <c r="I444" i="2" l="1"/>
  <c r="K444" i="2"/>
  <c r="D445" i="2"/>
  <c r="E445" i="2" s="1"/>
  <c r="T445" i="2" s="1"/>
  <c r="V445" i="2" l="1"/>
  <c r="N444" i="2"/>
  <c r="M444" i="2" s="1"/>
  <c r="P444" i="2" s="1"/>
  <c r="AG444" i="2" l="1"/>
  <c r="O444" i="2"/>
  <c r="R444" i="2" l="1"/>
  <c r="Q444" i="2"/>
  <c r="S444" i="2" l="1"/>
  <c r="Z444" i="2" s="1"/>
  <c r="Y444" i="2" l="1"/>
  <c r="AA444" i="2" s="1"/>
  <c r="AB445" i="2" s="1"/>
  <c r="B446" i="2" l="1"/>
  <c r="G445" i="2"/>
  <c r="H445" i="2" s="1"/>
  <c r="F445" i="2"/>
  <c r="AE445" i="2"/>
  <c r="AC445" i="2"/>
  <c r="U445" i="2"/>
  <c r="J445" i="2" l="1"/>
  <c r="W445" i="2"/>
  <c r="X445" i="2" s="1"/>
  <c r="AF446" i="2"/>
  <c r="C446" i="2"/>
  <c r="AD445" i="2"/>
  <c r="L445" i="2" s="1"/>
  <c r="K445" i="2" l="1"/>
  <c r="D446" i="2"/>
  <c r="E446" i="2" s="1"/>
  <c r="T446" i="2" s="1"/>
  <c r="I445" i="2"/>
  <c r="N445" i="2" l="1"/>
  <c r="M445" i="2" s="1"/>
  <c r="P445" i="2" s="1"/>
  <c r="V446" i="2"/>
  <c r="AG445" i="2" l="1"/>
  <c r="O445" i="2"/>
  <c r="R445" i="2" s="1"/>
  <c r="Q445" i="2" l="1"/>
  <c r="S445" i="2" s="1"/>
  <c r="Y445" i="2" s="1"/>
  <c r="AA445" i="2" s="1"/>
  <c r="Z445" i="2" l="1"/>
  <c r="AB446" i="2"/>
  <c r="B447" i="2" l="1"/>
  <c r="G446" i="2"/>
  <c r="H446" i="2" s="1"/>
  <c r="F446" i="2"/>
  <c r="AE446" i="2"/>
  <c r="AC446" i="2"/>
  <c r="U446" i="2"/>
  <c r="J446" i="2" l="1"/>
  <c r="W446" i="2"/>
  <c r="X446" i="2" s="1"/>
  <c r="C447" i="2"/>
  <c r="AF447" i="2"/>
  <c r="AD446" i="2"/>
  <c r="L446" i="2" s="1"/>
  <c r="K446" i="2" l="1"/>
  <c r="D447" i="2"/>
  <c r="E447" i="2" s="1"/>
  <c r="T447" i="2" s="1"/>
  <c r="I446" i="2"/>
  <c r="N446" i="2" l="1"/>
  <c r="M446" i="2" s="1"/>
  <c r="P446" i="2" s="1"/>
  <c r="V447" i="2"/>
  <c r="AG446" i="2" l="1"/>
  <c r="O446" i="2"/>
  <c r="Q446" i="2" s="1"/>
  <c r="R446" i="2" l="1"/>
  <c r="S446" i="2" s="1"/>
  <c r="Y446" i="2" s="1"/>
  <c r="AA446" i="2" s="1"/>
  <c r="Z446" i="2" l="1"/>
  <c r="AB447" i="2"/>
  <c r="B448" i="2" l="1"/>
  <c r="G447" i="2"/>
  <c r="H447" i="2" s="1"/>
  <c r="F447" i="2"/>
  <c r="AE447" i="2"/>
  <c r="AC447" i="2"/>
  <c r="U447" i="2"/>
  <c r="J447" i="2" l="1"/>
  <c r="W447" i="2"/>
  <c r="X447" i="2" s="1"/>
  <c r="AF448" i="2"/>
  <c r="C448" i="2"/>
  <c r="AD447" i="2"/>
  <c r="L447" i="2" s="1"/>
  <c r="D448" i="2" l="1"/>
  <c r="E448" i="2" s="1"/>
  <c r="T448" i="2" s="1"/>
  <c r="K447" i="2"/>
  <c r="I447" i="2"/>
  <c r="N447" i="2" l="1"/>
  <c r="M447" i="2" s="1"/>
  <c r="P447" i="2" s="1"/>
  <c r="V448" i="2"/>
  <c r="AG447" i="2" l="1"/>
  <c r="O447" i="2"/>
  <c r="Q447" i="2" s="1"/>
  <c r="R447" i="2" l="1"/>
  <c r="S447" i="2" s="1"/>
  <c r="Z447" i="2" s="1"/>
  <c r="Y447" i="2" l="1"/>
  <c r="AA447" i="2" s="1"/>
  <c r="AB448" i="2" s="1"/>
  <c r="B449" i="2" l="1"/>
  <c r="G448" i="2"/>
  <c r="H448" i="2" s="1"/>
  <c r="F448" i="2"/>
  <c r="AE448" i="2"/>
  <c r="AC448" i="2"/>
  <c r="U448" i="2"/>
  <c r="AF449" i="2" l="1"/>
  <c r="C449" i="2"/>
  <c r="AD448" i="2"/>
  <c r="L448" i="2" s="1"/>
  <c r="J448" i="2"/>
  <c r="W448" i="2"/>
  <c r="X448" i="2" s="1"/>
  <c r="I448" i="2" l="1"/>
  <c r="D449" i="2"/>
  <c r="E449" i="2" s="1"/>
  <c r="T449" i="2" s="1"/>
  <c r="K448" i="2"/>
  <c r="V449" i="2" l="1"/>
  <c r="N448" i="2"/>
  <c r="M448" i="2" s="1"/>
  <c r="P448" i="2" s="1"/>
  <c r="AG448" i="2" l="1"/>
  <c r="O448" i="2"/>
  <c r="R448" i="2" l="1"/>
  <c r="Q448" i="2"/>
  <c r="S448" i="2" l="1"/>
  <c r="Z448" i="2" s="1"/>
  <c r="Y448" i="2" l="1"/>
  <c r="AA448" i="2" s="1"/>
  <c r="AB449" i="2" s="1"/>
  <c r="B450" i="2" l="1"/>
  <c r="G449" i="2"/>
  <c r="H449" i="2" s="1"/>
  <c r="F449" i="2"/>
  <c r="AC449" i="2"/>
  <c r="AE449" i="2"/>
  <c r="U449" i="2"/>
  <c r="AF450" i="2" l="1"/>
  <c r="C450" i="2"/>
  <c r="J449" i="2"/>
  <c r="W449" i="2"/>
  <c r="X449" i="2" s="1"/>
  <c r="AD449" i="2"/>
  <c r="L449" i="2" s="1"/>
  <c r="K449" i="2" l="1"/>
  <c r="D450" i="2"/>
  <c r="E450" i="2" s="1"/>
  <c r="T450" i="2" s="1"/>
  <c r="I449" i="2"/>
  <c r="N449" i="2" l="1"/>
  <c r="M449" i="2" s="1"/>
  <c r="P449" i="2" s="1"/>
  <c r="V450" i="2"/>
  <c r="AG449" i="2" l="1"/>
  <c r="O449" i="2"/>
  <c r="Q449" i="2" s="1"/>
  <c r="R449" i="2" l="1"/>
  <c r="S449" i="2" s="1"/>
  <c r="Y449" i="2" l="1"/>
  <c r="AA449" i="2" s="1"/>
  <c r="AB450" i="2" s="1"/>
  <c r="Z449" i="2"/>
  <c r="B451" i="2" l="1"/>
  <c r="G450" i="2"/>
  <c r="H450" i="2" s="1"/>
  <c r="F450" i="2"/>
  <c r="AC450" i="2"/>
  <c r="AE450" i="2"/>
  <c r="U450" i="2"/>
  <c r="AD450" i="2" l="1"/>
  <c r="L450" i="2" s="1"/>
  <c r="C451" i="2"/>
  <c r="AF451" i="2"/>
  <c r="J450" i="2"/>
  <c r="W450" i="2"/>
  <c r="X450" i="2" s="1"/>
  <c r="I450" i="2" l="1"/>
  <c r="K450" i="2"/>
  <c r="D451" i="2"/>
  <c r="E451" i="2" s="1"/>
  <c r="T451" i="2" s="1"/>
  <c r="N450" i="2" l="1"/>
  <c r="M450" i="2" s="1"/>
  <c r="P450" i="2" s="1"/>
  <c r="V451" i="2"/>
  <c r="AG450" i="2" l="1"/>
  <c r="O450" i="2"/>
  <c r="R450" i="2" s="1"/>
  <c r="Q450" i="2" l="1"/>
  <c r="S450" i="2" s="1"/>
  <c r="Y450" i="2" l="1"/>
  <c r="AA450" i="2" s="1"/>
  <c r="Z450" i="2"/>
  <c r="AB451" i="2" l="1"/>
  <c r="B452" i="2" l="1"/>
  <c r="G451" i="2"/>
  <c r="H451" i="2" s="1"/>
  <c r="F451" i="2"/>
  <c r="AC451" i="2"/>
  <c r="AE451" i="2"/>
  <c r="U451" i="2"/>
  <c r="AF452" i="2" l="1"/>
  <c r="C452" i="2"/>
  <c r="J451" i="2"/>
  <c r="W451" i="2"/>
  <c r="X451" i="2" s="1"/>
  <c r="AD451" i="2"/>
  <c r="L451" i="2" s="1"/>
  <c r="I451" i="2" l="1"/>
  <c r="D452" i="2"/>
  <c r="E452" i="2" s="1"/>
  <c r="T452" i="2" s="1"/>
  <c r="K451" i="2"/>
  <c r="V452" i="2" l="1"/>
  <c r="N451" i="2"/>
  <c r="M451" i="2" s="1"/>
  <c r="P451" i="2" s="1"/>
  <c r="AG451" i="2" l="1"/>
  <c r="O451" i="2"/>
  <c r="R451" i="2" l="1"/>
  <c r="Q451" i="2"/>
  <c r="S451" i="2" l="1"/>
  <c r="Y451" i="2" s="1"/>
  <c r="AA451" i="2" s="1"/>
  <c r="Z451" i="2" l="1"/>
  <c r="AB452" i="2"/>
  <c r="B453" i="2" l="1"/>
  <c r="G452" i="2"/>
  <c r="H452" i="2" s="1"/>
  <c r="F452" i="2"/>
  <c r="AC452" i="2"/>
  <c r="AE452" i="2"/>
  <c r="U452" i="2"/>
  <c r="AD452" i="2" l="1"/>
  <c r="L452" i="2" s="1"/>
  <c r="AF453" i="2"/>
  <c r="C453" i="2"/>
  <c r="J452" i="2"/>
  <c r="W452" i="2"/>
  <c r="X452" i="2" s="1"/>
  <c r="K452" i="2" l="1"/>
  <c r="I452" i="2"/>
  <c r="D453" i="2"/>
  <c r="E453" i="2" s="1"/>
  <c r="T453" i="2" s="1"/>
  <c r="V453" i="2" l="1"/>
  <c r="N452" i="2"/>
  <c r="M452" i="2" s="1"/>
  <c r="P452" i="2" s="1"/>
  <c r="AG452" i="2" l="1"/>
  <c r="O452" i="2"/>
  <c r="Q452" i="2" l="1"/>
  <c r="R452" i="2"/>
  <c r="S452" i="2" l="1"/>
  <c r="Y452" i="2" l="1"/>
  <c r="AA452" i="2" s="1"/>
  <c r="Z452" i="2"/>
  <c r="AB453" i="2" l="1"/>
  <c r="B454" i="2" l="1"/>
  <c r="G453" i="2"/>
  <c r="H453" i="2" s="1"/>
  <c r="F453" i="2"/>
  <c r="AC453" i="2"/>
  <c r="AE453" i="2"/>
  <c r="U453" i="2"/>
  <c r="AF454" i="2" l="1"/>
  <c r="C454" i="2"/>
  <c r="J453" i="2"/>
  <c r="W453" i="2"/>
  <c r="X453" i="2" s="1"/>
  <c r="AD453" i="2"/>
  <c r="L453" i="2" s="1"/>
  <c r="K453" i="2" l="1"/>
  <c r="D454" i="2"/>
  <c r="E454" i="2" s="1"/>
  <c r="T454" i="2" s="1"/>
  <c r="I453" i="2"/>
  <c r="N453" i="2" l="1"/>
  <c r="M453" i="2" s="1"/>
  <c r="P453" i="2" s="1"/>
  <c r="V454" i="2"/>
  <c r="AG453" i="2" l="1"/>
  <c r="O453" i="2"/>
  <c r="R453" i="2" s="1"/>
  <c r="Q453" i="2" l="1"/>
  <c r="S453" i="2" s="1"/>
  <c r="Y453" i="2" l="1"/>
  <c r="AA453" i="2" s="1"/>
  <c r="Z453" i="2"/>
  <c r="AB454" i="2" l="1"/>
  <c r="B455" i="2" l="1"/>
  <c r="G454" i="2"/>
  <c r="H454" i="2" s="1"/>
  <c r="F454" i="2"/>
  <c r="AC454" i="2"/>
  <c r="AE454" i="2"/>
  <c r="U454" i="2"/>
  <c r="AD454" i="2" l="1"/>
  <c r="L454" i="2" s="1"/>
  <c r="AF455" i="2"/>
  <c r="C455" i="2"/>
  <c r="J454" i="2"/>
  <c r="W454" i="2"/>
  <c r="X454" i="2" s="1"/>
  <c r="K454" i="2" l="1"/>
  <c r="D455" i="2"/>
  <c r="E455" i="2" s="1"/>
  <c r="T455" i="2" s="1"/>
  <c r="I454" i="2"/>
  <c r="V455" i="2" l="1"/>
  <c r="N454" i="2"/>
  <c r="M454" i="2" s="1"/>
  <c r="P454" i="2" s="1"/>
  <c r="AG454" i="2" l="1"/>
  <c r="O454" i="2"/>
  <c r="R454" i="2" l="1"/>
  <c r="Q454" i="2"/>
  <c r="S454" i="2" l="1"/>
  <c r="Y454" i="2" s="1"/>
  <c r="AA454" i="2" s="1"/>
  <c r="Z454" i="2" l="1"/>
  <c r="AB455" i="2"/>
  <c r="B456" i="2" l="1"/>
  <c r="G455" i="2"/>
  <c r="H455" i="2" s="1"/>
  <c r="F455" i="2"/>
  <c r="AE455" i="2"/>
  <c r="AC455" i="2"/>
  <c r="U455" i="2"/>
  <c r="J455" i="2" l="1"/>
  <c r="W455" i="2"/>
  <c r="X455" i="2" s="1"/>
  <c r="AF456" i="2"/>
  <c r="C456" i="2"/>
  <c r="AD455" i="2"/>
  <c r="L455" i="2" s="1"/>
  <c r="K455" i="2" l="1"/>
  <c r="D456" i="2"/>
  <c r="E456" i="2" s="1"/>
  <c r="T456" i="2" s="1"/>
  <c r="I455" i="2"/>
  <c r="N455" i="2" l="1"/>
  <c r="M455" i="2" s="1"/>
  <c r="P455" i="2" s="1"/>
  <c r="V456" i="2"/>
  <c r="AG455" i="2" l="1"/>
  <c r="O455" i="2"/>
  <c r="R455" i="2" s="1"/>
  <c r="Q455" i="2" l="1"/>
  <c r="S455" i="2" s="1"/>
  <c r="Z455" i="2" s="1"/>
  <c r="Y455" i="2" l="1"/>
  <c r="AA455" i="2" s="1"/>
  <c r="AB456" i="2" s="1"/>
  <c r="B457" i="2" l="1"/>
  <c r="G456" i="2"/>
  <c r="H456" i="2" s="1"/>
  <c r="F456" i="2"/>
  <c r="AE456" i="2"/>
  <c r="AC456" i="2"/>
  <c r="U456" i="2"/>
  <c r="C457" i="2" l="1"/>
  <c r="AF457" i="2"/>
  <c r="J456" i="2"/>
  <c r="W456" i="2"/>
  <c r="X456" i="2" s="1"/>
  <c r="AD456" i="2"/>
  <c r="L456" i="2" s="1"/>
  <c r="I456" i="2" l="1"/>
  <c r="K456" i="2"/>
  <c r="D457" i="2"/>
  <c r="E457" i="2" s="1"/>
  <c r="T457" i="2" s="1"/>
  <c r="V457" i="2" l="1"/>
  <c r="N456" i="2"/>
  <c r="M456" i="2" s="1"/>
  <c r="P456" i="2" s="1"/>
  <c r="AG456" i="2" l="1"/>
  <c r="O456" i="2"/>
  <c r="R456" i="2" l="1"/>
  <c r="Q456" i="2"/>
  <c r="S456" i="2" l="1"/>
  <c r="Z456" i="2" s="1"/>
  <c r="Y456" i="2" l="1"/>
  <c r="AA456" i="2" s="1"/>
  <c r="AB457" i="2" s="1"/>
  <c r="B458" i="2" l="1"/>
  <c r="G457" i="2"/>
  <c r="H457" i="2" s="1"/>
  <c r="F457" i="2"/>
  <c r="AC457" i="2"/>
  <c r="AE457" i="2"/>
  <c r="U457" i="2"/>
  <c r="AD457" i="2" l="1"/>
  <c r="L457" i="2" s="1"/>
  <c r="AF458" i="2"/>
  <c r="C458" i="2"/>
  <c r="J457" i="2"/>
  <c r="W457" i="2"/>
  <c r="X457" i="2" s="1"/>
  <c r="I457" i="2" l="1"/>
  <c r="D458" i="2"/>
  <c r="E458" i="2" s="1"/>
  <c r="T458" i="2" s="1"/>
  <c r="K457" i="2"/>
  <c r="N457" i="2" l="1"/>
  <c r="M457" i="2" s="1"/>
  <c r="P457" i="2" s="1"/>
  <c r="V458" i="2"/>
  <c r="AG457" i="2" l="1"/>
  <c r="O457" i="2"/>
  <c r="R457" i="2" s="1"/>
  <c r="Q457" i="2" l="1"/>
  <c r="S457" i="2" s="1"/>
  <c r="Y457" i="2" l="1"/>
  <c r="AA457" i="2" s="1"/>
  <c r="Z457" i="2"/>
  <c r="AB458" i="2" l="1"/>
  <c r="B459" i="2" l="1"/>
  <c r="G458" i="2"/>
  <c r="H458" i="2" s="1"/>
  <c r="F458" i="2"/>
  <c r="AC458" i="2"/>
  <c r="AE458" i="2"/>
  <c r="U458" i="2"/>
  <c r="J458" i="2" l="1"/>
  <c r="W458" i="2"/>
  <c r="X458" i="2" s="1"/>
  <c r="AF459" i="2"/>
  <c r="C459" i="2"/>
  <c r="AD458" i="2"/>
  <c r="L458" i="2" s="1"/>
  <c r="D459" i="2" l="1"/>
  <c r="E459" i="2" s="1"/>
  <c r="T459" i="2" s="1"/>
  <c r="K458" i="2"/>
  <c r="I458" i="2"/>
  <c r="N458" i="2" l="1"/>
  <c r="M458" i="2" s="1"/>
  <c r="P458" i="2" s="1"/>
  <c r="V459" i="2"/>
  <c r="AG458" i="2" l="1"/>
  <c r="O458" i="2"/>
  <c r="R458" i="2" s="1"/>
  <c r="Q458" i="2" l="1"/>
  <c r="S458" i="2" s="1"/>
  <c r="Y458" i="2" s="1"/>
  <c r="AA458" i="2" s="1"/>
  <c r="Z458" i="2" l="1"/>
  <c r="AB459" i="2"/>
  <c r="B460" i="2" l="1"/>
  <c r="G459" i="2"/>
  <c r="H459" i="2" s="1"/>
  <c r="F459" i="2"/>
  <c r="AC459" i="2"/>
  <c r="AE459" i="2"/>
  <c r="U459" i="2"/>
  <c r="C460" i="2" l="1"/>
  <c r="AF460" i="2"/>
  <c r="J459" i="2"/>
  <c r="W459" i="2"/>
  <c r="X459" i="2" s="1"/>
  <c r="AD459" i="2"/>
  <c r="L459" i="2" s="1"/>
  <c r="I459" i="2" l="1"/>
  <c r="K459" i="2"/>
  <c r="D460" i="2"/>
  <c r="E460" i="2" s="1"/>
  <c r="T460" i="2" s="1"/>
  <c r="V460" i="2" l="1"/>
  <c r="N459" i="2"/>
  <c r="M459" i="2" s="1"/>
  <c r="P459" i="2" s="1"/>
  <c r="AG459" i="2" l="1"/>
  <c r="O459" i="2"/>
  <c r="R459" i="2" l="1"/>
  <c r="Q459" i="2"/>
  <c r="S459" i="2" l="1"/>
  <c r="Z459" i="2" s="1"/>
  <c r="Y459" i="2" l="1"/>
  <c r="AA459" i="2" s="1"/>
  <c r="AB460" i="2" s="1"/>
  <c r="B461" i="2" l="1"/>
  <c r="G460" i="2"/>
  <c r="H460" i="2" s="1"/>
  <c r="F460" i="2"/>
  <c r="AC460" i="2"/>
  <c r="AE460" i="2"/>
  <c r="U460" i="2"/>
  <c r="J460" i="2" l="1"/>
  <c r="W460" i="2"/>
  <c r="X460" i="2" s="1"/>
  <c r="AD460" i="2"/>
  <c r="L460" i="2" s="1"/>
  <c r="AF461" i="2"/>
  <c r="C461" i="2"/>
  <c r="K460" i="2" l="1"/>
  <c r="D461" i="2"/>
  <c r="E461" i="2" s="1"/>
  <c r="T461" i="2" s="1"/>
  <c r="I460" i="2"/>
  <c r="N460" i="2" l="1"/>
  <c r="M460" i="2" s="1"/>
  <c r="P460" i="2" s="1"/>
  <c r="V461" i="2"/>
  <c r="AG460" i="2" l="1"/>
  <c r="O460" i="2"/>
  <c r="R460" i="2" s="1"/>
  <c r="Q460" i="2" l="1"/>
  <c r="S460" i="2" s="1"/>
  <c r="Y460" i="2" s="1"/>
  <c r="AA460" i="2" s="1"/>
  <c r="Z460" i="2" l="1"/>
  <c r="AB461" i="2"/>
  <c r="B462" i="2" l="1"/>
  <c r="G461" i="2"/>
  <c r="H461" i="2" s="1"/>
  <c r="F461" i="2"/>
  <c r="AE461" i="2"/>
  <c r="AC461" i="2"/>
  <c r="U461" i="2"/>
  <c r="AF462" i="2" l="1"/>
  <c r="C462" i="2"/>
  <c r="J461" i="2"/>
  <c r="W461" i="2"/>
  <c r="X461" i="2" s="1"/>
  <c r="AD461" i="2"/>
  <c r="L461" i="2" s="1"/>
  <c r="I461" i="2" l="1"/>
  <c r="D462" i="2"/>
  <c r="E462" i="2" s="1"/>
  <c r="T462" i="2" s="1"/>
  <c r="K461" i="2"/>
  <c r="N461" i="2" l="1"/>
  <c r="M461" i="2" s="1"/>
  <c r="P461" i="2" s="1"/>
  <c r="V462" i="2"/>
  <c r="AG461" i="2" l="1"/>
  <c r="O461" i="2"/>
  <c r="R461" i="2" l="1"/>
  <c r="Q461" i="2"/>
  <c r="S461" i="2" l="1"/>
  <c r="Y461" i="2" s="1"/>
  <c r="AA461" i="2" s="1"/>
  <c r="Z461" i="2" l="1"/>
  <c r="AB462" i="2"/>
  <c r="B463" i="2" l="1"/>
  <c r="G462" i="2"/>
  <c r="H462" i="2" s="1"/>
  <c r="F462" i="2"/>
  <c r="AE462" i="2"/>
  <c r="AC462" i="2"/>
  <c r="U462" i="2"/>
  <c r="AF463" i="2" l="1"/>
  <c r="C463" i="2"/>
  <c r="AD462" i="2"/>
  <c r="L462" i="2" s="1"/>
  <c r="J462" i="2"/>
  <c r="W462" i="2"/>
  <c r="X462" i="2" s="1"/>
  <c r="I462" i="2" l="1"/>
  <c r="D463" i="2"/>
  <c r="E463" i="2" s="1"/>
  <c r="T463" i="2" s="1"/>
  <c r="K462" i="2"/>
  <c r="V463" i="2" l="1"/>
  <c r="N462" i="2"/>
  <c r="M462" i="2" s="1"/>
  <c r="P462" i="2" s="1"/>
  <c r="AG462" i="2" l="1"/>
  <c r="O462" i="2"/>
  <c r="R462" i="2" l="1"/>
  <c r="Q462" i="2"/>
  <c r="S462" i="2" l="1"/>
  <c r="Z462" i="2" s="1"/>
  <c r="Y462" i="2" l="1"/>
  <c r="AA462" i="2" s="1"/>
  <c r="AB463" i="2" s="1"/>
  <c r="B464" i="2" l="1"/>
  <c r="G463" i="2"/>
  <c r="H463" i="2" s="1"/>
  <c r="F463" i="2"/>
  <c r="AC463" i="2"/>
  <c r="AE463" i="2"/>
  <c r="U463" i="2"/>
  <c r="J463" i="2" l="1"/>
  <c r="W463" i="2"/>
  <c r="X463" i="2" s="1"/>
  <c r="AF464" i="2"/>
  <c r="C464" i="2"/>
  <c r="AD463" i="2"/>
  <c r="L463" i="2" s="1"/>
  <c r="I463" i="2" l="1"/>
  <c r="D464" i="2"/>
  <c r="E464" i="2" s="1"/>
  <c r="T464" i="2" s="1"/>
  <c r="K463" i="2"/>
  <c r="V464" i="2" l="1"/>
  <c r="N463" i="2"/>
  <c r="M463" i="2" s="1"/>
  <c r="P463" i="2" s="1"/>
  <c r="AG463" i="2" l="1"/>
  <c r="O463" i="2"/>
  <c r="R463" i="2" l="1"/>
  <c r="Q463" i="2"/>
  <c r="S463" i="2" l="1"/>
  <c r="Y463" i="2" s="1"/>
  <c r="AA463" i="2" s="1"/>
  <c r="Z463" i="2" l="1"/>
  <c r="AB464" i="2"/>
  <c r="B465" i="2" l="1"/>
  <c r="G464" i="2"/>
  <c r="H464" i="2" s="1"/>
  <c r="F464" i="2"/>
  <c r="AC464" i="2"/>
  <c r="AE464" i="2"/>
  <c r="U464" i="2"/>
  <c r="AD464" i="2" l="1"/>
  <c r="L464" i="2" s="1"/>
  <c r="AF465" i="2"/>
  <c r="C465" i="2"/>
  <c r="J464" i="2"/>
  <c r="W464" i="2"/>
  <c r="X464" i="2" s="1"/>
  <c r="I464" i="2" l="1"/>
  <c r="D465" i="2"/>
  <c r="E465" i="2" s="1"/>
  <c r="T465" i="2" s="1"/>
  <c r="K464" i="2"/>
  <c r="N464" i="2" l="1"/>
  <c r="M464" i="2" s="1"/>
  <c r="P464" i="2" s="1"/>
  <c r="V465" i="2"/>
  <c r="AG464" i="2" l="1"/>
  <c r="O464" i="2"/>
  <c r="R464" i="2" s="1"/>
  <c r="Q464" i="2" l="1"/>
  <c r="S464" i="2" s="1"/>
  <c r="Z464" i="2" s="1"/>
  <c r="Y464" i="2" l="1"/>
  <c r="AA464" i="2" s="1"/>
  <c r="AB465" i="2" s="1"/>
  <c r="B466" i="2" l="1"/>
  <c r="G465" i="2"/>
  <c r="H465" i="2" s="1"/>
  <c r="F465" i="2"/>
  <c r="AC465" i="2"/>
  <c r="AE465" i="2"/>
  <c r="U465" i="2"/>
  <c r="AF466" i="2" l="1"/>
  <c r="C466" i="2"/>
  <c r="J465" i="2"/>
  <c r="W465" i="2"/>
  <c r="X465" i="2" s="1"/>
  <c r="AD465" i="2"/>
  <c r="L465" i="2" s="1"/>
  <c r="K465" i="2" l="1"/>
  <c r="D466" i="2"/>
  <c r="E466" i="2" s="1"/>
  <c r="T466" i="2" s="1"/>
  <c r="I465" i="2"/>
  <c r="N465" i="2" l="1"/>
  <c r="M465" i="2" s="1"/>
  <c r="P465" i="2" s="1"/>
  <c r="V466" i="2"/>
  <c r="AG465" i="2" l="1"/>
  <c r="O465" i="2"/>
  <c r="Q465" i="2" s="1"/>
  <c r="R465" i="2" l="1"/>
  <c r="S465" i="2" s="1"/>
  <c r="Y465" i="2" s="1"/>
  <c r="AA465" i="2" s="1"/>
  <c r="Z465" i="2" l="1"/>
  <c r="AB466" i="2"/>
  <c r="B467" i="2" l="1"/>
  <c r="G466" i="2"/>
  <c r="H466" i="2" s="1"/>
  <c r="F466" i="2"/>
  <c r="AC466" i="2"/>
  <c r="AE466" i="2"/>
  <c r="U466" i="2"/>
  <c r="AD466" i="2" l="1"/>
  <c r="L466" i="2" s="1"/>
  <c r="AF467" i="2"/>
  <c r="C467" i="2"/>
  <c r="J466" i="2"/>
  <c r="W466" i="2"/>
  <c r="X466" i="2" s="1"/>
  <c r="I466" i="2" l="1"/>
  <c r="D467" i="2"/>
  <c r="E467" i="2" s="1"/>
  <c r="T467" i="2" s="1"/>
  <c r="K466" i="2"/>
  <c r="N466" i="2" l="1"/>
  <c r="M466" i="2" s="1"/>
  <c r="P466" i="2" s="1"/>
  <c r="V467" i="2"/>
  <c r="AG466" i="2" l="1"/>
  <c r="O466" i="2"/>
  <c r="Q466" i="2" s="1"/>
  <c r="R466" i="2" l="1"/>
  <c r="S466" i="2" s="1"/>
  <c r="Y466" i="2" s="1"/>
  <c r="AA466" i="2" s="1"/>
  <c r="Z466" i="2" l="1"/>
  <c r="AB467" i="2"/>
  <c r="B468" i="2" l="1"/>
  <c r="G467" i="2"/>
  <c r="H467" i="2" s="1"/>
  <c r="F467" i="2"/>
  <c r="AE467" i="2"/>
  <c r="AC467" i="2"/>
  <c r="U467" i="2"/>
  <c r="AF468" i="2" l="1"/>
  <c r="C468" i="2"/>
  <c r="AD467" i="2"/>
  <c r="L467" i="2" s="1"/>
  <c r="J467" i="2"/>
  <c r="W467" i="2"/>
  <c r="X467" i="2" s="1"/>
  <c r="I467" i="2" l="1"/>
  <c r="D468" i="2"/>
  <c r="E468" i="2" s="1"/>
  <c r="T468" i="2" s="1"/>
  <c r="K467" i="2"/>
  <c r="V468" i="2" l="1"/>
  <c r="N467" i="2"/>
  <c r="M467" i="2" s="1"/>
  <c r="P467" i="2" s="1"/>
  <c r="AG467" i="2" l="1"/>
  <c r="O467" i="2"/>
  <c r="R467" i="2" l="1"/>
  <c r="Q467" i="2"/>
  <c r="S467" i="2" l="1"/>
  <c r="Z467" i="2" s="1"/>
  <c r="Y467" i="2" l="1"/>
  <c r="AA467" i="2" s="1"/>
  <c r="AB468" i="2" s="1"/>
  <c r="B469" i="2" l="1"/>
  <c r="G468" i="2"/>
  <c r="H468" i="2" s="1"/>
  <c r="F468" i="2"/>
  <c r="AC468" i="2"/>
  <c r="AE468" i="2"/>
  <c r="U468" i="2"/>
  <c r="AD468" i="2" l="1"/>
  <c r="L468" i="2" s="1"/>
  <c r="AF469" i="2"/>
  <c r="C469" i="2"/>
  <c r="J468" i="2"/>
  <c r="W468" i="2"/>
  <c r="X468" i="2" s="1"/>
  <c r="D469" i="2" l="1"/>
  <c r="E469" i="2" s="1"/>
  <c r="T469" i="2" s="1"/>
  <c r="K468" i="2"/>
  <c r="I468" i="2"/>
  <c r="V469" i="2" l="1"/>
  <c r="N468" i="2"/>
  <c r="M468" i="2" s="1"/>
  <c r="P468" i="2" s="1"/>
  <c r="AG468" i="2" l="1"/>
  <c r="O468" i="2"/>
  <c r="R468" i="2" l="1"/>
  <c r="Q468" i="2"/>
  <c r="S468" i="2" l="1"/>
  <c r="Z468" i="2" s="1"/>
  <c r="Y468" i="2" l="1"/>
  <c r="AA468" i="2" s="1"/>
  <c r="AB469" i="2" s="1"/>
  <c r="B470" i="2" l="1"/>
  <c r="G469" i="2"/>
  <c r="H469" i="2" s="1"/>
  <c r="F469" i="2"/>
  <c r="AC469" i="2"/>
  <c r="AE469" i="2"/>
  <c r="U469" i="2"/>
  <c r="AD469" i="2" l="1"/>
  <c r="L469" i="2" s="1"/>
  <c r="AF470" i="2"/>
  <c r="C470" i="2"/>
  <c r="J469" i="2"/>
  <c r="W469" i="2"/>
  <c r="X469" i="2" s="1"/>
  <c r="K469" i="2" l="1"/>
  <c r="I469" i="2"/>
  <c r="D470" i="2"/>
  <c r="E470" i="2" s="1"/>
  <c r="T470" i="2" s="1"/>
  <c r="N469" i="2" l="1"/>
  <c r="M469" i="2" s="1"/>
  <c r="P469" i="2" s="1"/>
  <c r="V470" i="2"/>
  <c r="AG469" i="2" l="1"/>
  <c r="O469" i="2"/>
  <c r="Q469" i="2" s="1"/>
  <c r="R469" i="2" l="1"/>
  <c r="S469" i="2" s="1"/>
  <c r="Y469" i="2" l="1"/>
  <c r="AA469" i="2" s="1"/>
  <c r="AB470" i="2" s="1"/>
  <c r="Z469" i="2"/>
  <c r="B471" i="2" l="1"/>
  <c r="G470" i="2"/>
  <c r="H470" i="2" s="1"/>
  <c r="F470" i="2"/>
  <c r="AC470" i="2"/>
  <c r="AE470" i="2"/>
  <c r="U470" i="2"/>
  <c r="AD470" i="2" l="1"/>
  <c r="L470" i="2" s="1"/>
  <c r="AF471" i="2"/>
  <c r="C471" i="2"/>
  <c r="J470" i="2"/>
  <c r="W470" i="2"/>
  <c r="X470" i="2" s="1"/>
  <c r="K470" i="2" l="1"/>
  <c r="D471" i="2"/>
  <c r="E471" i="2" s="1"/>
  <c r="T471" i="2" s="1"/>
  <c r="I470" i="2"/>
  <c r="V471" i="2" l="1"/>
  <c r="N470" i="2"/>
  <c r="M470" i="2" s="1"/>
  <c r="P470" i="2" s="1"/>
  <c r="AG470" i="2" l="1"/>
  <c r="O470" i="2"/>
  <c r="R470" i="2" l="1"/>
  <c r="Q470" i="2"/>
  <c r="S470" i="2" l="1"/>
  <c r="Z470" i="2" s="1"/>
  <c r="Y470" i="2" l="1"/>
  <c r="AA470" i="2" s="1"/>
  <c r="AB471" i="2" s="1"/>
  <c r="B472" i="2" l="1"/>
  <c r="G471" i="2"/>
  <c r="H471" i="2" s="1"/>
  <c r="F471" i="2"/>
  <c r="AE471" i="2"/>
  <c r="AC471" i="2"/>
  <c r="U471" i="2"/>
  <c r="J471" i="2" l="1"/>
  <c r="W471" i="2"/>
  <c r="X471" i="2" s="1"/>
  <c r="C472" i="2"/>
  <c r="AF472" i="2"/>
  <c r="AD471" i="2"/>
  <c r="L471" i="2" s="1"/>
  <c r="K471" i="2" l="1"/>
  <c r="D472" i="2"/>
  <c r="E472" i="2" s="1"/>
  <c r="T472" i="2" s="1"/>
  <c r="I471" i="2"/>
  <c r="N471" i="2" l="1"/>
  <c r="M471" i="2" s="1"/>
  <c r="P471" i="2" s="1"/>
  <c r="V472" i="2"/>
  <c r="AG471" i="2" l="1"/>
  <c r="O471" i="2"/>
  <c r="R471" i="2" s="1"/>
  <c r="Q471" i="2" l="1"/>
  <c r="S471" i="2" s="1"/>
  <c r="Y471" i="2" s="1"/>
  <c r="AA471" i="2" s="1"/>
  <c r="Z471" i="2" l="1"/>
  <c r="AB472" i="2"/>
  <c r="B473" i="2" l="1"/>
  <c r="G472" i="2"/>
  <c r="H472" i="2" s="1"/>
  <c r="F472" i="2"/>
  <c r="AE472" i="2"/>
  <c r="AC472" i="2"/>
  <c r="U472" i="2"/>
  <c r="AD472" i="2" l="1"/>
  <c r="L472" i="2" s="1"/>
  <c r="AF473" i="2"/>
  <c r="C473" i="2"/>
  <c r="J472" i="2"/>
  <c r="W472" i="2"/>
  <c r="X472" i="2" s="1"/>
  <c r="I472" i="2" l="1"/>
  <c r="K472" i="2"/>
  <c r="D473" i="2"/>
  <c r="E473" i="2" s="1"/>
  <c r="T473" i="2" s="1"/>
  <c r="V473" i="2" l="1"/>
  <c r="N472" i="2"/>
  <c r="M472" i="2" s="1"/>
  <c r="P472" i="2" s="1"/>
  <c r="AG472" i="2" l="1"/>
  <c r="O472" i="2"/>
  <c r="R472" i="2" l="1"/>
  <c r="Q472" i="2"/>
  <c r="S472" i="2" l="1"/>
  <c r="Y472" i="2" s="1"/>
  <c r="AA472" i="2" s="1"/>
  <c r="Z472" i="2" l="1"/>
  <c r="AB473" i="2"/>
  <c r="B474" i="2" l="1"/>
  <c r="G473" i="2"/>
  <c r="H473" i="2" s="1"/>
  <c r="F473" i="2"/>
  <c r="AC473" i="2"/>
  <c r="AE473" i="2"/>
  <c r="U473" i="2"/>
  <c r="AD473" i="2" l="1"/>
  <c r="L473" i="2" s="1"/>
  <c r="AF474" i="2"/>
  <c r="C474" i="2"/>
  <c r="J473" i="2"/>
  <c r="W473" i="2"/>
  <c r="X473" i="2" s="1"/>
  <c r="K473" i="2" l="1"/>
  <c r="I473" i="2"/>
  <c r="D474" i="2"/>
  <c r="E474" i="2" s="1"/>
  <c r="T474" i="2" s="1"/>
  <c r="V474" i="2" l="1"/>
  <c r="N473" i="2"/>
  <c r="M473" i="2" s="1"/>
  <c r="P473" i="2" s="1"/>
  <c r="AG473" i="2" l="1"/>
  <c r="O473" i="2"/>
  <c r="R473" i="2" l="1"/>
  <c r="Q473" i="2"/>
  <c r="S473" i="2" l="1"/>
  <c r="Z473" i="2" s="1"/>
  <c r="Y473" i="2" l="1"/>
  <c r="AA473" i="2" s="1"/>
  <c r="AB474" i="2" s="1"/>
  <c r="B475" i="2" l="1"/>
  <c r="G474" i="2"/>
  <c r="H474" i="2" s="1"/>
  <c r="F474" i="2"/>
  <c r="AC474" i="2"/>
  <c r="AE474" i="2"/>
  <c r="U474" i="2"/>
  <c r="AD474" i="2" l="1"/>
  <c r="L474" i="2" s="1"/>
  <c r="AF475" i="2"/>
  <c r="C475" i="2"/>
  <c r="J474" i="2"/>
  <c r="W474" i="2"/>
  <c r="X474" i="2" s="1"/>
  <c r="D475" i="2" l="1"/>
  <c r="E475" i="2" s="1"/>
  <c r="T475" i="2" s="1"/>
  <c r="K474" i="2"/>
  <c r="I474" i="2"/>
  <c r="N474" i="2" l="1"/>
  <c r="M474" i="2" s="1"/>
  <c r="P474" i="2" s="1"/>
  <c r="V475" i="2"/>
  <c r="AG474" i="2" l="1"/>
  <c r="O474" i="2"/>
  <c r="Q474" i="2" s="1"/>
  <c r="R474" i="2" l="1"/>
  <c r="S474" i="2" s="1"/>
  <c r="Y474" i="2" l="1"/>
  <c r="AA474" i="2" s="1"/>
  <c r="AB475" i="2" s="1"/>
  <c r="Z474" i="2"/>
  <c r="B476" i="2" l="1"/>
  <c r="G475" i="2"/>
  <c r="H475" i="2" s="1"/>
  <c r="F475" i="2"/>
  <c r="AC475" i="2"/>
  <c r="AE475" i="2"/>
  <c r="U475" i="2"/>
  <c r="AF476" i="2" l="1"/>
  <c r="C476" i="2"/>
  <c r="AD475" i="2"/>
  <c r="L475" i="2" s="1"/>
  <c r="J475" i="2"/>
  <c r="W475" i="2"/>
  <c r="X475" i="2" s="1"/>
  <c r="I475" i="2" l="1"/>
  <c r="K475" i="2"/>
  <c r="D476" i="2"/>
  <c r="E476" i="2" s="1"/>
  <c r="T476" i="2" s="1"/>
  <c r="V476" i="2" l="1"/>
  <c r="N475" i="2"/>
  <c r="M475" i="2" s="1"/>
  <c r="P475" i="2" s="1"/>
  <c r="AG475" i="2" l="1"/>
  <c r="O475" i="2"/>
  <c r="R475" i="2" l="1"/>
  <c r="Q475" i="2"/>
  <c r="S475" i="2" l="1"/>
  <c r="Z475" i="2" s="1"/>
  <c r="Y475" i="2" l="1"/>
  <c r="AA475" i="2" s="1"/>
  <c r="AB476" i="2" s="1"/>
  <c r="B477" i="2" l="1"/>
  <c r="G476" i="2"/>
  <c r="H476" i="2" s="1"/>
  <c r="F476" i="2"/>
  <c r="AC476" i="2"/>
  <c r="AE476" i="2"/>
  <c r="U476" i="2"/>
  <c r="J476" i="2" l="1"/>
  <c r="W476" i="2"/>
  <c r="X476" i="2" s="1"/>
  <c r="AD476" i="2"/>
  <c r="L476" i="2" s="1"/>
  <c r="AF477" i="2"/>
  <c r="C477" i="2"/>
  <c r="D477" i="2" l="1"/>
  <c r="E477" i="2" s="1"/>
  <c r="T477" i="2" s="1"/>
  <c r="K476" i="2"/>
  <c r="I476" i="2"/>
  <c r="N476" i="2" l="1"/>
  <c r="M476" i="2" s="1"/>
  <c r="P476" i="2" s="1"/>
  <c r="V477" i="2"/>
  <c r="AG476" i="2" l="1"/>
  <c r="O476" i="2"/>
  <c r="R476" i="2" s="1"/>
  <c r="Q476" i="2" l="1"/>
  <c r="S476" i="2" s="1"/>
  <c r="Z476" i="2" s="1"/>
  <c r="Y476" i="2" l="1"/>
  <c r="AA476" i="2" s="1"/>
  <c r="AB477" i="2" s="1"/>
  <c r="B478" i="2" l="1"/>
  <c r="G477" i="2"/>
  <c r="H477" i="2" s="1"/>
  <c r="F477" i="2"/>
  <c r="AE477" i="2"/>
  <c r="AC477" i="2"/>
  <c r="U477" i="2"/>
  <c r="J477" i="2" l="1"/>
  <c r="W477" i="2"/>
  <c r="X477" i="2" s="1"/>
  <c r="AD477" i="2"/>
  <c r="L477" i="2" s="1"/>
  <c r="AF478" i="2"/>
  <c r="C478" i="2"/>
  <c r="K477" i="2" l="1"/>
  <c r="D478" i="2"/>
  <c r="E478" i="2" s="1"/>
  <c r="T478" i="2" s="1"/>
  <c r="I477" i="2"/>
  <c r="N477" i="2" l="1"/>
  <c r="M477" i="2" s="1"/>
  <c r="P477" i="2" s="1"/>
  <c r="V478" i="2"/>
  <c r="AG477" i="2" l="1"/>
  <c r="O477" i="2"/>
  <c r="Q477" i="2" s="1"/>
  <c r="R477" i="2" l="1"/>
  <c r="S477" i="2" s="1"/>
  <c r="Y477" i="2" s="1"/>
  <c r="AA477" i="2" s="1"/>
  <c r="Z477" i="2" l="1"/>
  <c r="AB478" i="2"/>
  <c r="B479" i="2" l="1"/>
  <c r="G478" i="2"/>
  <c r="H478" i="2" s="1"/>
  <c r="F478" i="2"/>
  <c r="AE478" i="2"/>
  <c r="AC478" i="2"/>
  <c r="U478" i="2"/>
  <c r="AD478" i="2" l="1"/>
  <c r="L478" i="2" s="1"/>
  <c r="AF479" i="2"/>
  <c r="C479" i="2"/>
  <c r="J478" i="2"/>
  <c r="W478" i="2"/>
  <c r="X478" i="2" s="1"/>
  <c r="K478" i="2" l="1"/>
  <c r="I478" i="2"/>
  <c r="D479" i="2"/>
  <c r="E479" i="2" s="1"/>
  <c r="T479" i="2" s="1"/>
  <c r="N478" i="2" l="1"/>
  <c r="M478" i="2" s="1"/>
  <c r="P478" i="2" s="1"/>
  <c r="V479" i="2"/>
  <c r="AG478" i="2" l="1"/>
  <c r="O478" i="2"/>
  <c r="Q478" i="2" s="1"/>
  <c r="R478" i="2" l="1"/>
  <c r="S478" i="2" s="1"/>
  <c r="Y478" i="2" l="1"/>
  <c r="AA478" i="2" s="1"/>
  <c r="AB479" i="2" s="1"/>
  <c r="Z478" i="2"/>
  <c r="B480" i="2" l="1"/>
  <c r="G479" i="2"/>
  <c r="H479" i="2" s="1"/>
  <c r="F479" i="2"/>
  <c r="AC479" i="2"/>
  <c r="AE479" i="2"/>
  <c r="U479" i="2"/>
  <c r="AD479" i="2" l="1"/>
  <c r="L479" i="2" s="1"/>
  <c r="AF480" i="2"/>
  <c r="C480" i="2"/>
  <c r="J479" i="2"/>
  <c r="W479" i="2"/>
  <c r="X479" i="2" s="1"/>
  <c r="I479" i="2" l="1"/>
  <c r="D480" i="2"/>
  <c r="E480" i="2" s="1"/>
  <c r="T480" i="2" s="1"/>
  <c r="K479" i="2"/>
  <c r="V480" i="2" l="1"/>
  <c r="N479" i="2"/>
  <c r="M479" i="2" s="1"/>
  <c r="P479" i="2" s="1"/>
  <c r="AG479" i="2" l="1"/>
  <c r="O479" i="2"/>
  <c r="R479" i="2" l="1"/>
  <c r="Q479" i="2"/>
  <c r="S479" i="2" l="1"/>
  <c r="Z479" i="2" s="1"/>
  <c r="Y479" i="2" l="1"/>
  <c r="AA479" i="2" s="1"/>
  <c r="AB480" i="2" s="1"/>
  <c r="B481" i="2" l="1"/>
  <c r="G480" i="2"/>
  <c r="H480" i="2" s="1"/>
  <c r="F480" i="2"/>
  <c r="AC480" i="2"/>
  <c r="AE480" i="2"/>
  <c r="U480" i="2"/>
  <c r="AD480" i="2" l="1"/>
  <c r="L480" i="2" s="1"/>
  <c r="AF481" i="2"/>
  <c r="C481" i="2"/>
  <c r="J480" i="2"/>
  <c r="W480" i="2"/>
  <c r="X480" i="2" s="1"/>
  <c r="K480" i="2" l="1"/>
  <c r="I480" i="2"/>
  <c r="D481" i="2"/>
  <c r="E481" i="2" s="1"/>
  <c r="T481" i="2" s="1"/>
  <c r="V481" i="2" l="1"/>
  <c r="N480" i="2"/>
  <c r="M480" i="2" s="1"/>
  <c r="P480" i="2" s="1"/>
  <c r="AG480" i="2" l="1"/>
  <c r="O480" i="2"/>
  <c r="R480" i="2" l="1"/>
  <c r="Q480" i="2"/>
  <c r="S480" i="2" l="1"/>
  <c r="Z480" i="2" s="1"/>
  <c r="Y480" i="2" l="1"/>
  <c r="AA480" i="2" s="1"/>
  <c r="AB481" i="2" s="1"/>
  <c r="B482" i="2" l="1"/>
  <c r="G481" i="2"/>
  <c r="H481" i="2" s="1"/>
  <c r="F481" i="2"/>
  <c r="AC481" i="2"/>
  <c r="AE481" i="2"/>
  <c r="U481" i="2"/>
  <c r="AD481" i="2" l="1"/>
  <c r="L481" i="2" s="1"/>
  <c r="AF482" i="2"/>
  <c r="C482" i="2"/>
  <c r="J481" i="2"/>
  <c r="W481" i="2"/>
  <c r="X481" i="2" s="1"/>
  <c r="K481" i="2" l="1"/>
  <c r="I481" i="2"/>
  <c r="D482" i="2"/>
  <c r="E482" i="2" s="1"/>
  <c r="T482" i="2" s="1"/>
  <c r="V482" i="2" l="1"/>
  <c r="N481" i="2"/>
  <c r="M481" i="2" s="1"/>
  <c r="P481" i="2" s="1"/>
  <c r="AG481" i="2" l="1"/>
  <c r="O481" i="2"/>
  <c r="R481" i="2" l="1"/>
  <c r="Q481" i="2"/>
  <c r="S481" i="2" l="1"/>
  <c r="Z481" i="2" s="1"/>
  <c r="Y481" i="2" l="1"/>
  <c r="AA481" i="2" s="1"/>
  <c r="AB482" i="2" s="1"/>
  <c r="B483" i="2" l="1"/>
  <c r="G482" i="2"/>
  <c r="H482" i="2" s="1"/>
  <c r="F482" i="2"/>
  <c r="AC482" i="2"/>
  <c r="AE482" i="2"/>
  <c r="U482" i="2"/>
  <c r="AD482" i="2" l="1"/>
  <c r="L482" i="2" s="1"/>
  <c r="AF483" i="2"/>
  <c r="C483" i="2"/>
  <c r="J482" i="2"/>
  <c r="W482" i="2"/>
  <c r="X482" i="2" s="1"/>
  <c r="I482" i="2" l="1"/>
  <c r="D483" i="2"/>
  <c r="E483" i="2" s="1"/>
  <c r="T483" i="2" s="1"/>
  <c r="K482" i="2"/>
  <c r="N482" i="2" l="1"/>
  <c r="M482" i="2" s="1"/>
  <c r="P482" i="2" s="1"/>
  <c r="V483" i="2"/>
  <c r="AG482" i="2" l="1"/>
  <c r="O482" i="2"/>
  <c r="R482" i="2" s="1"/>
  <c r="Q482" i="2" l="1"/>
  <c r="S482" i="2" s="1"/>
  <c r="Y482" i="2" s="1"/>
  <c r="AA482" i="2" s="1"/>
  <c r="Z482" i="2" l="1"/>
  <c r="AB483" i="2"/>
  <c r="B484" i="2" l="1"/>
  <c r="G483" i="2"/>
  <c r="H483" i="2" s="1"/>
  <c r="F483" i="2"/>
  <c r="AC483" i="2"/>
  <c r="AE483" i="2"/>
  <c r="U483" i="2"/>
  <c r="AF484" i="2" l="1"/>
  <c r="C484" i="2"/>
  <c r="J483" i="2"/>
  <c r="W483" i="2"/>
  <c r="X483" i="2" s="1"/>
  <c r="AD483" i="2"/>
  <c r="L483" i="2" s="1"/>
  <c r="I483" i="2" l="1"/>
  <c r="D484" i="2"/>
  <c r="E484" i="2" s="1"/>
  <c r="T484" i="2" s="1"/>
  <c r="K483" i="2"/>
  <c r="V484" i="2" l="1"/>
  <c r="N483" i="2"/>
  <c r="M483" i="2" s="1"/>
  <c r="P483" i="2" s="1"/>
  <c r="AG483" i="2" l="1"/>
  <c r="O483" i="2"/>
  <c r="R483" i="2" l="1"/>
  <c r="Q483" i="2"/>
  <c r="S483" i="2" l="1"/>
  <c r="Z483" i="2" s="1"/>
  <c r="Y483" i="2" l="1"/>
  <c r="AA483" i="2" s="1"/>
  <c r="AB484" i="2" s="1"/>
  <c r="B485" i="2" l="1"/>
  <c r="G484" i="2"/>
  <c r="H484" i="2" s="1"/>
  <c r="F484" i="2"/>
  <c r="AC484" i="2"/>
  <c r="AE484" i="2"/>
  <c r="U484" i="2"/>
  <c r="AF485" i="2" l="1"/>
  <c r="C485" i="2"/>
  <c r="J484" i="2"/>
  <c r="W484" i="2"/>
  <c r="X484" i="2" s="1"/>
  <c r="AD484" i="2"/>
  <c r="L484" i="2" s="1"/>
  <c r="I484" i="2" l="1"/>
  <c r="D485" i="2"/>
  <c r="E485" i="2" s="1"/>
  <c r="T485" i="2" s="1"/>
  <c r="K484" i="2"/>
  <c r="V485" i="2" l="1"/>
  <c r="N484" i="2"/>
  <c r="M484" i="2" s="1"/>
  <c r="P484" i="2" s="1"/>
  <c r="AG484" i="2" l="1"/>
  <c r="O484" i="2"/>
  <c r="R484" i="2" l="1"/>
  <c r="Q484" i="2"/>
  <c r="S484" i="2" l="1"/>
  <c r="Z484" i="2" s="1"/>
  <c r="Y484" i="2" l="1"/>
  <c r="AA484" i="2" s="1"/>
  <c r="AB485" i="2" s="1"/>
  <c r="B486" i="2" l="1"/>
  <c r="G485" i="2"/>
  <c r="H485" i="2" s="1"/>
  <c r="F485" i="2"/>
  <c r="AC485" i="2"/>
  <c r="AE485" i="2"/>
  <c r="U485" i="2"/>
  <c r="AD485" i="2" l="1"/>
  <c r="L485" i="2" s="1"/>
  <c r="AF486" i="2"/>
  <c r="C486" i="2"/>
  <c r="J485" i="2"/>
  <c r="W485" i="2"/>
  <c r="X485" i="2" s="1"/>
  <c r="I485" i="2" l="1"/>
  <c r="K485" i="2"/>
  <c r="D486" i="2"/>
  <c r="E486" i="2" s="1"/>
  <c r="T486" i="2" s="1"/>
  <c r="V486" i="2" l="1"/>
  <c r="N485" i="2"/>
  <c r="M485" i="2" s="1"/>
  <c r="P485" i="2" s="1"/>
  <c r="AG485" i="2" l="1"/>
  <c r="O485" i="2"/>
  <c r="R485" i="2" l="1"/>
  <c r="Q485" i="2"/>
  <c r="S485" i="2" l="1"/>
  <c r="Z485" i="2" s="1"/>
  <c r="Y485" i="2" l="1"/>
  <c r="AA485" i="2" s="1"/>
  <c r="AB486" i="2" s="1"/>
  <c r="B487" i="2" l="1"/>
  <c r="G486" i="2"/>
  <c r="H486" i="2" s="1"/>
  <c r="F486" i="2"/>
  <c r="AE486" i="2"/>
  <c r="AC486" i="2"/>
  <c r="U486" i="2"/>
  <c r="J486" i="2" l="1"/>
  <c r="W486" i="2"/>
  <c r="X486" i="2" s="1"/>
  <c r="AD486" i="2"/>
  <c r="L486" i="2" s="1"/>
  <c r="AF487" i="2"/>
  <c r="C487" i="2"/>
  <c r="K486" i="2" l="1"/>
  <c r="D487" i="2"/>
  <c r="E487" i="2" s="1"/>
  <c r="T487" i="2" s="1"/>
  <c r="I486" i="2"/>
  <c r="N486" i="2" l="1"/>
  <c r="M486" i="2" s="1"/>
  <c r="P486" i="2" s="1"/>
  <c r="V487" i="2"/>
  <c r="AG486" i="2" l="1"/>
  <c r="O486" i="2"/>
  <c r="R486" i="2" s="1"/>
  <c r="Q486" i="2" l="1"/>
  <c r="S486" i="2" s="1"/>
  <c r="Y486" i="2" s="1"/>
  <c r="AA486" i="2" s="1"/>
  <c r="Z486" i="2" l="1"/>
  <c r="AB487" i="2"/>
  <c r="B488" i="2" l="1"/>
  <c r="G487" i="2"/>
  <c r="H487" i="2" s="1"/>
  <c r="F487" i="2"/>
  <c r="AE487" i="2"/>
  <c r="AC487" i="2"/>
  <c r="U487" i="2"/>
  <c r="AF488" i="2" l="1"/>
  <c r="C488" i="2"/>
  <c r="J487" i="2"/>
  <c r="W487" i="2"/>
  <c r="X487" i="2" s="1"/>
  <c r="AD487" i="2"/>
  <c r="L487" i="2" s="1"/>
  <c r="K487" i="2" l="1"/>
  <c r="D488" i="2"/>
  <c r="E488" i="2" s="1"/>
  <c r="T488" i="2" s="1"/>
  <c r="I487" i="2"/>
  <c r="N487" i="2" l="1"/>
  <c r="M487" i="2" s="1"/>
  <c r="P487" i="2" s="1"/>
  <c r="V488" i="2"/>
  <c r="AG487" i="2" l="1"/>
  <c r="O487" i="2"/>
  <c r="R487" i="2" s="1"/>
  <c r="Q487" i="2" l="1"/>
  <c r="S487" i="2" s="1"/>
  <c r="Y487" i="2" s="1"/>
  <c r="AA487" i="2" s="1"/>
  <c r="Z487" i="2" l="1"/>
  <c r="AB488" i="2"/>
  <c r="B489" i="2" l="1"/>
  <c r="G488" i="2"/>
  <c r="H488" i="2" s="1"/>
  <c r="F488" i="2"/>
  <c r="AC488" i="2"/>
  <c r="AE488" i="2"/>
  <c r="U488" i="2"/>
  <c r="J488" i="2" l="1"/>
  <c r="W488" i="2"/>
  <c r="X488" i="2" s="1"/>
  <c r="AD488" i="2"/>
  <c r="L488" i="2" s="1"/>
  <c r="AF489" i="2"/>
  <c r="C489" i="2"/>
  <c r="D489" i="2" l="1"/>
  <c r="E489" i="2" s="1"/>
  <c r="T489" i="2" s="1"/>
  <c r="K488" i="2"/>
  <c r="I488" i="2"/>
  <c r="N488" i="2" l="1"/>
  <c r="M488" i="2" s="1"/>
  <c r="P488" i="2" s="1"/>
  <c r="V489" i="2"/>
  <c r="AG488" i="2" l="1"/>
  <c r="O488" i="2"/>
  <c r="R488" i="2" s="1"/>
  <c r="Q488" i="2" l="1"/>
  <c r="S488" i="2" s="1"/>
  <c r="Y488" i="2" s="1"/>
  <c r="AA488" i="2" s="1"/>
  <c r="Z488" i="2" l="1"/>
  <c r="AB489" i="2"/>
  <c r="B490" i="2" l="1"/>
  <c r="G489" i="2"/>
  <c r="H489" i="2" s="1"/>
  <c r="F489" i="2"/>
  <c r="AE489" i="2"/>
  <c r="AC489" i="2"/>
  <c r="U489" i="2"/>
  <c r="AF490" i="2" l="1"/>
  <c r="C490" i="2"/>
  <c r="J489" i="2"/>
  <c r="W489" i="2"/>
  <c r="X489" i="2" s="1"/>
  <c r="AD489" i="2"/>
  <c r="L489" i="2" s="1"/>
  <c r="K489" i="2" l="1"/>
  <c r="D490" i="2"/>
  <c r="E490" i="2" s="1"/>
  <c r="T490" i="2" s="1"/>
  <c r="I489" i="2"/>
  <c r="N489" i="2" l="1"/>
  <c r="M489" i="2" s="1"/>
  <c r="P489" i="2" s="1"/>
  <c r="V490" i="2"/>
  <c r="AG489" i="2" l="1"/>
  <c r="O489" i="2"/>
  <c r="Q489" i="2" s="1"/>
  <c r="R489" i="2" l="1"/>
  <c r="S489" i="2" s="1"/>
  <c r="Y489" i="2" l="1"/>
  <c r="AA489" i="2" s="1"/>
  <c r="Z489" i="2"/>
  <c r="AB490" i="2" l="1"/>
  <c r="B491" i="2" l="1"/>
  <c r="G490" i="2"/>
  <c r="H490" i="2" s="1"/>
  <c r="F490" i="2"/>
  <c r="AE490" i="2"/>
  <c r="AC490" i="2"/>
  <c r="U490" i="2"/>
  <c r="J490" i="2" l="1"/>
  <c r="W490" i="2"/>
  <c r="X490" i="2" s="1"/>
  <c r="AD490" i="2"/>
  <c r="L490" i="2" s="1"/>
  <c r="AF491" i="2"/>
  <c r="C491" i="2"/>
  <c r="K490" i="2" l="1"/>
  <c r="I490" i="2"/>
  <c r="D491" i="2"/>
  <c r="E491" i="2" s="1"/>
  <c r="T491" i="2" s="1"/>
  <c r="N490" i="2" l="1"/>
  <c r="M490" i="2" s="1"/>
  <c r="P490" i="2" s="1"/>
  <c r="V491" i="2"/>
  <c r="AG490" i="2" l="1"/>
  <c r="O490" i="2"/>
  <c r="R490" i="2" s="1"/>
  <c r="Q490" i="2" l="1"/>
  <c r="S490" i="2" s="1"/>
  <c r="Z490" i="2" s="1"/>
  <c r="Y490" i="2" l="1"/>
  <c r="AA490" i="2" s="1"/>
  <c r="AB491" i="2" s="1"/>
  <c r="B492" i="2" l="1"/>
  <c r="G491" i="2"/>
  <c r="H491" i="2" s="1"/>
  <c r="F491" i="2"/>
  <c r="AC491" i="2"/>
  <c r="AE491" i="2"/>
  <c r="U491" i="2"/>
  <c r="AD491" i="2" l="1"/>
  <c r="L491" i="2" s="1"/>
  <c r="AF492" i="2"/>
  <c r="C492" i="2"/>
  <c r="J491" i="2"/>
  <c r="W491" i="2"/>
  <c r="X491" i="2" s="1"/>
  <c r="K491" i="2" l="1"/>
  <c r="I491" i="2"/>
  <c r="D492" i="2"/>
  <c r="E492" i="2" s="1"/>
  <c r="T492" i="2" s="1"/>
  <c r="N491" i="2" l="1"/>
  <c r="M491" i="2" s="1"/>
  <c r="P491" i="2" s="1"/>
  <c r="V492" i="2"/>
  <c r="AG491" i="2" l="1"/>
  <c r="O491" i="2"/>
  <c r="R491" i="2" s="1"/>
  <c r="Q491" i="2" l="1"/>
  <c r="S491" i="2" s="1"/>
  <c r="Y491" i="2" s="1"/>
  <c r="AA491" i="2" s="1"/>
  <c r="Z491" i="2" l="1"/>
  <c r="AB492" i="2"/>
  <c r="B493" i="2" l="1"/>
  <c r="G492" i="2"/>
  <c r="H492" i="2" s="1"/>
  <c r="F492" i="2"/>
  <c r="AC492" i="2"/>
  <c r="AE492" i="2"/>
  <c r="U492" i="2"/>
  <c r="J492" i="2" l="1"/>
  <c r="W492" i="2"/>
  <c r="X492" i="2" s="1"/>
  <c r="AF493" i="2"/>
  <c r="C493" i="2"/>
  <c r="AD492" i="2"/>
  <c r="L492" i="2" s="1"/>
  <c r="D493" i="2" l="1"/>
  <c r="E493" i="2" s="1"/>
  <c r="T493" i="2" s="1"/>
  <c r="K492" i="2"/>
  <c r="I492" i="2"/>
  <c r="N492" i="2" l="1"/>
  <c r="M492" i="2" s="1"/>
  <c r="P492" i="2" s="1"/>
  <c r="V493" i="2"/>
  <c r="AG492" i="2" l="1"/>
  <c r="O492" i="2"/>
  <c r="R492" i="2" s="1"/>
  <c r="Q492" i="2" l="1"/>
  <c r="S492" i="2" s="1"/>
  <c r="Y492" i="2" s="1"/>
  <c r="AA492" i="2" s="1"/>
  <c r="Z492" i="2" l="1"/>
  <c r="AB493" i="2"/>
  <c r="B494" i="2" l="1"/>
  <c r="G493" i="2"/>
  <c r="H493" i="2" s="1"/>
  <c r="F493" i="2"/>
  <c r="AC493" i="2"/>
  <c r="AE493" i="2"/>
  <c r="U493" i="2"/>
  <c r="AD493" i="2" l="1"/>
  <c r="L493" i="2" s="1"/>
  <c r="AF494" i="2"/>
  <c r="C494" i="2"/>
  <c r="J493" i="2"/>
  <c r="W493" i="2"/>
  <c r="X493" i="2" s="1"/>
  <c r="I493" i="2" l="1"/>
  <c r="K493" i="2"/>
  <c r="D494" i="2"/>
  <c r="E494" i="2" s="1"/>
  <c r="T494" i="2" s="1"/>
  <c r="N493" i="2" l="1"/>
  <c r="M493" i="2" s="1"/>
  <c r="P493" i="2" s="1"/>
  <c r="V494" i="2"/>
  <c r="AG493" i="2" l="1"/>
  <c r="O493" i="2"/>
  <c r="R493" i="2" s="1"/>
  <c r="Q493" i="2" l="1"/>
  <c r="S493" i="2" s="1"/>
  <c r="Z493" i="2" s="1"/>
  <c r="Y493" i="2" l="1"/>
  <c r="AA493" i="2" s="1"/>
  <c r="AB494" i="2" s="1"/>
  <c r="B495" i="2" l="1"/>
  <c r="G494" i="2"/>
  <c r="H494" i="2" s="1"/>
  <c r="F494" i="2"/>
  <c r="AC494" i="2"/>
  <c r="AE494" i="2"/>
  <c r="U494" i="2"/>
  <c r="AD494" i="2" l="1"/>
  <c r="L494" i="2" s="1"/>
  <c r="J494" i="2"/>
  <c r="W494" i="2"/>
  <c r="X494" i="2" s="1"/>
  <c r="AF495" i="2"/>
  <c r="C495" i="2"/>
  <c r="D495" i="2" l="1"/>
  <c r="E495" i="2" s="1"/>
  <c r="T495" i="2" s="1"/>
  <c r="K494" i="2"/>
  <c r="I494" i="2"/>
  <c r="N494" i="2" l="1"/>
  <c r="M494" i="2" s="1"/>
  <c r="P494" i="2" s="1"/>
  <c r="V495" i="2"/>
  <c r="AG494" i="2" l="1"/>
  <c r="O494" i="2"/>
  <c r="R494" i="2" s="1"/>
  <c r="Q494" i="2" l="1"/>
  <c r="S494" i="2" s="1"/>
  <c r="Z494" i="2" s="1"/>
  <c r="Y494" i="2" l="1"/>
  <c r="AA494" i="2" s="1"/>
  <c r="AB495" i="2" s="1"/>
  <c r="B496" i="2" l="1"/>
  <c r="G495" i="2"/>
  <c r="H495" i="2" s="1"/>
  <c r="F495" i="2"/>
  <c r="AE495" i="2"/>
  <c r="AC495" i="2"/>
  <c r="U495" i="2"/>
  <c r="J495" i="2" l="1"/>
  <c r="W495" i="2"/>
  <c r="X495" i="2" s="1"/>
  <c r="AF496" i="2"/>
  <c r="C496" i="2"/>
  <c r="AD495" i="2"/>
  <c r="L495" i="2" s="1"/>
  <c r="K495" i="2" l="1"/>
  <c r="D496" i="2"/>
  <c r="E496" i="2" s="1"/>
  <c r="T496" i="2" s="1"/>
  <c r="I495" i="2"/>
  <c r="N495" i="2" l="1"/>
  <c r="M495" i="2" s="1"/>
  <c r="P495" i="2" s="1"/>
  <c r="V496" i="2"/>
  <c r="AG495" i="2" l="1"/>
  <c r="O495" i="2"/>
  <c r="Q495" i="2" s="1"/>
  <c r="R495" i="2" l="1"/>
  <c r="S495" i="2" s="1"/>
  <c r="Y495" i="2" s="1"/>
  <c r="AA495" i="2" s="1"/>
  <c r="Z495" i="2" l="1"/>
  <c r="AB496" i="2"/>
  <c r="B497" i="2" l="1"/>
  <c r="G496" i="2"/>
  <c r="H496" i="2" s="1"/>
  <c r="F496" i="2"/>
  <c r="AE496" i="2"/>
  <c r="AC496" i="2"/>
  <c r="U496" i="2"/>
  <c r="AF497" i="2" l="1"/>
  <c r="C497" i="2"/>
  <c r="AD496" i="2"/>
  <c r="L496" i="2" s="1"/>
  <c r="J496" i="2"/>
  <c r="W496" i="2"/>
  <c r="X496" i="2" s="1"/>
  <c r="I496" i="2" l="1"/>
  <c r="K496" i="2"/>
  <c r="D497" i="2"/>
  <c r="E497" i="2" s="1"/>
  <c r="T497" i="2" s="1"/>
  <c r="V497" i="2" l="1"/>
  <c r="N496" i="2"/>
  <c r="M496" i="2" s="1"/>
  <c r="P496" i="2" s="1"/>
  <c r="AG496" i="2" l="1"/>
  <c r="O496" i="2"/>
  <c r="R496" i="2" l="1"/>
  <c r="Q496" i="2"/>
  <c r="S496" i="2" l="1"/>
  <c r="Y496" i="2" s="1"/>
  <c r="AA496" i="2" s="1"/>
  <c r="Z496" i="2" l="1"/>
  <c r="AB497" i="2"/>
  <c r="B498" i="2" l="1"/>
  <c r="G497" i="2"/>
  <c r="H497" i="2" s="1"/>
  <c r="F497" i="2"/>
  <c r="AE497" i="2"/>
  <c r="AC497" i="2"/>
  <c r="U497" i="2"/>
  <c r="J497" i="2" l="1"/>
  <c r="W497" i="2"/>
  <c r="X497" i="2" s="1"/>
  <c r="C498" i="2"/>
  <c r="AF498" i="2"/>
  <c r="AD497" i="2"/>
  <c r="L497" i="2" s="1"/>
  <c r="I497" i="2" l="1"/>
  <c r="D498" i="2"/>
  <c r="E498" i="2" s="1"/>
  <c r="T498" i="2" s="1"/>
  <c r="K497" i="2"/>
  <c r="V498" i="2" l="1"/>
  <c r="N497" i="2"/>
  <c r="M497" i="2" s="1"/>
  <c r="P497" i="2" s="1"/>
  <c r="AG497" i="2" l="1"/>
  <c r="O497" i="2"/>
  <c r="R497" i="2" l="1"/>
  <c r="Q497" i="2"/>
  <c r="S497" i="2" l="1"/>
  <c r="Y497" i="2" s="1"/>
  <c r="AA497" i="2" s="1"/>
  <c r="Z497" i="2" l="1"/>
  <c r="AB498" i="2"/>
  <c r="B499" i="2" l="1"/>
  <c r="G498" i="2"/>
  <c r="H498" i="2" s="1"/>
  <c r="F498" i="2"/>
  <c r="AE498" i="2"/>
  <c r="AC498" i="2"/>
  <c r="U498" i="2"/>
  <c r="J498" i="2" l="1"/>
  <c r="W498" i="2"/>
  <c r="X498" i="2" s="1"/>
  <c r="AF499" i="2"/>
  <c r="C499" i="2"/>
  <c r="AD498" i="2"/>
  <c r="L498" i="2" s="1"/>
  <c r="I498" i="2" l="1"/>
  <c r="D499" i="2"/>
  <c r="E499" i="2" s="1"/>
  <c r="T499" i="2" s="1"/>
  <c r="K498" i="2"/>
  <c r="V499" i="2" l="1"/>
  <c r="N498" i="2"/>
  <c r="M498" i="2" s="1"/>
  <c r="P498" i="2" s="1"/>
  <c r="AG498" i="2" l="1"/>
  <c r="O498" i="2"/>
  <c r="R498" i="2" l="1"/>
  <c r="Q498" i="2"/>
  <c r="S498" i="2" l="1"/>
  <c r="Y498" i="2" s="1"/>
  <c r="AA498" i="2" s="1"/>
  <c r="Z498" i="2" l="1"/>
  <c r="AB499" i="2"/>
  <c r="B500" i="2" l="1"/>
  <c r="G499" i="2"/>
  <c r="H499" i="2" s="1"/>
  <c r="F499" i="2"/>
  <c r="AE499" i="2"/>
  <c r="AC499" i="2"/>
  <c r="U499" i="2"/>
  <c r="AD499" i="2" l="1"/>
  <c r="L499" i="2" s="1"/>
  <c r="J499" i="2"/>
  <c r="W499" i="2"/>
  <c r="X499" i="2" s="1"/>
  <c r="AF500" i="2"/>
  <c r="C500" i="2"/>
  <c r="I499" i="2" l="1"/>
  <c r="K499" i="2"/>
  <c r="D500" i="2"/>
  <c r="E500" i="2" s="1"/>
  <c r="T500" i="2" s="1"/>
  <c r="V500" i="2" l="1"/>
  <c r="N499" i="2"/>
  <c r="M499" i="2" s="1"/>
  <c r="P499" i="2" s="1"/>
  <c r="AG499" i="2" l="1"/>
  <c r="O499" i="2"/>
  <c r="Q499" i="2" l="1"/>
  <c r="R499" i="2"/>
  <c r="S499" i="2" l="1"/>
  <c r="Y499" i="2" l="1"/>
  <c r="AA499" i="2" s="1"/>
  <c r="Z499" i="2"/>
  <c r="AB500" i="2" l="1"/>
  <c r="B501" i="2" l="1"/>
  <c r="G500" i="2"/>
  <c r="H500" i="2" s="1"/>
  <c r="F500" i="2"/>
  <c r="AE500" i="2"/>
  <c r="AC500" i="2"/>
  <c r="U500" i="2"/>
  <c r="J500" i="2" l="1"/>
  <c r="W500" i="2"/>
  <c r="X500" i="2" s="1"/>
  <c r="AF501" i="2"/>
  <c r="C501" i="2"/>
  <c r="AD500" i="2"/>
  <c r="L500" i="2" s="1"/>
  <c r="I500" i="2" l="1"/>
  <c r="D501" i="2"/>
  <c r="E501" i="2" s="1"/>
  <c r="T501" i="2" s="1"/>
  <c r="K500" i="2"/>
  <c r="V501" i="2" l="1"/>
  <c r="N500" i="2"/>
  <c r="M500" i="2" s="1"/>
  <c r="P500" i="2" s="1"/>
  <c r="AG500" i="2" l="1"/>
  <c r="O500" i="2"/>
  <c r="Q500" i="2" l="1"/>
  <c r="R500" i="2"/>
  <c r="S500" i="2" l="1"/>
  <c r="Y500" i="2" l="1"/>
  <c r="AA500" i="2" s="1"/>
  <c r="Z500" i="2"/>
  <c r="AB501" i="2" l="1"/>
  <c r="B502" i="2" l="1"/>
  <c r="G501" i="2"/>
  <c r="H501" i="2" s="1"/>
  <c r="F501" i="2"/>
  <c r="AE501" i="2"/>
  <c r="AC501" i="2"/>
  <c r="U501" i="2"/>
  <c r="AF502" i="2" l="1"/>
  <c r="C502" i="2"/>
  <c r="J501" i="2"/>
  <c r="W501" i="2"/>
  <c r="X501" i="2" s="1"/>
  <c r="AD501" i="2"/>
  <c r="L501" i="2" s="1"/>
  <c r="D502" i="2" l="1"/>
  <c r="E502" i="2" s="1"/>
  <c r="T502" i="2" s="1"/>
  <c r="K501" i="2"/>
  <c r="I501" i="2"/>
  <c r="N501" i="2" l="1"/>
  <c r="M501" i="2" s="1"/>
  <c r="P501" i="2" s="1"/>
  <c r="V502" i="2"/>
  <c r="AG501" i="2" l="1"/>
  <c r="O501" i="2"/>
  <c r="Q501" i="2" s="1"/>
  <c r="R501" i="2" l="1"/>
  <c r="S501" i="2" s="1"/>
  <c r="Y501" i="2" l="1"/>
  <c r="AA501" i="2" s="1"/>
  <c r="AB502" i="2" s="1"/>
  <c r="Z501" i="2"/>
  <c r="B503" i="2" l="1"/>
  <c r="G502" i="2"/>
  <c r="H502" i="2" s="1"/>
  <c r="F502" i="2"/>
  <c r="AC502" i="2"/>
  <c r="AE502" i="2"/>
  <c r="U502" i="2"/>
  <c r="J502" i="2" l="1"/>
  <c r="W502" i="2"/>
  <c r="X502" i="2" s="1"/>
  <c r="C503" i="2"/>
  <c r="AF503" i="2"/>
  <c r="AD502" i="2"/>
  <c r="L502" i="2" s="1"/>
  <c r="D503" i="2" l="1"/>
  <c r="E503" i="2" s="1"/>
  <c r="T503" i="2" s="1"/>
  <c r="K502" i="2"/>
  <c r="I502" i="2"/>
  <c r="N502" i="2" l="1"/>
  <c r="M502" i="2" s="1"/>
  <c r="P502" i="2" s="1"/>
  <c r="V503" i="2"/>
  <c r="AG502" i="2" l="1"/>
  <c r="O502" i="2"/>
  <c r="R502" i="2" s="1"/>
  <c r="Q502" i="2" l="1"/>
  <c r="S502" i="2" s="1"/>
  <c r="Z502" i="2" s="1"/>
  <c r="Y502" i="2" l="1"/>
  <c r="AA502" i="2" s="1"/>
  <c r="AB503" i="2" s="1"/>
  <c r="B504" i="2" l="1"/>
  <c r="G503" i="2"/>
  <c r="H503" i="2" s="1"/>
  <c r="F503" i="2"/>
  <c r="AC503" i="2"/>
  <c r="AE503" i="2"/>
  <c r="U503" i="2"/>
  <c r="AD503" i="2" l="1"/>
  <c r="L503" i="2" s="1"/>
  <c r="J503" i="2"/>
  <c r="W503" i="2"/>
  <c r="X503" i="2" s="1"/>
  <c r="AF504" i="2"/>
  <c r="C504" i="2"/>
  <c r="I503" i="2" l="1"/>
  <c r="D504" i="2"/>
  <c r="E504" i="2" s="1"/>
  <c r="T504" i="2" s="1"/>
  <c r="K503" i="2"/>
  <c r="V504" i="2" l="1"/>
  <c r="N503" i="2"/>
  <c r="M503" i="2" s="1"/>
  <c r="P503" i="2" s="1"/>
  <c r="AG503" i="2" l="1"/>
  <c r="O503" i="2"/>
  <c r="R503" i="2" l="1"/>
  <c r="Q503" i="2"/>
  <c r="S503" i="2" l="1"/>
  <c r="Y503" i="2" s="1"/>
  <c r="AA503" i="2" s="1"/>
  <c r="Z503" i="2" l="1"/>
  <c r="AB504" i="2"/>
  <c r="B505" i="2" l="1"/>
  <c r="G504" i="2"/>
  <c r="H504" i="2" s="1"/>
  <c r="F504" i="2"/>
  <c r="AE504" i="2"/>
  <c r="AC504" i="2"/>
  <c r="U504" i="2"/>
  <c r="C505" i="2" l="1"/>
  <c r="AF505" i="2"/>
  <c r="J504" i="2"/>
  <c r="W504" i="2"/>
  <c r="X504" i="2" s="1"/>
  <c r="AD504" i="2"/>
  <c r="L504" i="2" s="1"/>
  <c r="I504" i="2" l="1"/>
  <c r="K504" i="2"/>
  <c r="D505" i="2"/>
  <c r="E505" i="2" s="1"/>
  <c r="T505" i="2" s="1"/>
  <c r="V505" i="2" l="1"/>
  <c r="N504" i="2"/>
  <c r="M504" i="2" s="1"/>
  <c r="P504" i="2" s="1"/>
  <c r="AG504" i="2" l="1"/>
  <c r="O504" i="2"/>
  <c r="Q504" i="2" l="1"/>
  <c r="R504" i="2"/>
  <c r="S504" i="2" l="1"/>
  <c r="Y504" i="2" l="1"/>
  <c r="AA504" i="2" s="1"/>
  <c r="Z504" i="2"/>
  <c r="AB505" i="2" l="1"/>
  <c r="B506" i="2" l="1"/>
  <c r="G505" i="2"/>
  <c r="H505" i="2" s="1"/>
  <c r="F505" i="2"/>
  <c r="AE505" i="2"/>
  <c r="AC505" i="2"/>
  <c r="U505" i="2"/>
  <c r="J505" i="2" l="1"/>
  <c r="W505" i="2"/>
  <c r="X505" i="2" s="1"/>
  <c r="AF506" i="2"/>
  <c r="C506" i="2"/>
  <c r="AD505" i="2"/>
  <c r="L505" i="2" s="1"/>
  <c r="D506" i="2" l="1"/>
  <c r="E506" i="2" s="1"/>
  <c r="T506" i="2" s="1"/>
  <c r="K505" i="2"/>
  <c r="I505" i="2"/>
  <c r="N505" i="2" l="1"/>
  <c r="M505" i="2" s="1"/>
  <c r="P505" i="2" s="1"/>
  <c r="V506" i="2"/>
  <c r="AG505" i="2" l="1"/>
  <c r="O505" i="2"/>
  <c r="Q505" i="2" s="1"/>
  <c r="R505" i="2" l="1"/>
  <c r="S505" i="2" s="1"/>
  <c r="Y505" i="2" l="1"/>
  <c r="AA505" i="2" s="1"/>
  <c r="AB506" i="2" s="1"/>
  <c r="Z505" i="2"/>
  <c r="B507" i="2" l="1"/>
  <c r="G506" i="2"/>
  <c r="H506" i="2" s="1"/>
  <c r="F506" i="2"/>
  <c r="AE506" i="2"/>
  <c r="AC506" i="2"/>
  <c r="U506" i="2"/>
  <c r="J506" i="2" l="1"/>
  <c r="W506" i="2"/>
  <c r="X506" i="2" s="1"/>
  <c r="AF507" i="2"/>
  <c r="C507" i="2"/>
  <c r="AD506" i="2"/>
  <c r="L506" i="2" s="1"/>
  <c r="D507" i="2" l="1"/>
  <c r="E507" i="2" s="1"/>
  <c r="T507" i="2" s="1"/>
  <c r="K506" i="2"/>
  <c r="I506" i="2"/>
  <c r="N506" i="2" l="1"/>
  <c r="M506" i="2" s="1"/>
  <c r="P506" i="2" s="1"/>
  <c r="V507" i="2"/>
  <c r="AG506" i="2" l="1"/>
  <c r="O506" i="2"/>
  <c r="R506" i="2" s="1"/>
  <c r="Q506" i="2" l="1"/>
  <c r="S506" i="2" s="1"/>
  <c r="Y506" i="2" s="1"/>
  <c r="AA506" i="2" s="1"/>
  <c r="Z506" i="2" l="1"/>
  <c r="AB507" i="2"/>
  <c r="B508" i="2" l="1"/>
  <c r="G507" i="2"/>
  <c r="H507" i="2" s="1"/>
  <c r="F507" i="2"/>
  <c r="AC507" i="2"/>
  <c r="AE507" i="2"/>
  <c r="U507" i="2"/>
  <c r="J507" i="2" l="1"/>
  <c r="W507" i="2"/>
  <c r="X507" i="2" s="1"/>
  <c r="AF508" i="2"/>
  <c r="C508" i="2"/>
  <c r="AD507" i="2"/>
  <c r="L507" i="2" s="1"/>
  <c r="I507" i="2" l="1"/>
  <c r="D508" i="2"/>
  <c r="E508" i="2" s="1"/>
  <c r="T508" i="2" s="1"/>
  <c r="K507" i="2"/>
  <c r="V508" i="2" l="1"/>
  <c r="N507" i="2"/>
  <c r="M507" i="2" s="1"/>
  <c r="P507" i="2" s="1"/>
  <c r="AG507" i="2" l="1"/>
  <c r="O507" i="2"/>
  <c r="R507" i="2" l="1"/>
  <c r="Q507" i="2"/>
  <c r="S507" i="2" l="1"/>
  <c r="Y507" i="2" s="1"/>
  <c r="AA507" i="2" s="1"/>
  <c r="Z507" i="2" l="1"/>
  <c r="AB508" i="2"/>
  <c r="B509" i="2" l="1"/>
  <c r="G508" i="2"/>
  <c r="H508" i="2" s="1"/>
  <c r="F508" i="2"/>
  <c r="AC508" i="2"/>
  <c r="AE508" i="2"/>
  <c r="U508" i="2"/>
  <c r="AD508" i="2" l="1"/>
  <c r="L508" i="2" s="1"/>
  <c r="C509" i="2"/>
  <c r="AF509" i="2"/>
  <c r="J508" i="2"/>
  <c r="W508" i="2"/>
  <c r="X508" i="2" s="1"/>
  <c r="I508" i="2" l="1"/>
  <c r="K508" i="2"/>
  <c r="D509" i="2"/>
  <c r="E509" i="2" s="1"/>
  <c r="T509" i="2" s="1"/>
  <c r="V509" i="2" l="1"/>
  <c r="N508" i="2"/>
  <c r="M508" i="2" s="1"/>
  <c r="P508" i="2" s="1"/>
  <c r="AG508" i="2" l="1"/>
  <c r="O508" i="2"/>
  <c r="Q508" i="2" l="1"/>
  <c r="R508" i="2"/>
  <c r="S508" i="2" l="1"/>
  <c r="Y508" i="2" l="1"/>
  <c r="AA508" i="2" s="1"/>
  <c r="Z508" i="2"/>
  <c r="AB509" i="2" l="1"/>
  <c r="B510" i="2" l="1"/>
  <c r="G509" i="2"/>
  <c r="H509" i="2" s="1"/>
  <c r="F509" i="2"/>
  <c r="AE509" i="2"/>
  <c r="AC509" i="2"/>
  <c r="U509" i="2"/>
  <c r="AF510" i="2" l="1"/>
  <c r="C510" i="2"/>
  <c r="J509" i="2"/>
  <c r="W509" i="2"/>
  <c r="X509" i="2" s="1"/>
  <c r="AD509" i="2"/>
  <c r="L509" i="2" s="1"/>
  <c r="I509" i="2" l="1"/>
  <c r="D510" i="2"/>
  <c r="E510" i="2" s="1"/>
  <c r="T510" i="2" s="1"/>
  <c r="K509" i="2"/>
  <c r="V510" i="2" l="1"/>
  <c r="N509" i="2"/>
  <c r="M509" i="2" s="1"/>
  <c r="P509" i="2" s="1"/>
  <c r="AG509" i="2" l="1"/>
  <c r="O509" i="2"/>
  <c r="R509" i="2" l="1"/>
  <c r="Q509" i="2"/>
  <c r="S509" i="2" l="1"/>
  <c r="Y509" i="2" s="1"/>
  <c r="AA509" i="2" s="1"/>
  <c r="Z509" i="2" l="1"/>
  <c r="AB510" i="2"/>
  <c r="B511" i="2" l="1"/>
  <c r="G510" i="2"/>
  <c r="H510" i="2" s="1"/>
  <c r="F510" i="2"/>
  <c r="AE510" i="2"/>
  <c r="AC510" i="2"/>
  <c r="U510" i="2"/>
  <c r="AF511" i="2" l="1"/>
  <c r="C511" i="2"/>
  <c r="AD510" i="2"/>
  <c r="L510" i="2" s="1"/>
  <c r="J510" i="2"/>
  <c r="W510" i="2"/>
  <c r="X510" i="2" s="1"/>
  <c r="I510" i="2" l="1"/>
  <c r="D511" i="2"/>
  <c r="E511" i="2" s="1"/>
  <c r="T511" i="2" s="1"/>
  <c r="K510" i="2"/>
  <c r="V511" i="2" l="1"/>
  <c r="N510" i="2"/>
  <c r="M510" i="2" s="1"/>
  <c r="P510" i="2" s="1"/>
  <c r="AG510" i="2" l="1"/>
  <c r="O510" i="2"/>
  <c r="R510" i="2" l="1"/>
  <c r="Q510" i="2"/>
  <c r="S510" i="2" l="1"/>
  <c r="Z510" i="2" s="1"/>
  <c r="Y510" i="2" l="1"/>
  <c r="AA510" i="2" s="1"/>
  <c r="AB511" i="2" s="1"/>
  <c r="B512" i="2" l="1"/>
  <c r="G511" i="2"/>
  <c r="H511" i="2" s="1"/>
  <c r="F511" i="2"/>
  <c r="AC511" i="2"/>
  <c r="AE511" i="2"/>
  <c r="U511" i="2"/>
  <c r="J511" i="2" l="1"/>
  <c r="W511" i="2"/>
  <c r="X511" i="2" s="1"/>
  <c r="AF512" i="2"/>
  <c r="C512" i="2"/>
  <c r="AD511" i="2"/>
  <c r="L511" i="2" s="1"/>
  <c r="D512" i="2" l="1"/>
  <c r="E512" i="2" s="1"/>
  <c r="T512" i="2" s="1"/>
  <c r="K511" i="2"/>
  <c r="I511" i="2"/>
  <c r="N511" i="2" l="1"/>
  <c r="M511" i="2" s="1"/>
  <c r="P511" i="2" s="1"/>
  <c r="V512" i="2"/>
  <c r="AG511" i="2" l="1"/>
  <c r="O511" i="2"/>
  <c r="R511" i="2" s="1"/>
  <c r="Q511" i="2" l="1"/>
  <c r="S511" i="2" s="1"/>
  <c r="Z511" i="2" s="1"/>
  <c r="Y511" i="2" l="1"/>
  <c r="AA511" i="2" s="1"/>
  <c r="AB512" i="2" s="1"/>
  <c r="B513" i="2" l="1"/>
  <c r="G512" i="2"/>
  <c r="H512" i="2" s="1"/>
  <c r="F512" i="2"/>
  <c r="AC512" i="2"/>
  <c r="AE512" i="2"/>
  <c r="U512" i="2"/>
  <c r="AF513" i="2" l="1"/>
  <c r="C513" i="2"/>
  <c r="AD512" i="2"/>
  <c r="L512" i="2" s="1"/>
  <c r="J512" i="2"/>
  <c r="W512" i="2"/>
  <c r="X512" i="2" s="1"/>
  <c r="D513" i="2" l="1"/>
  <c r="E513" i="2" s="1"/>
  <c r="T513" i="2" s="1"/>
  <c r="K512" i="2"/>
  <c r="I512" i="2"/>
  <c r="N512" i="2" l="1"/>
  <c r="M512" i="2" s="1"/>
  <c r="P512" i="2" s="1"/>
  <c r="V513" i="2"/>
  <c r="AG512" i="2" l="1"/>
  <c r="O512" i="2"/>
  <c r="R512" i="2" s="1"/>
  <c r="Q512" i="2" l="1"/>
  <c r="S512" i="2" s="1"/>
  <c r="Y512" i="2" l="1"/>
  <c r="AA512" i="2" s="1"/>
  <c r="AB513" i="2" s="1"/>
  <c r="Z512" i="2"/>
  <c r="B514" i="2" l="1"/>
  <c r="G513" i="2"/>
  <c r="H513" i="2" s="1"/>
  <c r="F513" i="2"/>
  <c r="AC513" i="2"/>
  <c r="AE513" i="2"/>
  <c r="U513" i="2"/>
  <c r="AF514" i="2" l="1"/>
  <c r="C514" i="2"/>
  <c r="J513" i="2"/>
  <c r="W513" i="2"/>
  <c r="X513" i="2" s="1"/>
  <c r="AD513" i="2"/>
  <c r="L513" i="2" s="1"/>
  <c r="I513" i="2" l="1"/>
  <c r="D514" i="2"/>
  <c r="E514" i="2" s="1"/>
  <c r="T514" i="2" s="1"/>
  <c r="K513" i="2"/>
  <c r="V514" i="2" l="1"/>
  <c r="N513" i="2"/>
  <c r="M513" i="2" s="1"/>
  <c r="P513" i="2" s="1"/>
  <c r="AG513" i="2" l="1"/>
  <c r="O513" i="2"/>
  <c r="R513" i="2" l="1"/>
  <c r="Q513" i="2"/>
  <c r="S513" i="2" l="1"/>
  <c r="Z513" i="2" s="1"/>
  <c r="Y513" i="2" l="1"/>
  <c r="AA513" i="2" s="1"/>
  <c r="AB514" i="2" s="1"/>
  <c r="B515" i="2" l="1"/>
  <c r="G514" i="2"/>
  <c r="H514" i="2" s="1"/>
  <c r="F514" i="2"/>
  <c r="AC514" i="2"/>
  <c r="AE514" i="2"/>
  <c r="U514" i="2"/>
  <c r="AD514" i="2" l="1"/>
  <c r="L514" i="2" s="1"/>
  <c r="AF515" i="2"/>
  <c r="C515" i="2"/>
  <c r="J514" i="2"/>
  <c r="W514" i="2"/>
  <c r="X514" i="2" s="1"/>
  <c r="I514" i="2" l="1"/>
  <c r="D515" i="2"/>
  <c r="E515" i="2" s="1"/>
  <c r="T515" i="2" s="1"/>
  <c r="K514" i="2"/>
  <c r="V515" i="2" l="1"/>
  <c r="N514" i="2"/>
  <c r="M514" i="2" s="1"/>
  <c r="P514" i="2" s="1"/>
  <c r="AG514" i="2" l="1"/>
  <c r="O514" i="2"/>
  <c r="R514" i="2" l="1"/>
  <c r="Q514" i="2"/>
  <c r="S514" i="2" l="1"/>
  <c r="Y514" i="2" s="1"/>
  <c r="AA514" i="2" s="1"/>
  <c r="Z514" i="2" l="1"/>
  <c r="AB515" i="2"/>
  <c r="B516" i="2" l="1"/>
  <c r="G515" i="2"/>
  <c r="H515" i="2" s="1"/>
  <c r="F515" i="2"/>
  <c r="AE515" i="2"/>
  <c r="AC515" i="2"/>
  <c r="U515" i="2"/>
  <c r="C516" i="2" l="1"/>
  <c r="AF516" i="2"/>
  <c r="J515" i="2"/>
  <c r="W515" i="2"/>
  <c r="X515" i="2" s="1"/>
  <c r="AD515" i="2"/>
  <c r="L515" i="2" s="1"/>
  <c r="I515" i="2" l="1"/>
  <c r="K515" i="2"/>
  <c r="D516" i="2"/>
  <c r="E516" i="2" s="1"/>
  <c r="T516" i="2" s="1"/>
  <c r="V516" i="2" l="1"/>
  <c r="N515" i="2"/>
  <c r="M515" i="2" s="1"/>
  <c r="P515" i="2" s="1"/>
  <c r="AG515" i="2" l="1"/>
  <c r="O515" i="2"/>
  <c r="R515" i="2" l="1"/>
  <c r="Q515" i="2"/>
  <c r="S515" i="2" l="1"/>
  <c r="Y515" i="2" s="1"/>
  <c r="AA515" i="2" s="1"/>
  <c r="Z515" i="2" l="1"/>
  <c r="AB516" i="2"/>
  <c r="B517" i="2" l="1"/>
  <c r="G516" i="2"/>
  <c r="H516" i="2" s="1"/>
  <c r="F516" i="2"/>
  <c r="AE516" i="2"/>
  <c r="AC516" i="2"/>
  <c r="U516" i="2"/>
  <c r="AD516" i="2" l="1"/>
  <c r="L516" i="2" s="1"/>
  <c r="C517" i="2"/>
  <c r="AF517" i="2"/>
  <c r="J516" i="2"/>
  <c r="W516" i="2"/>
  <c r="X516" i="2" s="1"/>
  <c r="K516" i="2" l="1"/>
  <c r="D517" i="2"/>
  <c r="E517" i="2" s="1"/>
  <c r="T517" i="2" s="1"/>
  <c r="I516" i="2"/>
  <c r="N516" i="2" l="1"/>
  <c r="M516" i="2" s="1"/>
  <c r="P516" i="2" s="1"/>
  <c r="V517" i="2"/>
  <c r="AG516" i="2" l="1"/>
  <c r="O516" i="2"/>
  <c r="R516" i="2" s="1"/>
  <c r="Q516" i="2" l="1"/>
  <c r="S516" i="2" s="1"/>
  <c r="Z516" i="2" s="1"/>
  <c r="Y516" i="2" l="1"/>
  <c r="AA516" i="2" s="1"/>
  <c r="AB517" i="2" s="1"/>
  <c r="B518" i="2" l="1"/>
  <c r="G517" i="2"/>
  <c r="H517" i="2" s="1"/>
  <c r="F517" i="2"/>
  <c r="AC517" i="2"/>
  <c r="AE517" i="2"/>
  <c r="U517" i="2"/>
  <c r="AD517" i="2" l="1"/>
  <c r="L517" i="2" s="1"/>
  <c r="J517" i="2"/>
  <c r="W517" i="2"/>
  <c r="X517" i="2" s="1"/>
  <c r="AF518" i="2"/>
  <c r="C518" i="2"/>
  <c r="K517" i="2" l="1"/>
  <c r="I517" i="2"/>
  <c r="D518" i="2"/>
  <c r="E518" i="2" s="1"/>
  <c r="T518" i="2" s="1"/>
  <c r="N517" i="2" l="1"/>
  <c r="M517" i="2" s="1"/>
  <c r="P517" i="2" s="1"/>
  <c r="V518" i="2"/>
  <c r="AG517" i="2" l="1"/>
  <c r="O517" i="2"/>
  <c r="Q517" i="2" s="1"/>
  <c r="R517" i="2" l="1"/>
  <c r="S517" i="2" s="1"/>
  <c r="Y517" i="2" s="1"/>
  <c r="AA517" i="2" s="1"/>
  <c r="Z517" i="2" l="1"/>
  <c r="AB518" i="2"/>
  <c r="B519" i="2" l="1"/>
  <c r="G518" i="2"/>
  <c r="H518" i="2" s="1"/>
  <c r="F518" i="2"/>
  <c r="AC518" i="2"/>
  <c r="AE518" i="2"/>
  <c r="U518" i="2"/>
  <c r="J518" i="2" l="1"/>
  <c r="W518" i="2"/>
  <c r="X518" i="2" s="1"/>
  <c r="AD518" i="2"/>
  <c r="L518" i="2" s="1"/>
  <c r="AF519" i="2"/>
  <c r="C519" i="2"/>
  <c r="K518" i="2" l="1"/>
  <c r="D519" i="2"/>
  <c r="E519" i="2" s="1"/>
  <c r="T519" i="2" s="1"/>
  <c r="I518" i="2"/>
  <c r="N518" i="2" l="1"/>
  <c r="M518" i="2" s="1"/>
  <c r="P518" i="2" s="1"/>
  <c r="V519" i="2"/>
  <c r="AG518" i="2" l="1"/>
  <c r="O518" i="2"/>
  <c r="R518" i="2" s="1"/>
  <c r="Q518" i="2" l="1"/>
  <c r="S518" i="2" s="1"/>
  <c r="Y518" i="2" l="1"/>
  <c r="AA518" i="2" s="1"/>
  <c r="AB519" i="2" s="1"/>
  <c r="Z518" i="2"/>
  <c r="B520" i="2" l="1"/>
  <c r="G519" i="2"/>
  <c r="H519" i="2" s="1"/>
  <c r="F519" i="2"/>
  <c r="AE519" i="2"/>
  <c r="AC519" i="2"/>
  <c r="U519" i="2"/>
  <c r="J519" i="2" l="1"/>
  <c r="W519" i="2"/>
  <c r="X519" i="2" s="1"/>
  <c r="AF520" i="2"/>
  <c r="C520" i="2"/>
  <c r="AD519" i="2"/>
  <c r="L519" i="2" s="1"/>
  <c r="D520" i="2" l="1"/>
  <c r="E520" i="2" s="1"/>
  <c r="T520" i="2" s="1"/>
  <c r="K519" i="2"/>
  <c r="I519" i="2"/>
  <c r="N519" i="2" l="1"/>
  <c r="M519" i="2" s="1"/>
  <c r="P519" i="2" s="1"/>
  <c r="V520" i="2"/>
  <c r="AG519" i="2" l="1"/>
  <c r="O519" i="2"/>
  <c r="Q519" i="2" s="1"/>
  <c r="R519" i="2" l="1"/>
  <c r="S519" i="2" s="1"/>
  <c r="Y519" i="2" s="1"/>
  <c r="AA519" i="2" s="1"/>
  <c r="Z519" i="2" l="1"/>
  <c r="AB520" i="2"/>
  <c r="B521" i="2" l="1"/>
  <c r="G520" i="2"/>
  <c r="H520" i="2" s="1"/>
  <c r="F520" i="2"/>
  <c r="AE520" i="2"/>
  <c r="AC520" i="2"/>
  <c r="U520" i="2"/>
  <c r="AD520" i="2" l="1"/>
  <c r="L520" i="2" s="1"/>
  <c r="AF521" i="2"/>
  <c r="C521" i="2"/>
  <c r="J520" i="2"/>
  <c r="W520" i="2"/>
  <c r="X520" i="2" s="1"/>
  <c r="K520" i="2" l="1"/>
  <c r="I520" i="2"/>
  <c r="D521" i="2"/>
  <c r="E521" i="2" s="1"/>
  <c r="T521" i="2" s="1"/>
  <c r="N520" i="2" l="1"/>
  <c r="M520" i="2" s="1"/>
  <c r="P520" i="2" s="1"/>
  <c r="V521" i="2"/>
  <c r="AG520" i="2" l="1"/>
  <c r="O520" i="2"/>
  <c r="Q520" i="2" s="1"/>
  <c r="R520" i="2" l="1"/>
  <c r="S520" i="2" s="1"/>
  <c r="Y520" i="2" s="1"/>
  <c r="AA520" i="2" s="1"/>
  <c r="Z520" i="2" l="1"/>
  <c r="AB521" i="2"/>
  <c r="B522" i="2" l="1"/>
  <c r="G521" i="2"/>
  <c r="H521" i="2" s="1"/>
  <c r="F521" i="2"/>
  <c r="AC521" i="2"/>
  <c r="AE521" i="2"/>
  <c r="U521" i="2"/>
  <c r="AD521" i="2" l="1"/>
  <c r="L521" i="2" s="1"/>
  <c r="AF522" i="2"/>
  <c r="C522" i="2"/>
  <c r="J521" i="2"/>
  <c r="W521" i="2"/>
  <c r="X521" i="2" s="1"/>
  <c r="I521" i="2" l="1"/>
  <c r="K521" i="2"/>
  <c r="D522" i="2"/>
  <c r="E522" i="2" s="1"/>
  <c r="T522" i="2" s="1"/>
  <c r="V522" i="2" l="1"/>
  <c r="N521" i="2"/>
  <c r="M521" i="2" s="1"/>
  <c r="P521" i="2" s="1"/>
  <c r="AG521" i="2" l="1"/>
  <c r="O521" i="2"/>
  <c r="R521" i="2" l="1"/>
  <c r="Q521" i="2"/>
  <c r="S521" i="2" l="1"/>
  <c r="Y521" i="2" s="1"/>
  <c r="AA521" i="2" s="1"/>
  <c r="Z521" i="2" l="1"/>
  <c r="AB522" i="2"/>
  <c r="B523" i="2" l="1"/>
  <c r="G522" i="2"/>
  <c r="H522" i="2" s="1"/>
  <c r="F522" i="2"/>
  <c r="AC522" i="2"/>
  <c r="AE522" i="2"/>
  <c r="U522" i="2"/>
  <c r="AD522" i="2" l="1"/>
  <c r="L522" i="2" s="1"/>
  <c r="C523" i="2"/>
  <c r="AF523" i="2"/>
  <c r="J522" i="2"/>
  <c r="W522" i="2"/>
  <c r="X522" i="2" s="1"/>
  <c r="K522" i="2" l="1"/>
  <c r="D523" i="2"/>
  <c r="E523" i="2" s="1"/>
  <c r="T523" i="2" s="1"/>
  <c r="I522" i="2"/>
  <c r="N522" i="2" l="1"/>
  <c r="M522" i="2" s="1"/>
  <c r="P522" i="2" s="1"/>
  <c r="V523" i="2"/>
  <c r="AG522" i="2" l="1"/>
  <c r="O522" i="2"/>
  <c r="Q522" i="2" s="1"/>
  <c r="R522" i="2" l="1"/>
  <c r="S522" i="2" s="1"/>
  <c r="Y522" i="2" l="1"/>
  <c r="AA522" i="2" s="1"/>
  <c r="AB523" i="2" s="1"/>
  <c r="Z522" i="2"/>
  <c r="B524" i="2" l="1"/>
  <c r="G523" i="2"/>
  <c r="H523" i="2" s="1"/>
  <c r="F523" i="2"/>
  <c r="AC523" i="2"/>
  <c r="AE523" i="2"/>
  <c r="U523" i="2"/>
  <c r="J523" i="2" l="1"/>
  <c r="W523" i="2"/>
  <c r="X523" i="2" s="1"/>
  <c r="AD523" i="2"/>
  <c r="L523" i="2" s="1"/>
  <c r="AF524" i="2"/>
  <c r="C524" i="2"/>
  <c r="D524" i="2" l="1"/>
  <c r="E524" i="2" s="1"/>
  <c r="T524" i="2" s="1"/>
  <c r="K523" i="2"/>
  <c r="I523" i="2"/>
  <c r="N523" i="2" l="1"/>
  <c r="M523" i="2" s="1"/>
  <c r="P523" i="2" s="1"/>
  <c r="V524" i="2"/>
  <c r="AG523" i="2" l="1"/>
  <c r="O523" i="2"/>
  <c r="Q523" i="2" s="1"/>
  <c r="R523" i="2" l="1"/>
  <c r="S523" i="2" s="1"/>
  <c r="Y523" i="2" s="1"/>
  <c r="AA523" i="2" s="1"/>
  <c r="Z523" i="2" l="1"/>
  <c r="AB524" i="2"/>
  <c r="B525" i="2" l="1"/>
  <c r="G524" i="2"/>
  <c r="H524" i="2" s="1"/>
  <c r="F524" i="2"/>
  <c r="AE524" i="2"/>
  <c r="AC524" i="2"/>
  <c r="U524" i="2"/>
  <c r="J524" i="2" l="1"/>
  <c r="W524" i="2"/>
  <c r="X524" i="2" s="1"/>
  <c r="AD524" i="2"/>
  <c r="L524" i="2" s="1"/>
  <c r="AF525" i="2"/>
  <c r="C525" i="2"/>
  <c r="D525" i="2" l="1"/>
  <c r="E525" i="2" s="1"/>
  <c r="T525" i="2" s="1"/>
  <c r="K524" i="2"/>
  <c r="I524" i="2"/>
  <c r="N524" i="2" l="1"/>
  <c r="M524" i="2" s="1"/>
  <c r="P524" i="2" s="1"/>
  <c r="V525" i="2"/>
  <c r="AG524" i="2" l="1"/>
  <c r="O524" i="2"/>
  <c r="R524" i="2" l="1"/>
  <c r="Q524" i="2"/>
  <c r="S524" i="2" l="1"/>
  <c r="Y524" i="2" s="1"/>
  <c r="AA524" i="2" s="1"/>
  <c r="Z524" i="2" l="1"/>
  <c r="AB525" i="2"/>
  <c r="B526" i="2" l="1"/>
  <c r="G525" i="2"/>
  <c r="H525" i="2" s="1"/>
  <c r="F525" i="2"/>
  <c r="AC525" i="2"/>
  <c r="AE525" i="2"/>
  <c r="U525" i="2"/>
  <c r="J525" i="2" l="1"/>
  <c r="W525" i="2"/>
  <c r="X525" i="2" s="1"/>
  <c r="C526" i="2"/>
  <c r="AF526" i="2"/>
  <c r="AD525" i="2"/>
  <c r="L525" i="2" s="1"/>
  <c r="K525" i="2" l="1"/>
  <c r="D526" i="2"/>
  <c r="E526" i="2" s="1"/>
  <c r="T526" i="2" s="1"/>
  <c r="I525" i="2"/>
  <c r="N525" i="2" l="1"/>
  <c r="M525" i="2" s="1"/>
  <c r="P525" i="2" s="1"/>
  <c r="V526" i="2"/>
  <c r="AG525" i="2" l="1"/>
  <c r="O525" i="2"/>
  <c r="Q525" i="2" s="1"/>
  <c r="R525" i="2" l="1"/>
  <c r="S525" i="2" s="1"/>
  <c r="Y525" i="2" s="1"/>
  <c r="AA525" i="2" s="1"/>
  <c r="Z525" i="2" l="1"/>
  <c r="AB526" i="2"/>
  <c r="B527" i="2" l="1"/>
  <c r="G526" i="2"/>
  <c r="H526" i="2" s="1"/>
  <c r="F526" i="2"/>
  <c r="AC526" i="2"/>
  <c r="AE526" i="2"/>
  <c r="U526" i="2"/>
  <c r="AD526" i="2" l="1"/>
  <c r="L526" i="2" s="1"/>
  <c r="C527" i="2"/>
  <c r="AF527" i="2"/>
  <c r="J526" i="2"/>
  <c r="W526" i="2"/>
  <c r="X526" i="2" s="1"/>
  <c r="K526" i="2" l="1"/>
  <c r="D527" i="2"/>
  <c r="E527" i="2" s="1"/>
  <c r="T527" i="2" s="1"/>
  <c r="I526" i="2"/>
  <c r="V527" i="2" l="1"/>
  <c r="N526" i="2"/>
  <c r="M526" i="2" s="1"/>
  <c r="P526" i="2" s="1"/>
  <c r="AG526" i="2" l="1"/>
  <c r="O526" i="2"/>
  <c r="R526" i="2" l="1"/>
  <c r="Q526" i="2"/>
  <c r="S526" i="2" l="1"/>
  <c r="Y526" i="2" s="1"/>
  <c r="AA526" i="2" s="1"/>
  <c r="Z526" i="2" l="1"/>
  <c r="AB527" i="2"/>
  <c r="B528" i="2" l="1"/>
  <c r="G527" i="2"/>
  <c r="H527" i="2" s="1"/>
  <c r="F527" i="2"/>
  <c r="AC527" i="2"/>
  <c r="AE527" i="2"/>
  <c r="U527" i="2"/>
  <c r="J527" i="2" l="1"/>
  <c r="W527" i="2"/>
  <c r="X527" i="2" s="1"/>
  <c r="AF528" i="2"/>
  <c r="C528" i="2"/>
  <c r="AD527" i="2"/>
  <c r="L527" i="2" s="1"/>
  <c r="K527" i="2" l="1"/>
  <c r="D528" i="2"/>
  <c r="E528" i="2" s="1"/>
  <c r="T528" i="2" s="1"/>
  <c r="I527" i="2"/>
  <c r="N527" i="2" l="1"/>
  <c r="M527" i="2" s="1"/>
  <c r="P527" i="2" s="1"/>
  <c r="V528" i="2"/>
  <c r="AG527" i="2" l="1"/>
  <c r="O527" i="2"/>
  <c r="Q527" i="2" s="1"/>
  <c r="R527" i="2" l="1"/>
  <c r="S527" i="2" s="1"/>
  <c r="Z527" i="2" s="1"/>
  <c r="Y527" i="2" l="1"/>
  <c r="AA527" i="2" s="1"/>
  <c r="AB528" i="2" s="1"/>
  <c r="B529" i="2" l="1"/>
  <c r="G528" i="2"/>
  <c r="H528" i="2" s="1"/>
  <c r="F528" i="2"/>
  <c r="AC528" i="2"/>
  <c r="AE528" i="2"/>
  <c r="U528" i="2"/>
  <c r="AD528" i="2" l="1"/>
  <c r="L528" i="2" s="1"/>
  <c r="AF529" i="2"/>
  <c r="C529" i="2"/>
  <c r="J528" i="2"/>
  <c r="W528" i="2"/>
  <c r="X528" i="2" s="1"/>
  <c r="K528" i="2" l="1"/>
  <c r="I528" i="2"/>
  <c r="D529" i="2"/>
  <c r="E529" i="2" s="1"/>
  <c r="T529" i="2" s="1"/>
  <c r="N528" i="2" l="1"/>
  <c r="M528" i="2" s="1"/>
  <c r="P528" i="2" s="1"/>
  <c r="V529" i="2"/>
  <c r="AG528" i="2" l="1"/>
  <c r="O528" i="2"/>
  <c r="Q528" i="2" s="1"/>
  <c r="R528" i="2" l="1"/>
  <c r="S528" i="2" s="1"/>
  <c r="Y528" i="2" l="1"/>
  <c r="AA528" i="2" s="1"/>
  <c r="Z528" i="2"/>
  <c r="AB529" i="2" l="1"/>
  <c r="B530" i="2" l="1"/>
  <c r="G529" i="2"/>
  <c r="H529" i="2" s="1"/>
  <c r="F529" i="2"/>
  <c r="AC529" i="2"/>
  <c r="AE529" i="2"/>
  <c r="U529" i="2"/>
  <c r="AD529" i="2" l="1"/>
  <c r="L529" i="2" s="1"/>
  <c r="AF530" i="2"/>
  <c r="C530" i="2"/>
  <c r="J529" i="2"/>
  <c r="W529" i="2"/>
  <c r="X529" i="2" s="1"/>
  <c r="I529" i="2" l="1"/>
  <c r="K529" i="2"/>
  <c r="D530" i="2"/>
  <c r="E530" i="2" s="1"/>
  <c r="T530" i="2" s="1"/>
  <c r="N529" i="2" l="1"/>
  <c r="M529" i="2" s="1"/>
  <c r="P529" i="2" s="1"/>
  <c r="V530" i="2"/>
  <c r="AG529" i="2" l="1"/>
  <c r="O529" i="2"/>
  <c r="Q529" i="2" s="1"/>
  <c r="R529" i="2" l="1"/>
  <c r="S529" i="2" s="1"/>
  <c r="Y529" i="2" s="1"/>
  <c r="AA529" i="2" s="1"/>
  <c r="Z529" i="2" l="1"/>
  <c r="AB530" i="2"/>
  <c r="B531" i="2" l="1"/>
  <c r="G530" i="2"/>
  <c r="H530" i="2" s="1"/>
  <c r="F530" i="2"/>
  <c r="AC530" i="2"/>
  <c r="AE530" i="2"/>
  <c r="U530" i="2"/>
  <c r="J530" i="2" l="1"/>
  <c r="W530" i="2"/>
  <c r="X530" i="2" s="1"/>
  <c r="AD530" i="2"/>
  <c r="L530" i="2" s="1"/>
  <c r="AF531" i="2"/>
  <c r="C531" i="2"/>
  <c r="K530" i="2" l="1"/>
  <c r="D531" i="2"/>
  <c r="E531" i="2" s="1"/>
  <c r="T531" i="2" s="1"/>
  <c r="I530" i="2"/>
  <c r="N530" i="2" l="1"/>
  <c r="M530" i="2" s="1"/>
  <c r="P530" i="2" s="1"/>
  <c r="V531" i="2"/>
  <c r="AG530" i="2" l="1"/>
  <c r="O530" i="2"/>
  <c r="Q530" i="2" s="1"/>
  <c r="R530" i="2" l="1"/>
  <c r="S530" i="2" s="1"/>
  <c r="Y530" i="2" s="1"/>
  <c r="AA530" i="2" s="1"/>
  <c r="Z530" i="2" l="1"/>
  <c r="AB531" i="2"/>
  <c r="B532" i="2" l="1"/>
  <c r="G531" i="2"/>
  <c r="H531" i="2" s="1"/>
  <c r="F531" i="2"/>
  <c r="AC531" i="2"/>
  <c r="AE531" i="2"/>
  <c r="U531" i="2"/>
  <c r="AD531" i="2" l="1"/>
  <c r="L531" i="2" s="1"/>
  <c r="J531" i="2"/>
  <c r="W531" i="2"/>
  <c r="X531" i="2" s="1"/>
  <c r="AF532" i="2"/>
  <c r="C532" i="2"/>
  <c r="I531" i="2" l="1"/>
  <c r="K531" i="2"/>
  <c r="D532" i="2"/>
  <c r="E532" i="2" s="1"/>
  <c r="T532" i="2" s="1"/>
  <c r="V532" i="2" l="1"/>
  <c r="N531" i="2"/>
  <c r="M531" i="2" s="1"/>
  <c r="P531" i="2" s="1"/>
  <c r="AG531" i="2" l="1"/>
  <c r="O531" i="2"/>
  <c r="R531" i="2" l="1"/>
  <c r="Q531" i="2"/>
  <c r="S531" i="2" l="1"/>
  <c r="Z531" i="2" s="1"/>
  <c r="Y531" i="2" l="1"/>
  <c r="AA531" i="2" s="1"/>
  <c r="AB532" i="2" s="1"/>
  <c r="B533" i="2" l="1"/>
  <c r="G532" i="2"/>
  <c r="H532" i="2" s="1"/>
  <c r="F532" i="2"/>
  <c r="AE532" i="2"/>
  <c r="AC532" i="2"/>
  <c r="U532" i="2"/>
  <c r="J532" i="2" l="1"/>
  <c r="W532" i="2"/>
  <c r="X532" i="2" s="1"/>
  <c r="AD532" i="2"/>
  <c r="L532" i="2" s="1"/>
  <c r="C533" i="2"/>
  <c r="AF533" i="2"/>
  <c r="K532" i="2" l="1"/>
  <c r="D533" i="2"/>
  <c r="E533" i="2" s="1"/>
  <c r="T533" i="2" s="1"/>
  <c r="I532" i="2"/>
  <c r="N532" i="2" l="1"/>
  <c r="M532" i="2" s="1"/>
  <c r="P532" i="2" s="1"/>
  <c r="V533" i="2"/>
  <c r="AG532" i="2" l="1"/>
  <c r="O532" i="2"/>
  <c r="R532" i="2" s="1"/>
  <c r="Q532" i="2" l="1"/>
  <c r="S532" i="2" s="1"/>
  <c r="Y532" i="2" l="1"/>
  <c r="AA532" i="2" s="1"/>
  <c r="Z532" i="2"/>
  <c r="AB533" i="2" l="1"/>
  <c r="B534" i="2" l="1"/>
  <c r="G533" i="2"/>
  <c r="H533" i="2" s="1"/>
  <c r="F533" i="2"/>
  <c r="AE533" i="2"/>
  <c r="AC533" i="2"/>
  <c r="U533" i="2"/>
  <c r="AF534" i="2" l="1"/>
  <c r="C534" i="2"/>
  <c r="J533" i="2"/>
  <c r="W533" i="2"/>
  <c r="X533" i="2" s="1"/>
  <c r="AD533" i="2"/>
  <c r="L533" i="2" s="1"/>
  <c r="I533" i="2" l="1"/>
  <c r="D534" i="2"/>
  <c r="E534" i="2" s="1"/>
  <c r="T534" i="2" s="1"/>
  <c r="K533" i="2"/>
  <c r="V534" i="2" l="1"/>
  <c r="N533" i="2"/>
  <c r="M533" i="2" s="1"/>
  <c r="P533" i="2" s="1"/>
  <c r="AG533" i="2" l="1"/>
  <c r="O533" i="2"/>
  <c r="R533" i="2" l="1"/>
  <c r="Q533" i="2"/>
  <c r="S533" i="2" l="1"/>
  <c r="Y533" i="2" s="1"/>
  <c r="AA533" i="2" s="1"/>
  <c r="Z533" i="2" l="1"/>
  <c r="AB534" i="2"/>
  <c r="B535" i="2" l="1"/>
  <c r="G534" i="2"/>
  <c r="H534" i="2" s="1"/>
  <c r="F534" i="2"/>
  <c r="AE534" i="2"/>
  <c r="AC534" i="2"/>
  <c r="U534" i="2"/>
  <c r="AD534" i="2" l="1"/>
  <c r="L534" i="2" s="1"/>
  <c r="AF535" i="2"/>
  <c r="C535" i="2"/>
  <c r="J534" i="2"/>
  <c r="W534" i="2"/>
  <c r="X534" i="2" s="1"/>
  <c r="K534" i="2" l="1"/>
  <c r="I534" i="2"/>
  <c r="D535" i="2"/>
  <c r="E535" i="2" s="1"/>
  <c r="T535" i="2" s="1"/>
  <c r="N534" i="2" l="1"/>
  <c r="M534" i="2" s="1"/>
  <c r="P534" i="2" s="1"/>
  <c r="V535" i="2"/>
  <c r="AG534" i="2" l="1"/>
  <c r="O534" i="2"/>
  <c r="R534" i="2" s="1"/>
  <c r="Q534" i="2" l="1"/>
  <c r="S534" i="2" s="1"/>
  <c r="Z534" i="2" s="1"/>
  <c r="Y534" i="2" l="1"/>
  <c r="AA534" i="2" s="1"/>
  <c r="AB535" i="2" s="1"/>
  <c r="B536" i="2" l="1"/>
  <c r="G535" i="2"/>
  <c r="H535" i="2" s="1"/>
  <c r="F535" i="2"/>
  <c r="AC535" i="2"/>
  <c r="AE535" i="2"/>
  <c r="U535" i="2"/>
  <c r="C536" i="2" l="1"/>
  <c r="AF536" i="2"/>
  <c r="J535" i="2"/>
  <c r="W535" i="2"/>
  <c r="X535" i="2" s="1"/>
  <c r="AD535" i="2"/>
  <c r="L535" i="2" s="1"/>
  <c r="I535" i="2" l="1"/>
  <c r="K535" i="2"/>
  <c r="D536" i="2"/>
  <c r="E536" i="2" s="1"/>
  <c r="T536" i="2" s="1"/>
  <c r="V536" i="2" l="1"/>
  <c r="N535" i="2"/>
  <c r="M535" i="2" s="1"/>
  <c r="P535" i="2" s="1"/>
  <c r="AG535" i="2" l="1"/>
  <c r="O535" i="2"/>
  <c r="R535" i="2" l="1"/>
  <c r="Q535" i="2"/>
  <c r="S535" i="2" l="1"/>
  <c r="Z535" i="2" s="1"/>
  <c r="Y535" i="2" l="1"/>
  <c r="AA535" i="2" s="1"/>
  <c r="AB536" i="2" s="1"/>
  <c r="B537" i="2" l="1"/>
  <c r="G536" i="2"/>
  <c r="H536" i="2" s="1"/>
  <c r="F536" i="2"/>
  <c r="AC536" i="2"/>
  <c r="AE536" i="2"/>
  <c r="U536" i="2"/>
  <c r="AF537" i="2" l="1"/>
  <c r="C537" i="2"/>
  <c r="J536" i="2"/>
  <c r="W536" i="2"/>
  <c r="X536" i="2" s="1"/>
  <c r="AD536" i="2"/>
  <c r="L536" i="2" s="1"/>
  <c r="I536" i="2" l="1"/>
  <c r="D537" i="2"/>
  <c r="E537" i="2" s="1"/>
  <c r="T537" i="2" s="1"/>
  <c r="K536" i="2"/>
  <c r="V537" i="2" l="1"/>
  <c r="N536" i="2"/>
  <c r="M536" i="2" s="1"/>
  <c r="P536" i="2" s="1"/>
  <c r="AG536" i="2" l="1"/>
  <c r="O536" i="2"/>
  <c r="R536" i="2" l="1"/>
  <c r="Q536" i="2"/>
  <c r="S536" i="2" l="1"/>
  <c r="Y536" i="2" s="1"/>
  <c r="AA536" i="2" s="1"/>
  <c r="Z536" i="2" l="1"/>
  <c r="AB537" i="2"/>
  <c r="B538" i="2" l="1"/>
  <c r="G537" i="2"/>
  <c r="H537" i="2" s="1"/>
  <c r="F537" i="2"/>
  <c r="AC537" i="2"/>
  <c r="AE537" i="2"/>
  <c r="U537" i="2"/>
  <c r="AD537" i="2" l="1"/>
  <c r="L537" i="2" s="1"/>
  <c r="AF538" i="2"/>
  <c r="C538" i="2"/>
  <c r="J537" i="2"/>
  <c r="W537" i="2"/>
  <c r="X537" i="2" s="1"/>
  <c r="I537" i="2" l="1"/>
  <c r="D538" i="2"/>
  <c r="E538" i="2" s="1"/>
  <c r="T538" i="2" s="1"/>
  <c r="K537" i="2"/>
  <c r="V538" i="2" l="1"/>
  <c r="N537" i="2"/>
  <c r="M537" i="2" s="1"/>
  <c r="P537" i="2" s="1"/>
  <c r="AG537" i="2" l="1"/>
  <c r="O537" i="2"/>
  <c r="R537" i="2" l="1"/>
  <c r="Q537" i="2"/>
  <c r="S537" i="2" l="1"/>
  <c r="Z537" i="2" s="1"/>
  <c r="Y537" i="2" l="1"/>
  <c r="AA537" i="2" s="1"/>
  <c r="AB538" i="2" s="1"/>
  <c r="B539" i="2" l="1"/>
  <c r="G538" i="2"/>
  <c r="H538" i="2" s="1"/>
  <c r="F538" i="2"/>
  <c r="AC538" i="2"/>
  <c r="AE538" i="2"/>
  <c r="U538" i="2"/>
  <c r="AF539" i="2" l="1"/>
  <c r="C539" i="2"/>
  <c r="J538" i="2"/>
  <c r="W538" i="2"/>
  <c r="X538" i="2" s="1"/>
  <c r="AD538" i="2"/>
  <c r="L538" i="2" s="1"/>
  <c r="K538" i="2" l="1"/>
  <c r="D539" i="2"/>
  <c r="E539" i="2" s="1"/>
  <c r="T539" i="2" s="1"/>
  <c r="I538" i="2"/>
  <c r="N538" i="2" l="1"/>
  <c r="M538" i="2" s="1"/>
  <c r="P538" i="2" s="1"/>
  <c r="V539" i="2"/>
  <c r="AG538" i="2" l="1"/>
  <c r="O538" i="2"/>
  <c r="R538" i="2" s="1"/>
  <c r="Q538" i="2" l="1"/>
  <c r="S538" i="2" s="1"/>
  <c r="Y538" i="2" s="1"/>
  <c r="AA538" i="2" s="1"/>
  <c r="Z538" i="2" l="1"/>
  <c r="AB539" i="2"/>
  <c r="B540" i="2" l="1"/>
  <c r="G539" i="2"/>
  <c r="H539" i="2" s="1"/>
  <c r="F539" i="2"/>
  <c r="AC539" i="2"/>
  <c r="AE539" i="2"/>
  <c r="U539" i="2"/>
  <c r="AF540" i="2" l="1"/>
  <c r="C540" i="2"/>
  <c r="J539" i="2"/>
  <c r="W539" i="2"/>
  <c r="X539" i="2" s="1"/>
  <c r="AD539" i="2"/>
  <c r="L539" i="2" s="1"/>
  <c r="K539" i="2" l="1"/>
  <c r="D540" i="2"/>
  <c r="E540" i="2" s="1"/>
  <c r="T540" i="2" s="1"/>
  <c r="I539" i="2"/>
  <c r="N539" i="2" l="1"/>
  <c r="M539" i="2" s="1"/>
  <c r="P539" i="2" s="1"/>
  <c r="V540" i="2"/>
  <c r="AG539" i="2" l="1"/>
  <c r="O539" i="2"/>
  <c r="Q539" i="2" s="1"/>
  <c r="R539" i="2" l="1"/>
  <c r="S539" i="2" s="1"/>
  <c r="Z539" i="2" s="1"/>
  <c r="Y539" i="2" l="1"/>
  <c r="AA539" i="2" s="1"/>
  <c r="AB540" i="2" s="1"/>
  <c r="B541" i="2" l="1"/>
  <c r="G540" i="2"/>
  <c r="H540" i="2" s="1"/>
  <c r="F540" i="2"/>
  <c r="AC540" i="2"/>
  <c r="AE540" i="2"/>
  <c r="U540" i="2"/>
  <c r="AD540" i="2" l="1"/>
  <c r="L540" i="2" s="1"/>
  <c r="AF541" i="2"/>
  <c r="C541" i="2"/>
  <c r="J540" i="2"/>
  <c r="W540" i="2"/>
  <c r="X540" i="2" s="1"/>
  <c r="I540" i="2" l="1"/>
  <c r="K540" i="2"/>
  <c r="D541" i="2"/>
  <c r="E541" i="2" s="1"/>
  <c r="T541" i="2" s="1"/>
  <c r="N540" i="2" l="1"/>
  <c r="M540" i="2" s="1"/>
  <c r="P540" i="2" s="1"/>
  <c r="V541" i="2"/>
  <c r="AG540" i="2" l="1"/>
  <c r="O540" i="2"/>
  <c r="R540" i="2" s="1"/>
  <c r="Q540" i="2" l="1"/>
  <c r="S540" i="2" s="1"/>
  <c r="Z540" i="2" s="1"/>
  <c r="Y540" i="2" l="1"/>
  <c r="AA540" i="2" s="1"/>
  <c r="AB541" i="2" s="1"/>
  <c r="B542" i="2" l="1"/>
  <c r="G541" i="2"/>
  <c r="H541" i="2" s="1"/>
  <c r="F541" i="2"/>
  <c r="AC541" i="2"/>
  <c r="AE541" i="2"/>
  <c r="U541" i="2"/>
  <c r="AD541" i="2" l="1"/>
  <c r="L541" i="2" s="1"/>
  <c r="AF542" i="2"/>
  <c r="C542" i="2"/>
  <c r="J541" i="2"/>
  <c r="W541" i="2"/>
  <c r="X541" i="2" s="1"/>
  <c r="I541" i="2" l="1"/>
  <c r="D542" i="2"/>
  <c r="E542" i="2" s="1"/>
  <c r="T542" i="2" s="1"/>
  <c r="K541" i="2"/>
  <c r="V542" i="2" l="1"/>
  <c r="N541" i="2"/>
  <c r="M541" i="2" s="1"/>
  <c r="P541" i="2" s="1"/>
  <c r="AG541" i="2" l="1"/>
  <c r="O541" i="2"/>
  <c r="Q541" i="2" l="1"/>
  <c r="R541" i="2"/>
  <c r="S541" i="2" l="1"/>
  <c r="Y541" i="2" l="1"/>
  <c r="AA541" i="2" s="1"/>
  <c r="AB542" i="2" s="1"/>
  <c r="Z541" i="2"/>
  <c r="B543" i="2" l="1"/>
  <c r="G542" i="2"/>
  <c r="H542" i="2" s="1"/>
  <c r="F542" i="2"/>
  <c r="AC542" i="2"/>
  <c r="AE542" i="2"/>
  <c r="U542" i="2"/>
  <c r="AD542" i="2" l="1"/>
  <c r="L542" i="2" s="1"/>
  <c r="AF543" i="2"/>
  <c r="C543" i="2"/>
  <c r="J542" i="2"/>
  <c r="W542" i="2"/>
  <c r="X542" i="2" s="1"/>
  <c r="I542" i="2" l="1"/>
  <c r="K542" i="2"/>
  <c r="D543" i="2"/>
  <c r="E543" i="2" s="1"/>
  <c r="T543" i="2" s="1"/>
  <c r="V543" i="2" l="1"/>
  <c r="N542" i="2"/>
  <c r="M542" i="2" s="1"/>
  <c r="P542" i="2" s="1"/>
  <c r="AG542" i="2" l="1"/>
  <c r="O542" i="2"/>
  <c r="R542" i="2" l="1"/>
  <c r="Q542" i="2"/>
  <c r="S542" i="2" l="1"/>
  <c r="Z542" i="2" s="1"/>
  <c r="Y542" i="2" l="1"/>
  <c r="AA542" i="2" s="1"/>
  <c r="AB543" i="2" s="1"/>
  <c r="B544" i="2" l="1"/>
  <c r="G543" i="2"/>
  <c r="H543" i="2" s="1"/>
  <c r="F543" i="2"/>
  <c r="AE543" i="2"/>
  <c r="AC543" i="2"/>
  <c r="U543" i="2"/>
  <c r="AF544" i="2" l="1"/>
  <c r="C544" i="2"/>
  <c r="J543" i="2"/>
  <c r="W543" i="2"/>
  <c r="X543" i="2" s="1"/>
  <c r="AD543" i="2"/>
  <c r="L543" i="2" s="1"/>
  <c r="D544" i="2" l="1"/>
  <c r="E544" i="2" s="1"/>
  <c r="T544" i="2" s="1"/>
  <c r="K543" i="2"/>
  <c r="I543" i="2"/>
  <c r="N543" i="2" l="1"/>
  <c r="M543" i="2" s="1"/>
  <c r="P543" i="2" s="1"/>
  <c r="V544" i="2"/>
  <c r="AG543" i="2" l="1"/>
  <c r="O543" i="2"/>
  <c r="R543" i="2" s="1"/>
  <c r="Q543" i="2" l="1"/>
  <c r="S543" i="2" s="1"/>
  <c r="Z543" i="2" s="1"/>
  <c r="Y543" i="2" l="1"/>
  <c r="AA543" i="2" s="1"/>
  <c r="AB544" i="2" s="1"/>
  <c r="B545" i="2" l="1"/>
  <c r="G544" i="2"/>
  <c r="H544" i="2" s="1"/>
  <c r="F544" i="2"/>
  <c r="AC544" i="2"/>
  <c r="AE544" i="2"/>
  <c r="U544" i="2"/>
  <c r="AF545" i="2" l="1"/>
  <c r="C545" i="2"/>
  <c r="AD544" i="2"/>
  <c r="L544" i="2" s="1"/>
  <c r="J544" i="2"/>
  <c r="W544" i="2"/>
  <c r="X544" i="2" s="1"/>
  <c r="I544" i="2" l="1"/>
  <c r="K544" i="2"/>
  <c r="D545" i="2"/>
  <c r="E545" i="2" s="1"/>
  <c r="T545" i="2" s="1"/>
  <c r="V545" i="2" l="1"/>
  <c r="N544" i="2"/>
  <c r="M544" i="2" s="1"/>
  <c r="P544" i="2" s="1"/>
  <c r="AG544" i="2" l="1"/>
  <c r="O544" i="2"/>
  <c r="R544" i="2" l="1"/>
  <c r="Q544" i="2"/>
  <c r="S544" i="2" l="1"/>
  <c r="Y544" i="2" s="1"/>
  <c r="AA544" i="2" s="1"/>
  <c r="Z544" i="2" l="1"/>
  <c r="AB545" i="2"/>
  <c r="B546" i="2" l="1"/>
  <c r="G545" i="2"/>
  <c r="H545" i="2" s="1"/>
  <c r="F545" i="2"/>
  <c r="AE545" i="2"/>
  <c r="AC545" i="2"/>
  <c r="U545" i="2"/>
  <c r="J545" i="2" l="1"/>
  <c r="W545" i="2"/>
  <c r="X545" i="2" s="1"/>
  <c r="AD545" i="2"/>
  <c r="L545" i="2" s="1"/>
  <c r="AF546" i="2"/>
  <c r="C546" i="2"/>
  <c r="I545" i="2" l="1"/>
  <c r="D546" i="2"/>
  <c r="E546" i="2" s="1"/>
  <c r="T546" i="2" s="1"/>
  <c r="K545" i="2"/>
  <c r="N545" i="2" l="1"/>
  <c r="M545" i="2" s="1"/>
  <c r="P545" i="2" s="1"/>
  <c r="V546" i="2"/>
  <c r="AG545" i="2" l="1"/>
  <c r="O545" i="2"/>
  <c r="Q545" i="2" s="1"/>
  <c r="R545" i="2" l="1"/>
  <c r="S545" i="2" s="1"/>
  <c r="Z545" i="2" s="1"/>
  <c r="Y545" i="2" l="1"/>
  <c r="AA545" i="2" s="1"/>
  <c r="AB546" i="2" s="1"/>
  <c r="B547" i="2" l="1"/>
  <c r="G546" i="2"/>
  <c r="H546" i="2" s="1"/>
  <c r="F546" i="2"/>
  <c r="AE546" i="2"/>
  <c r="AC546" i="2"/>
  <c r="U546" i="2"/>
  <c r="AF547" i="2" l="1"/>
  <c r="C547" i="2"/>
  <c r="AD546" i="2"/>
  <c r="L546" i="2" s="1"/>
  <c r="J546" i="2"/>
  <c r="W546" i="2"/>
  <c r="X546" i="2" s="1"/>
  <c r="K546" i="2" l="1"/>
  <c r="D547" i="2"/>
  <c r="E547" i="2" s="1"/>
  <c r="T547" i="2" s="1"/>
  <c r="I546" i="2"/>
  <c r="N546" i="2" l="1"/>
  <c r="M546" i="2" s="1"/>
  <c r="P546" i="2" s="1"/>
  <c r="V547" i="2"/>
  <c r="AG546" i="2" l="1"/>
  <c r="O546" i="2"/>
  <c r="Q546" i="2" s="1"/>
  <c r="R546" i="2" l="1"/>
  <c r="S546" i="2" s="1"/>
  <c r="Z546" i="2" s="1"/>
  <c r="Y546" i="2" l="1"/>
  <c r="AA546" i="2" s="1"/>
  <c r="AB547" i="2" s="1"/>
  <c r="B548" i="2" l="1"/>
  <c r="G547" i="2"/>
  <c r="H547" i="2" s="1"/>
  <c r="F547" i="2"/>
  <c r="AC547" i="2"/>
  <c r="AE547" i="2"/>
  <c r="U547" i="2"/>
  <c r="AD547" i="2" l="1"/>
  <c r="L547" i="2" s="1"/>
  <c r="AF548" i="2"/>
  <c r="C548" i="2"/>
  <c r="J547" i="2"/>
  <c r="W547" i="2"/>
  <c r="X547" i="2" s="1"/>
  <c r="K547" i="2" l="1"/>
  <c r="I547" i="2"/>
  <c r="D548" i="2"/>
  <c r="E548" i="2" s="1"/>
  <c r="T548" i="2" s="1"/>
  <c r="V548" i="2" l="1"/>
  <c r="N547" i="2"/>
  <c r="M547" i="2" s="1"/>
  <c r="P547" i="2" s="1"/>
  <c r="AG547" i="2" l="1"/>
  <c r="O547" i="2"/>
  <c r="Q547" i="2" l="1"/>
  <c r="R547" i="2"/>
  <c r="S547" i="2" l="1"/>
  <c r="Y547" i="2" l="1"/>
  <c r="AA547" i="2" s="1"/>
  <c r="Z547" i="2"/>
  <c r="AB548" i="2" l="1"/>
  <c r="B549" i="2" l="1"/>
  <c r="G548" i="2"/>
  <c r="H548" i="2" s="1"/>
  <c r="F548" i="2"/>
  <c r="AC548" i="2"/>
  <c r="AE548" i="2"/>
  <c r="U548" i="2"/>
  <c r="AD548" i="2" l="1"/>
  <c r="L548" i="2" s="1"/>
  <c r="AF549" i="2"/>
  <c r="C549" i="2"/>
  <c r="J548" i="2"/>
  <c r="W548" i="2"/>
  <c r="X548" i="2" s="1"/>
  <c r="I548" i="2" l="1"/>
  <c r="K548" i="2"/>
  <c r="D549" i="2"/>
  <c r="E549" i="2" s="1"/>
  <c r="T549" i="2" s="1"/>
  <c r="V549" i="2" l="1"/>
  <c r="N548" i="2"/>
  <c r="M548" i="2" s="1"/>
  <c r="P548" i="2" s="1"/>
  <c r="AG548" i="2" l="1"/>
  <c r="O548" i="2"/>
  <c r="R548" i="2" l="1"/>
  <c r="Q548" i="2"/>
  <c r="S548" i="2" l="1"/>
  <c r="Y548" i="2" s="1"/>
  <c r="AA548" i="2" s="1"/>
  <c r="Z548" i="2" l="1"/>
  <c r="AB549" i="2"/>
  <c r="B550" i="2" l="1"/>
  <c r="G549" i="2"/>
  <c r="H549" i="2" s="1"/>
  <c r="F549" i="2"/>
  <c r="AC549" i="2"/>
  <c r="AE549" i="2"/>
  <c r="U549" i="2"/>
  <c r="AD549" i="2" l="1"/>
  <c r="L549" i="2" s="1"/>
  <c r="AF550" i="2"/>
  <c r="C550" i="2"/>
  <c r="J549" i="2"/>
  <c r="W549" i="2"/>
  <c r="X549" i="2" s="1"/>
  <c r="I549" i="2" l="1"/>
  <c r="K549" i="2"/>
  <c r="D550" i="2"/>
  <c r="E550" i="2" s="1"/>
  <c r="T550" i="2" s="1"/>
  <c r="V550" i="2" l="1"/>
  <c r="N549" i="2"/>
  <c r="M549" i="2" s="1"/>
  <c r="P549" i="2" s="1"/>
  <c r="AG549" i="2" l="1"/>
  <c r="O549" i="2"/>
  <c r="Q549" i="2" l="1"/>
  <c r="R549" i="2"/>
  <c r="S549" i="2" l="1"/>
  <c r="Y549" i="2" l="1"/>
  <c r="AA549" i="2" s="1"/>
  <c r="Z549" i="2"/>
  <c r="AB550" i="2" l="1"/>
  <c r="B551" i="2" l="1"/>
  <c r="G550" i="2"/>
  <c r="H550" i="2" s="1"/>
  <c r="F550" i="2"/>
  <c r="AC550" i="2"/>
  <c r="AE550" i="2"/>
  <c r="U550" i="2"/>
  <c r="AD550" i="2" l="1"/>
  <c r="L550" i="2" s="1"/>
  <c r="J550" i="2"/>
  <c r="W550" i="2"/>
  <c r="X550" i="2" s="1"/>
  <c r="AF551" i="2"/>
  <c r="C551" i="2"/>
  <c r="I550" i="2" l="1"/>
  <c r="D551" i="2"/>
  <c r="E551" i="2" s="1"/>
  <c r="T551" i="2" s="1"/>
  <c r="K550" i="2"/>
  <c r="V551" i="2" l="1"/>
  <c r="N550" i="2"/>
  <c r="M550" i="2" s="1"/>
  <c r="P550" i="2" s="1"/>
  <c r="AG550" i="2" l="1"/>
  <c r="O550" i="2"/>
  <c r="R550" i="2" l="1"/>
  <c r="Q550" i="2"/>
  <c r="S550" i="2" l="1"/>
  <c r="Z550" i="2" s="1"/>
  <c r="Y550" i="2" l="1"/>
  <c r="AA550" i="2" s="1"/>
  <c r="AB551" i="2" s="1"/>
  <c r="B552" i="2" l="1"/>
  <c r="G551" i="2"/>
  <c r="H551" i="2" s="1"/>
  <c r="F551" i="2"/>
  <c r="AC551" i="2"/>
  <c r="AE551" i="2"/>
  <c r="U551" i="2"/>
  <c r="J551" i="2" l="1"/>
  <c r="W551" i="2"/>
  <c r="X551" i="2" s="1"/>
  <c r="AF552" i="2"/>
  <c r="C552" i="2"/>
  <c r="AD551" i="2"/>
  <c r="L551" i="2" s="1"/>
  <c r="D552" i="2" l="1"/>
  <c r="E552" i="2" s="1"/>
  <c r="T552" i="2" s="1"/>
  <c r="K551" i="2"/>
  <c r="I551" i="2"/>
  <c r="N551" i="2" l="1"/>
  <c r="M551" i="2" s="1"/>
  <c r="P551" i="2" s="1"/>
  <c r="V552" i="2"/>
  <c r="AG551" i="2" l="1"/>
  <c r="O551" i="2"/>
  <c r="R551" i="2" s="1"/>
  <c r="Q551" i="2" l="1"/>
  <c r="S551" i="2" s="1"/>
  <c r="Y551" i="2" s="1"/>
  <c r="AA551" i="2" s="1"/>
  <c r="Z551" i="2" l="1"/>
  <c r="AB552" i="2"/>
  <c r="B553" i="2" l="1"/>
  <c r="G552" i="2"/>
  <c r="H552" i="2" s="1"/>
  <c r="F552" i="2"/>
  <c r="AC552" i="2"/>
  <c r="AE552" i="2"/>
  <c r="U552" i="2"/>
  <c r="C553" i="2" l="1"/>
  <c r="AF553" i="2"/>
  <c r="J552" i="2"/>
  <c r="W552" i="2"/>
  <c r="X552" i="2" s="1"/>
  <c r="AD552" i="2"/>
  <c r="L552" i="2" s="1"/>
  <c r="K552" i="2" l="1"/>
  <c r="I552" i="2"/>
  <c r="D553" i="2"/>
  <c r="E553" i="2" s="1"/>
  <c r="T553" i="2" s="1"/>
  <c r="N552" i="2" l="1"/>
  <c r="M552" i="2" s="1"/>
  <c r="P552" i="2" s="1"/>
  <c r="V553" i="2"/>
  <c r="AG552" i="2" l="1"/>
  <c r="O552" i="2"/>
  <c r="Q552" i="2" s="1"/>
  <c r="R552" i="2" l="1"/>
  <c r="S552" i="2" s="1"/>
  <c r="Z552" i="2" s="1"/>
  <c r="Y552" i="2" l="1"/>
  <c r="AA552" i="2" s="1"/>
  <c r="AB553" i="2" s="1"/>
  <c r="B554" i="2" l="1"/>
  <c r="G553" i="2"/>
  <c r="H553" i="2" s="1"/>
  <c r="F553" i="2"/>
  <c r="AC553" i="2"/>
  <c r="AE553" i="2"/>
  <c r="U553" i="2"/>
  <c r="AD553" i="2" l="1"/>
  <c r="L553" i="2" s="1"/>
  <c r="AF554" i="2"/>
  <c r="C554" i="2"/>
  <c r="J553" i="2"/>
  <c r="W553" i="2"/>
  <c r="X553" i="2" s="1"/>
  <c r="I553" i="2" l="1"/>
  <c r="K553" i="2"/>
  <c r="D554" i="2"/>
  <c r="E554" i="2" s="1"/>
  <c r="T554" i="2" s="1"/>
  <c r="N553" i="2" l="1"/>
  <c r="M553" i="2" s="1"/>
  <c r="P553" i="2" s="1"/>
  <c r="V554" i="2"/>
  <c r="AG553" i="2" l="1"/>
  <c r="O553" i="2"/>
  <c r="Q553" i="2" s="1"/>
  <c r="R553" i="2" l="1"/>
  <c r="S553" i="2" s="1"/>
  <c r="Y553" i="2" s="1"/>
  <c r="AA553" i="2" s="1"/>
  <c r="Z553" i="2" l="1"/>
  <c r="AB554" i="2"/>
  <c r="B555" i="2" l="1"/>
  <c r="G554" i="2"/>
  <c r="H554" i="2" s="1"/>
  <c r="F554" i="2"/>
  <c r="AC554" i="2"/>
  <c r="AE554" i="2"/>
  <c r="U554" i="2"/>
  <c r="AD554" i="2" l="1"/>
  <c r="L554" i="2" s="1"/>
  <c r="AF555" i="2"/>
  <c r="C555" i="2"/>
  <c r="J554" i="2"/>
  <c r="W554" i="2"/>
  <c r="X554" i="2" s="1"/>
  <c r="K554" i="2" l="1"/>
  <c r="I554" i="2"/>
  <c r="D555" i="2"/>
  <c r="E555" i="2" s="1"/>
  <c r="T555" i="2" s="1"/>
  <c r="N554" i="2" l="1"/>
  <c r="M554" i="2" s="1"/>
  <c r="P554" i="2" s="1"/>
  <c r="V555" i="2"/>
  <c r="AG554" i="2" l="1"/>
  <c r="O554" i="2"/>
  <c r="R554" i="2" s="1"/>
  <c r="Q554" i="2" l="1"/>
  <c r="S554" i="2" s="1"/>
  <c r="Y554" i="2" s="1"/>
  <c r="AA554" i="2" s="1"/>
  <c r="Z554" i="2" l="1"/>
  <c r="AB555" i="2"/>
  <c r="B556" i="2" l="1"/>
  <c r="G555" i="2"/>
  <c r="H555" i="2" s="1"/>
  <c r="F555" i="2"/>
  <c r="AE555" i="2"/>
  <c r="AC555" i="2"/>
  <c r="U555" i="2"/>
  <c r="J555" i="2" l="1"/>
  <c r="W555" i="2"/>
  <c r="X555" i="2" s="1"/>
  <c r="AF556" i="2"/>
  <c r="C556" i="2"/>
  <c r="AD555" i="2"/>
  <c r="L555" i="2" s="1"/>
  <c r="D556" i="2" l="1"/>
  <c r="E556" i="2" s="1"/>
  <c r="T556" i="2" s="1"/>
  <c r="K555" i="2"/>
  <c r="I555" i="2"/>
  <c r="N555" i="2" l="1"/>
  <c r="M555" i="2" s="1"/>
  <c r="P555" i="2" s="1"/>
  <c r="V556" i="2"/>
  <c r="AG555" i="2" l="1"/>
  <c r="O555" i="2"/>
  <c r="R555" i="2" s="1"/>
  <c r="Q555" i="2" l="1"/>
  <c r="S555" i="2" s="1"/>
  <c r="Z555" i="2" s="1"/>
  <c r="Y555" i="2" l="1"/>
  <c r="AA555" i="2" s="1"/>
  <c r="AB556" i="2" s="1"/>
  <c r="B557" i="2" l="1"/>
  <c r="G556" i="2"/>
  <c r="H556" i="2" s="1"/>
  <c r="F556" i="2"/>
  <c r="AE556" i="2"/>
  <c r="AC556" i="2"/>
  <c r="U556" i="2"/>
  <c r="AF557" i="2" l="1"/>
  <c r="C557" i="2"/>
  <c r="AD556" i="2"/>
  <c r="L556" i="2" s="1"/>
  <c r="J556" i="2"/>
  <c r="W556" i="2"/>
  <c r="X556" i="2" s="1"/>
  <c r="I556" i="2" l="1"/>
  <c r="D557" i="2"/>
  <c r="E557" i="2" s="1"/>
  <c r="T557" i="2" s="1"/>
  <c r="K556" i="2"/>
  <c r="V557" i="2" l="1"/>
  <c r="N556" i="2"/>
  <c r="M556" i="2" s="1"/>
  <c r="P556" i="2" s="1"/>
  <c r="AG556" i="2" l="1"/>
  <c r="O556" i="2"/>
  <c r="R556" i="2" l="1"/>
  <c r="Q556" i="2"/>
  <c r="S556" i="2" l="1"/>
  <c r="Y556" i="2" s="1"/>
  <c r="AA556" i="2" s="1"/>
  <c r="Z556" i="2" l="1"/>
  <c r="AB557" i="2"/>
  <c r="B558" i="2" l="1"/>
  <c r="G557" i="2"/>
  <c r="H557" i="2" s="1"/>
  <c r="F557" i="2"/>
  <c r="AC557" i="2"/>
  <c r="AE557" i="2"/>
  <c r="U557" i="2"/>
  <c r="J557" i="2" l="1"/>
  <c r="W557" i="2"/>
  <c r="X557" i="2" s="1"/>
  <c r="AF558" i="2"/>
  <c r="C558" i="2"/>
  <c r="AD557" i="2"/>
  <c r="L557" i="2" s="1"/>
  <c r="D558" i="2" l="1"/>
  <c r="E558" i="2" s="1"/>
  <c r="T558" i="2" s="1"/>
  <c r="K557" i="2"/>
  <c r="I557" i="2"/>
  <c r="N557" i="2" l="1"/>
  <c r="M557" i="2" s="1"/>
  <c r="P557" i="2" s="1"/>
  <c r="V558" i="2"/>
  <c r="AG557" i="2" l="1"/>
  <c r="O557" i="2"/>
  <c r="Q557" i="2" s="1"/>
  <c r="R557" i="2" l="1"/>
  <c r="S557" i="2" s="1"/>
  <c r="Y557" i="2" l="1"/>
  <c r="AA557" i="2" s="1"/>
  <c r="AB558" i="2" s="1"/>
  <c r="Z557" i="2"/>
  <c r="B559" i="2" l="1"/>
  <c r="G558" i="2"/>
  <c r="H558" i="2" s="1"/>
  <c r="F558" i="2"/>
  <c r="AC558" i="2"/>
  <c r="AE558" i="2"/>
  <c r="U558" i="2"/>
  <c r="AD558" i="2" l="1"/>
  <c r="L558" i="2" s="1"/>
  <c r="AF559" i="2"/>
  <c r="C559" i="2"/>
  <c r="J558" i="2"/>
  <c r="W558" i="2"/>
  <c r="X558" i="2" s="1"/>
  <c r="I558" i="2" l="1"/>
  <c r="K558" i="2"/>
  <c r="D559" i="2"/>
  <c r="E559" i="2" s="1"/>
  <c r="T559" i="2" s="1"/>
  <c r="N558" i="2" l="1"/>
  <c r="M558" i="2" s="1"/>
  <c r="P558" i="2" s="1"/>
  <c r="V559" i="2"/>
  <c r="AG558" i="2" l="1"/>
  <c r="O558" i="2"/>
  <c r="R558" i="2" s="1"/>
  <c r="Q558" i="2" l="1"/>
  <c r="S558" i="2" s="1"/>
  <c r="Z558" i="2" s="1"/>
  <c r="Y558" i="2" l="1"/>
  <c r="AA558" i="2" s="1"/>
  <c r="AB559" i="2" s="1"/>
  <c r="B560" i="2" l="1"/>
  <c r="G559" i="2"/>
  <c r="H559" i="2" s="1"/>
  <c r="F559" i="2"/>
  <c r="AC559" i="2"/>
  <c r="AE559" i="2"/>
  <c r="U559" i="2"/>
  <c r="AF560" i="2" l="1"/>
  <c r="C560" i="2"/>
  <c r="J559" i="2"/>
  <c r="W559" i="2"/>
  <c r="X559" i="2" s="1"/>
  <c r="AD559" i="2"/>
  <c r="L559" i="2" s="1"/>
  <c r="I559" i="2" l="1"/>
  <c r="D560" i="2"/>
  <c r="E560" i="2" s="1"/>
  <c r="T560" i="2" s="1"/>
  <c r="K559" i="2"/>
  <c r="N559" i="2" l="1"/>
  <c r="M559" i="2" s="1"/>
  <c r="P559" i="2" s="1"/>
  <c r="V560" i="2"/>
  <c r="AG559" i="2" l="1"/>
  <c r="O559" i="2"/>
  <c r="Q559" i="2" s="1"/>
  <c r="R559" i="2" l="1"/>
  <c r="S559" i="2" s="1"/>
  <c r="Y559" i="2" s="1"/>
  <c r="AA559" i="2" s="1"/>
  <c r="Z559" i="2" l="1"/>
  <c r="AB560" i="2"/>
  <c r="B561" i="2" l="1"/>
  <c r="G560" i="2"/>
  <c r="H560" i="2" s="1"/>
  <c r="F560" i="2"/>
  <c r="AC560" i="2"/>
  <c r="AE560" i="2"/>
  <c r="U560" i="2"/>
  <c r="J560" i="2" l="1"/>
  <c r="W560" i="2"/>
  <c r="X560" i="2" s="1"/>
  <c r="AD560" i="2"/>
  <c r="L560" i="2" s="1"/>
  <c r="AF561" i="2"/>
  <c r="C561" i="2"/>
  <c r="D561" i="2" l="1"/>
  <c r="E561" i="2" s="1"/>
  <c r="T561" i="2" s="1"/>
  <c r="K560" i="2"/>
  <c r="I560" i="2"/>
  <c r="N560" i="2" l="1"/>
  <c r="M560" i="2" s="1"/>
  <c r="P560" i="2" s="1"/>
  <c r="V561" i="2"/>
  <c r="AG560" i="2" l="1"/>
  <c r="O560" i="2"/>
  <c r="Q560" i="2" s="1"/>
  <c r="R560" i="2" l="1"/>
  <c r="S560" i="2" s="1"/>
  <c r="Y560" i="2" l="1"/>
  <c r="AA560" i="2" s="1"/>
  <c r="Z560" i="2"/>
  <c r="AB561" i="2" l="1"/>
  <c r="B562" i="2" l="1"/>
  <c r="G561" i="2"/>
  <c r="H561" i="2" s="1"/>
  <c r="F561" i="2"/>
  <c r="AE561" i="2"/>
  <c r="AC561" i="2"/>
  <c r="U561" i="2"/>
  <c r="J561" i="2" l="1"/>
  <c r="W561" i="2"/>
  <c r="X561" i="2" s="1"/>
  <c r="AF562" i="2"/>
  <c r="C562" i="2"/>
  <c r="AD561" i="2"/>
  <c r="L561" i="2" s="1"/>
  <c r="D562" i="2" l="1"/>
  <c r="E562" i="2" s="1"/>
  <c r="T562" i="2" s="1"/>
  <c r="K561" i="2"/>
  <c r="I561" i="2"/>
  <c r="N561" i="2" l="1"/>
  <c r="M561" i="2" s="1"/>
  <c r="P561" i="2" s="1"/>
  <c r="V562" i="2"/>
  <c r="AG561" i="2" l="1"/>
  <c r="O561" i="2"/>
  <c r="R561" i="2" s="1"/>
  <c r="Q561" i="2" l="1"/>
  <c r="S561" i="2" s="1"/>
  <c r="Z561" i="2" s="1"/>
  <c r="Y561" i="2" l="1"/>
  <c r="AA561" i="2" s="1"/>
  <c r="AB562" i="2" s="1"/>
  <c r="B563" i="2" l="1"/>
  <c r="G562" i="2"/>
  <c r="H562" i="2" s="1"/>
  <c r="F562" i="2"/>
  <c r="AE562" i="2"/>
  <c r="AC562" i="2"/>
  <c r="U562" i="2"/>
  <c r="AF563" i="2" l="1"/>
  <c r="C563" i="2"/>
  <c r="AD562" i="2"/>
  <c r="L562" i="2" s="1"/>
  <c r="J562" i="2"/>
  <c r="W562" i="2"/>
  <c r="X562" i="2" s="1"/>
  <c r="D563" i="2" l="1"/>
  <c r="E563" i="2" s="1"/>
  <c r="T563" i="2" s="1"/>
  <c r="K562" i="2"/>
  <c r="I562" i="2"/>
  <c r="N562" i="2" l="1"/>
  <c r="M562" i="2" s="1"/>
  <c r="P562" i="2" s="1"/>
  <c r="V563" i="2"/>
  <c r="AG562" i="2" l="1"/>
  <c r="O562" i="2"/>
  <c r="R562" i="2" s="1"/>
  <c r="Q562" i="2" l="1"/>
  <c r="S562" i="2" s="1"/>
  <c r="Z562" i="2" s="1"/>
  <c r="Y562" i="2" l="1"/>
  <c r="AA562" i="2" s="1"/>
  <c r="AB563" i="2" s="1"/>
  <c r="B564" i="2" l="1"/>
  <c r="G563" i="2"/>
  <c r="H563" i="2" s="1"/>
  <c r="F563" i="2"/>
  <c r="AC563" i="2"/>
  <c r="AE563" i="2"/>
  <c r="U563" i="2"/>
  <c r="C564" i="2" l="1"/>
  <c r="AF564" i="2"/>
  <c r="J563" i="2"/>
  <c r="W563" i="2"/>
  <c r="X563" i="2" s="1"/>
  <c r="AD563" i="2"/>
  <c r="L563" i="2" s="1"/>
  <c r="I563" i="2" l="1"/>
  <c r="D564" i="2"/>
  <c r="E564" i="2" s="1"/>
  <c r="T564" i="2" s="1"/>
  <c r="K563" i="2"/>
  <c r="V564" i="2" l="1"/>
  <c r="N563" i="2"/>
  <c r="M563" i="2" s="1"/>
  <c r="P563" i="2" s="1"/>
  <c r="AG563" i="2" l="1"/>
  <c r="O563" i="2"/>
  <c r="Q563" i="2" l="1"/>
  <c r="R563" i="2"/>
  <c r="S563" i="2" l="1"/>
  <c r="Y563" i="2" l="1"/>
  <c r="AA563" i="2" s="1"/>
  <c r="Z563" i="2"/>
  <c r="AB564" i="2" l="1"/>
  <c r="B565" i="2" l="1"/>
  <c r="G564" i="2"/>
  <c r="H564" i="2" s="1"/>
  <c r="F564" i="2"/>
  <c r="AE564" i="2"/>
  <c r="AC564" i="2"/>
  <c r="U564" i="2"/>
  <c r="AF565" i="2" l="1"/>
  <c r="C565" i="2"/>
  <c r="J564" i="2"/>
  <c r="W564" i="2"/>
  <c r="X564" i="2" s="1"/>
  <c r="AD564" i="2"/>
  <c r="L564" i="2" s="1"/>
  <c r="D565" i="2" l="1"/>
  <c r="E565" i="2" s="1"/>
  <c r="T565" i="2" s="1"/>
  <c r="K564" i="2"/>
  <c r="I564" i="2"/>
  <c r="N564" i="2" l="1"/>
  <c r="M564" i="2" s="1"/>
  <c r="P564" i="2" s="1"/>
  <c r="V565" i="2"/>
  <c r="AG564" i="2" l="1"/>
  <c r="O564" i="2"/>
  <c r="Q564" i="2" s="1"/>
  <c r="R564" i="2" l="1"/>
  <c r="S564" i="2" s="1"/>
  <c r="Y564" i="2" l="1"/>
  <c r="AA564" i="2" s="1"/>
  <c r="Z564" i="2"/>
  <c r="AB565" i="2" l="1"/>
  <c r="B566" i="2" l="1"/>
  <c r="G565" i="2"/>
  <c r="H565" i="2" s="1"/>
  <c r="F565" i="2"/>
  <c r="AC565" i="2"/>
  <c r="AE565" i="2"/>
  <c r="U565" i="2"/>
  <c r="AD565" i="2" l="1"/>
  <c r="L565" i="2" s="1"/>
  <c r="C566" i="2"/>
  <c r="AF566" i="2"/>
  <c r="J565" i="2"/>
  <c r="W565" i="2"/>
  <c r="X565" i="2" s="1"/>
  <c r="K565" i="2" l="1"/>
  <c r="D566" i="2"/>
  <c r="E566" i="2" s="1"/>
  <c r="T566" i="2" s="1"/>
  <c r="I565" i="2"/>
  <c r="N565" i="2" l="1"/>
  <c r="M565" i="2" s="1"/>
  <c r="P565" i="2" s="1"/>
  <c r="V566" i="2"/>
  <c r="AG565" i="2" l="1"/>
  <c r="O565" i="2"/>
  <c r="R565" i="2" l="1"/>
  <c r="Q565" i="2"/>
  <c r="S565" i="2" l="1"/>
  <c r="Z565" i="2" s="1"/>
  <c r="Y565" i="2" l="1"/>
  <c r="AA565" i="2" s="1"/>
  <c r="AB566" i="2" s="1"/>
  <c r="B567" i="2" l="1"/>
  <c r="G566" i="2"/>
  <c r="H566" i="2" s="1"/>
  <c r="F566" i="2"/>
  <c r="AC566" i="2"/>
  <c r="AE566" i="2"/>
  <c r="U566" i="2"/>
  <c r="AF567" i="2" l="1"/>
  <c r="C567" i="2"/>
  <c r="AD566" i="2"/>
  <c r="L566" i="2" s="1"/>
  <c r="J566" i="2"/>
  <c r="W566" i="2"/>
  <c r="X566" i="2" s="1"/>
  <c r="I566" i="2" l="1"/>
  <c r="K566" i="2"/>
  <c r="D567" i="2"/>
  <c r="E567" i="2" s="1"/>
  <c r="T567" i="2" s="1"/>
  <c r="N566" i="2" l="1"/>
  <c r="M566" i="2" s="1"/>
  <c r="P566" i="2" s="1"/>
  <c r="V567" i="2"/>
  <c r="AG566" i="2" l="1"/>
  <c r="O566" i="2"/>
  <c r="R566" i="2" s="1"/>
  <c r="Q566" i="2" l="1"/>
  <c r="S566" i="2" s="1"/>
  <c r="Y566" i="2" s="1"/>
  <c r="AA566" i="2" s="1"/>
  <c r="Z566" i="2" l="1"/>
  <c r="AB567" i="2"/>
  <c r="B568" i="2" l="1"/>
  <c r="G567" i="2"/>
  <c r="H567" i="2" s="1"/>
  <c r="F567" i="2"/>
  <c r="AE567" i="2"/>
  <c r="AC567" i="2"/>
  <c r="U567" i="2"/>
  <c r="AF568" i="2" l="1"/>
  <c r="C568" i="2"/>
  <c r="J567" i="2"/>
  <c r="W567" i="2"/>
  <c r="X567" i="2" s="1"/>
  <c r="AD567" i="2"/>
  <c r="L567" i="2" s="1"/>
  <c r="D568" i="2" l="1"/>
  <c r="E568" i="2" s="1"/>
  <c r="T568" i="2" s="1"/>
  <c r="K567" i="2"/>
  <c r="I567" i="2"/>
  <c r="N567" i="2" l="1"/>
  <c r="M567" i="2" s="1"/>
  <c r="P567" i="2" s="1"/>
  <c r="V568" i="2"/>
  <c r="AG567" i="2" l="1"/>
  <c r="O567" i="2"/>
  <c r="Q567" i="2" s="1"/>
  <c r="R567" i="2" l="1"/>
  <c r="S567" i="2" s="1"/>
  <c r="Z567" i="2" s="1"/>
  <c r="Y567" i="2" l="1"/>
  <c r="AA567" i="2" s="1"/>
  <c r="AB568" i="2" s="1"/>
  <c r="B569" i="2" l="1"/>
  <c r="G568" i="2"/>
  <c r="H568" i="2" s="1"/>
  <c r="F568" i="2"/>
  <c r="AC568" i="2"/>
  <c r="AE568" i="2"/>
  <c r="U568" i="2"/>
  <c r="J568" i="2" l="1"/>
  <c r="W568" i="2"/>
  <c r="X568" i="2" s="1"/>
  <c r="AD568" i="2"/>
  <c r="L568" i="2" s="1"/>
  <c r="AF569" i="2"/>
  <c r="C569" i="2"/>
  <c r="K568" i="2" l="1"/>
  <c r="D569" i="2"/>
  <c r="E569" i="2" s="1"/>
  <c r="T569" i="2" s="1"/>
  <c r="I568" i="2"/>
  <c r="N568" i="2" l="1"/>
  <c r="M568" i="2" s="1"/>
  <c r="P568" i="2" s="1"/>
  <c r="V569" i="2"/>
  <c r="AG568" i="2" l="1"/>
  <c r="O568" i="2"/>
  <c r="Q568" i="2" s="1"/>
  <c r="R568" i="2" l="1"/>
  <c r="S568" i="2" s="1"/>
  <c r="Y568" i="2" s="1"/>
  <c r="AA568" i="2" s="1"/>
  <c r="Z568" i="2" l="1"/>
  <c r="AB569" i="2"/>
  <c r="B570" i="2" l="1"/>
  <c r="G569" i="2"/>
  <c r="H569" i="2" s="1"/>
  <c r="F569" i="2"/>
  <c r="AE569" i="2"/>
  <c r="AC569" i="2"/>
  <c r="U569" i="2"/>
  <c r="C570" i="2" l="1"/>
  <c r="AF570" i="2"/>
  <c r="J569" i="2"/>
  <c r="W569" i="2"/>
  <c r="X569" i="2" s="1"/>
  <c r="AD569" i="2"/>
  <c r="L569" i="2" s="1"/>
  <c r="K569" i="2" l="1"/>
  <c r="I569" i="2"/>
  <c r="D570" i="2"/>
  <c r="E570" i="2" s="1"/>
  <c r="T570" i="2" s="1"/>
  <c r="N569" i="2" l="1"/>
  <c r="M569" i="2" s="1"/>
  <c r="P569" i="2" s="1"/>
  <c r="V570" i="2"/>
  <c r="AG569" i="2" l="1"/>
  <c r="O569" i="2"/>
  <c r="R569" i="2" s="1"/>
  <c r="Q569" i="2" l="1"/>
  <c r="S569" i="2" s="1"/>
  <c r="Y569" i="2" s="1"/>
  <c r="AA569" i="2" s="1"/>
  <c r="Z569" i="2" l="1"/>
  <c r="AB570" i="2"/>
  <c r="B571" i="2" l="1"/>
  <c r="G570" i="2"/>
  <c r="H570" i="2" s="1"/>
  <c r="F570" i="2"/>
  <c r="AE570" i="2"/>
  <c r="AC570" i="2"/>
  <c r="U570" i="2"/>
  <c r="J570" i="2" l="1"/>
  <c r="W570" i="2"/>
  <c r="X570" i="2" s="1"/>
  <c r="AD570" i="2"/>
  <c r="L570" i="2" s="1"/>
  <c r="AF571" i="2"/>
  <c r="C571" i="2"/>
  <c r="K570" i="2" l="1"/>
  <c r="D571" i="2"/>
  <c r="E571" i="2" s="1"/>
  <c r="T571" i="2" s="1"/>
  <c r="I570" i="2"/>
  <c r="N570" i="2" l="1"/>
  <c r="M570" i="2" s="1"/>
  <c r="P570" i="2" s="1"/>
  <c r="V571" i="2"/>
  <c r="AG570" i="2" l="1"/>
  <c r="O570" i="2"/>
  <c r="Q570" i="2" s="1"/>
  <c r="R570" i="2" l="1"/>
  <c r="S570" i="2" s="1"/>
  <c r="Z570" i="2" s="1"/>
  <c r="Y570" i="2" l="1"/>
  <c r="AA570" i="2" s="1"/>
  <c r="AB571" i="2" s="1"/>
  <c r="B572" i="2" l="1"/>
  <c r="G571" i="2"/>
  <c r="H571" i="2" s="1"/>
  <c r="F571" i="2"/>
  <c r="AE571" i="2"/>
  <c r="AC571" i="2"/>
  <c r="U571" i="2"/>
  <c r="C572" i="2" l="1"/>
  <c r="AF572" i="2"/>
  <c r="J571" i="2"/>
  <c r="W571" i="2"/>
  <c r="X571" i="2" s="1"/>
  <c r="AD571" i="2"/>
  <c r="L571" i="2" s="1"/>
  <c r="I571" i="2" l="1"/>
  <c r="K571" i="2"/>
  <c r="D572" i="2"/>
  <c r="E572" i="2" s="1"/>
  <c r="T572" i="2" s="1"/>
  <c r="N571" i="2" l="1"/>
  <c r="M571" i="2" s="1"/>
  <c r="P571" i="2" s="1"/>
  <c r="V572" i="2"/>
  <c r="AG571" i="2" l="1"/>
  <c r="O571" i="2"/>
  <c r="Q571" i="2" s="1"/>
  <c r="R571" i="2" l="1"/>
  <c r="S571" i="2" s="1"/>
  <c r="Y571" i="2" s="1"/>
  <c r="AA571" i="2" s="1"/>
  <c r="Z571" i="2" l="1"/>
  <c r="AB572" i="2"/>
  <c r="B573" i="2" l="1"/>
  <c r="G572" i="2"/>
  <c r="H572" i="2" s="1"/>
  <c r="F572" i="2"/>
  <c r="AE572" i="2"/>
  <c r="AC572" i="2"/>
  <c r="U572" i="2"/>
  <c r="AD572" i="2" l="1"/>
  <c r="L572" i="2" s="1"/>
  <c r="AF573" i="2"/>
  <c r="C573" i="2"/>
  <c r="J572" i="2"/>
  <c r="W572" i="2"/>
  <c r="X572" i="2" s="1"/>
  <c r="I572" i="2" l="1"/>
  <c r="K572" i="2"/>
  <c r="D573" i="2"/>
  <c r="E573" i="2" s="1"/>
  <c r="T573" i="2" s="1"/>
  <c r="V573" i="2" l="1"/>
  <c r="N572" i="2"/>
  <c r="M572" i="2" s="1"/>
  <c r="P572" i="2" s="1"/>
  <c r="AG572" i="2" l="1"/>
  <c r="O572" i="2"/>
  <c r="R572" i="2" l="1"/>
  <c r="Q572" i="2"/>
  <c r="S572" i="2" l="1"/>
  <c r="Y572" i="2" s="1"/>
  <c r="AA572" i="2" s="1"/>
  <c r="Z572" i="2" l="1"/>
  <c r="AB573" i="2"/>
  <c r="B574" i="2" l="1"/>
  <c r="G573" i="2"/>
  <c r="H573" i="2" s="1"/>
  <c r="F573" i="2"/>
  <c r="AC573" i="2"/>
  <c r="AE573" i="2"/>
  <c r="U573" i="2"/>
  <c r="AD573" i="2" l="1"/>
  <c r="L573" i="2" s="1"/>
  <c r="C574" i="2"/>
  <c r="AF574" i="2"/>
  <c r="J573" i="2"/>
  <c r="W573" i="2"/>
  <c r="X573" i="2" s="1"/>
  <c r="I573" i="2" l="1"/>
  <c r="K573" i="2"/>
  <c r="D574" i="2"/>
  <c r="E574" i="2" s="1"/>
  <c r="T574" i="2" s="1"/>
  <c r="N573" i="2" l="1"/>
  <c r="M573" i="2" s="1"/>
  <c r="P573" i="2" s="1"/>
  <c r="V574" i="2"/>
  <c r="AG573" i="2" l="1"/>
  <c r="O573" i="2"/>
  <c r="R573" i="2" s="1"/>
  <c r="Q573" i="2" l="1"/>
  <c r="S573" i="2" s="1"/>
  <c r="Z573" i="2" s="1"/>
  <c r="Y573" i="2" l="1"/>
  <c r="AA573" i="2" s="1"/>
  <c r="AB574" i="2" s="1"/>
  <c r="B575" i="2" l="1"/>
  <c r="G574" i="2"/>
  <c r="H574" i="2" s="1"/>
  <c r="F574" i="2"/>
  <c r="AC574" i="2"/>
  <c r="AE574" i="2"/>
  <c r="U574" i="2"/>
  <c r="J574" i="2" l="1"/>
  <c r="W574" i="2"/>
  <c r="X574" i="2" s="1"/>
  <c r="AD574" i="2"/>
  <c r="L574" i="2" s="1"/>
  <c r="C575" i="2"/>
  <c r="AF575" i="2"/>
  <c r="D575" i="2" l="1"/>
  <c r="E575" i="2" s="1"/>
  <c r="T575" i="2" s="1"/>
  <c r="K574" i="2"/>
  <c r="I574" i="2"/>
  <c r="N574" i="2" l="1"/>
  <c r="M574" i="2" s="1"/>
  <c r="P574" i="2" s="1"/>
  <c r="V575" i="2"/>
  <c r="AG574" i="2" l="1"/>
  <c r="O574" i="2"/>
  <c r="Q574" i="2" s="1"/>
  <c r="R574" i="2" l="1"/>
  <c r="S574" i="2" s="1"/>
  <c r="Y574" i="2" l="1"/>
  <c r="AA574" i="2" s="1"/>
  <c r="AB575" i="2" s="1"/>
  <c r="Z574" i="2"/>
  <c r="B576" i="2" l="1"/>
  <c r="G575" i="2"/>
  <c r="H575" i="2" s="1"/>
  <c r="F575" i="2"/>
  <c r="AE575" i="2"/>
  <c r="AC575" i="2"/>
  <c r="U575" i="2"/>
  <c r="AF576" i="2" l="1"/>
  <c r="C576" i="2"/>
  <c r="J575" i="2"/>
  <c r="W575" i="2"/>
  <c r="X575" i="2" s="1"/>
  <c r="AD575" i="2"/>
  <c r="L575" i="2" s="1"/>
  <c r="I575" i="2" l="1"/>
  <c r="D576" i="2"/>
  <c r="E576" i="2" s="1"/>
  <c r="T576" i="2" s="1"/>
  <c r="K575" i="2"/>
  <c r="V576" i="2" l="1"/>
  <c r="N575" i="2"/>
  <c r="M575" i="2" s="1"/>
  <c r="P575" i="2" s="1"/>
  <c r="AG575" i="2" l="1"/>
  <c r="O575" i="2"/>
  <c r="Q575" i="2" l="1"/>
  <c r="R575" i="2"/>
  <c r="S575" i="2" l="1"/>
  <c r="Y575" i="2" l="1"/>
  <c r="AA575" i="2" s="1"/>
  <c r="Z575" i="2"/>
  <c r="AB576" i="2" l="1"/>
  <c r="B577" i="2" l="1"/>
  <c r="G576" i="2"/>
  <c r="H576" i="2" s="1"/>
  <c r="F576" i="2"/>
  <c r="AE576" i="2"/>
  <c r="AC576" i="2"/>
  <c r="U576" i="2"/>
  <c r="AF577" i="2" l="1"/>
  <c r="C577" i="2"/>
  <c r="AD576" i="2"/>
  <c r="L576" i="2" s="1"/>
  <c r="J576" i="2"/>
  <c r="W576" i="2"/>
  <c r="X576" i="2" s="1"/>
  <c r="I576" i="2" l="1"/>
  <c r="K576" i="2"/>
  <c r="D577" i="2"/>
  <c r="E577" i="2" s="1"/>
  <c r="T577" i="2" s="1"/>
  <c r="V577" i="2" l="1"/>
  <c r="N576" i="2"/>
  <c r="M576" i="2" s="1"/>
  <c r="P576" i="2" s="1"/>
  <c r="AG576" i="2" l="1"/>
  <c r="O576" i="2"/>
  <c r="R576" i="2" l="1"/>
  <c r="Q576" i="2"/>
  <c r="S576" i="2" l="1"/>
  <c r="Z576" i="2" s="1"/>
  <c r="Y576" i="2" l="1"/>
  <c r="AA576" i="2" s="1"/>
  <c r="AB577" i="2" s="1"/>
  <c r="B578" i="2" l="1"/>
  <c r="G577" i="2"/>
  <c r="H577" i="2" s="1"/>
  <c r="F577" i="2"/>
  <c r="AE577" i="2"/>
  <c r="AC577" i="2"/>
  <c r="U577" i="2"/>
  <c r="AF578" i="2" l="1"/>
  <c r="C578" i="2"/>
  <c r="J577" i="2"/>
  <c r="W577" i="2"/>
  <c r="X577" i="2" s="1"/>
  <c r="AD577" i="2"/>
  <c r="L577" i="2" s="1"/>
  <c r="I577" i="2" l="1"/>
  <c r="D578" i="2"/>
  <c r="E578" i="2" s="1"/>
  <c r="T578" i="2" s="1"/>
  <c r="K577" i="2"/>
  <c r="V578" i="2" l="1"/>
  <c r="N577" i="2"/>
  <c r="M577" i="2" s="1"/>
  <c r="P577" i="2" s="1"/>
  <c r="AG577" i="2" l="1"/>
  <c r="O577" i="2"/>
  <c r="R577" i="2" l="1"/>
  <c r="Q577" i="2"/>
  <c r="S577" i="2" l="1"/>
  <c r="Z577" i="2" s="1"/>
  <c r="Y577" i="2" l="1"/>
  <c r="AA577" i="2" s="1"/>
  <c r="AB578" i="2" s="1"/>
  <c r="B579" i="2" l="1"/>
  <c r="G578" i="2"/>
  <c r="H578" i="2" s="1"/>
  <c r="F578" i="2"/>
  <c r="AC578" i="2"/>
  <c r="AE578" i="2"/>
  <c r="U578" i="2"/>
  <c r="AD578" i="2" l="1"/>
  <c r="L578" i="2" s="1"/>
  <c r="AF579" i="2"/>
  <c r="C579" i="2"/>
  <c r="J578" i="2"/>
  <c r="W578" i="2"/>
  <c r="X578" i="2" s="1"/>
  <c r="I578" i="2" l="1"/>
  <c r="D579" i="2"/>
  <c r="E579" i="2" s="1"/>
  <c r="T579" i="2" s="1"/>
  <c r="K578" i="2"/>
  <c r="V579" i="2" l="1"/>
  <c r="N578" i="2"/>
  <c r="M578" i="2" s="1"/>
  <c r="P578" i="2" s="1"/>
  <c r="AG578" i="2" l="1"/>
  <c r="O578" i="2"/>
  <c r="R578" i="2" l="1"/>
  <c r="Q578" i="2"/>
  <c r="S578" i="2" l="1"/>
  <c r="Z578" i="2" s="1"/>
  <c r="Y578" i="2" l="1"/>
  <c r="AA578" i="2" s="1"/>
  <c r="AB579" i="2" s="1"/>
  <c r="B580" i="2" l="1"/>
  <c r="G579" i="2"/>
  <c r="H579" i="2" s="1"/>
  <c r="F579" i="2"/>
  <c r="AC579" i="2"/>
  <c r="AE579" i="2"/>
  <c r="U579" i="2"/>
  <c r="AF580" i="2" l="1"/>
  <c r="C580" i="2"/>
  <c r="J579" i="2"/>
  <c r="W579" i="2"/>
  <c r="X579" i="2" s="1"/>
  <c r="AD579" i="2"/>
  <c r="L579" i="2" s="1"/>
  <c r="D580" i="2" l="1"/>
  <c r="E580" i="2" s="1"/>
  <c r="T580" i="2" s="1"/>
  <c r="K579" i="2"/>
  <c r="I579" i="2"/>
  <c r="N579" i="2" l="1"/>
  <c r="M579" i="2" s="1"/>
  <c r="P579" i="2" s="1"/>
  <c r="V580" i="2"/>
  <c r="AG579" i="2" l="1"/>
  <c r="O579" i="2"/>
  <c r="R579" i="2" s="1"/>
  <c r="Q579" i="2" l="1"/>
  <c r="S579" i="2" s="1"/>
  <c r="Z579" i="2" s="1"/>
  <c r="Y579" i="2" l="1"/>
  <c r="AA579" i="2" s="1"/>
  <c r="AB580" i="2" s="1"/>
  <c r="B581" i="2" l="1"/>
  <c r="G580" i="2"/>
  <c r="H580" i="2" s="1"/>
  <c r="F580" i="2"/>
  <c r="AC580" i="2"/>
  <c r="AE580" i="2"/>
  <c r="U580" i="2"/>
  <c r="AD580" i="2" l="1"/>
  <c r="L580" i="2" s="1"/>
  <c r="C581" i="2"/>
  <c r="AF581" i="2"/>
  <c r="J580" i="2"/>
  <c r="W580" i="2"/>
  <c r="X580" i="2" s="1"/>
  <c r="I580" i="2" l="1"/>
  <c r="K580" i="2"/>
  <c r="D581" i="2"/>
  <c r="E581" i="2" s="1"/>
  <c r="T581" i="2" s="1"/>
  <c r="V581" i="2" l="1"/>
  <c r="N580" i="2"/>
  <c r="M580" i="2" s="1"/>
  <c r="P580" i="2" s="1"/>
  <c r="AG580" i="2" l="1"/>
  <c r="O580" i="2"/>
  <c r="R580" i="2" l="1"/>
  <c r="Q580" i="2"/>
  <c r="S580" i="2" l="1"/>
  <c r="Z580" i="2" s="1"/>
  <c r="Y580" i="2" l="1"/>
  <c r="AA580" i="2" s="1"/>
  <c r="AB581" i="2" s="1"/>
  <c r="B582" i="2" l="1"/>
  <c r="G581" i="2"/>
  <c r="H581" i="2" s="1"/>
  <c r="F581" i="2"/>
  <c r="AC581" i="2"/>
  <c r="AE581" i="2"/>
  <c r="U581" i="2"/>
  <c r="AD581" i="2" l="1"/>
  <c r="L581" i="2" s="1"/>
  <c r="AF582" i="2"/>
  <c r="C582" i="2"/>
  <c r="J581" i="2"/>
  <c r="W581" i="2"/>
  <c r="X581" i="2" s="1"/>
  <c r="I581" i="2" l="1"/>
  <c r="K581" i="2"/>
  <c r="D582" i="2"/>
  <c r="E582" i="2" s="1"/>
  <c r="T582" i="2" s="1"/>
  <c r="V582" i="2" l="1"/>
  <c r="N581" i="2"/>
  <c r="M581" i="2" s="1"/>
  <c r="P581" i="2" s="1"/>
  <c r="AG581" i="2" l="1"/>
  <c r="O581" i="2"/>
  <c r="R581" i="2" l="1"/>
  <c r="Q581" i="2"/>
  <c r="S581" i="2" l="1"/>
  <c r="Y581" i="2" s="1"/>
  <c r="AA581" i="2" s="1"/>
  <c r="Z581" i="2" l="1"/>
  <c r="AB582" i="2"/>
  <c r="B583" i="2" l="1"/>
  <c r="G582" i="2"/>
  <c r="H582" i="2" s="1"/>
  <c r="F582" i="2"/>
  <c r="AC582" i="2"/>
  <c r="AE582" i="2"/>
  <c r="U582" i="2"/>
  <c r="AD582" i="2" l="1"/>
  <c r="L582" i="2" s="1"/>
  <c r="AF583" i="2"/>
  <c r="C583" i="2"/>
  <c r="J582" i="2"/>
  <c r="W582" i="2"/>
  <c r="X582" i="2" s="1"/>
  <c r="K582" i="2" l="1"/>
  <c r="D583" i="2"/>
  <c r="E583" i="2" s="1"/>
  <c r="T583" i="2" s="1"/>
  <c r="I582" i="2"/>
  <c r="V583" i="2" l="1"/>
  <c r="N582" i="2"/>
  <c r="M582" i="2" s="1"/>
  <c r="P582" i="2" s="1"/>
  <c r="AG582" i="2" l="1"/>
  <c r="O582" i="2"/>
  <c r="Q582" i="2" l="1"/>
  <c r="R582" i="2"/>
  <c r="S582" i="2" l="1"/>
  <c r="Z582" i="2" s="1"/>
  <c r="Y582" i="2" l="1"/>
  <c r="AA582" i="2" s="1"/>
  <c r="AB583" i="2" s="1"/>
  <c r="B584" i="2" l="1"/>
  <c r="G583" i="2"/>
  <c r="H583" i="2" s="1"/>
  <c r="F583" i="2"/>
  <c r="AE583" i="2"/>
  <c r="AC583" i="2"/>
  <c r="U583" i="2"/>
  <c r="AF584" i="2" l="1"/>
  <c r="C584" i="2"/>
  <c r="AD583" i="2"/>
  <c r="L583" i="2" s="1"/>
  <c r="J583" i="2"/>
  <c r="W583" i="2"/>
  <c r="X583" i="2" s="1"/>
  <c r="K583" i="2" l="1"/>
  <c r="D584" i="2"/>
  <c r="E584" i="2" s="1"/>
  <c r="T584" i="2" s="1"/>
  <c r="I583" i="2"/>
  <c r="V584" i="2" l="1"/>
  <c r="N583" i="2"/>
  <c r="M583" i="2" s="1"/>
  <c r="P583" i="2" s="1"/>
  <c r="AG583" i="2" l="1"/>
  <c r="O583" i="2"/>
  <c r="R583" i="2" l="1"/>
  <c r="Q583" i="2"/>
  <c r="S583" i="2" l="1"/>
  <c r="Z583" i="2" s="1"/>
  <c r="Y583" i="2" l="1"/>
  <c r="AA583" i="2" s="1"/>
  <c r="AB584" i="2" s="1"/>
  <c r="B585" i="2" l="1"/>
  <c r="G584" i="2"/>
  <c r="H584" i="2" s="1"/>
  <c r="F584" i="2"/>
  <c r="AC584" i="2"/>
  <c r="AE584" i="2"/>
  <c r="U584" i="2"/>
  <c r="AD584" i="2" l="1"/>
  <c r="L584" i="2" s="1"/>
  <c r="AF585" i="2"/>
  <c r="C585" i="2"/>
  <c r="J584" i="2"/>
  <c r="W584" i="2"/>
  <c r="X584" i="2" s="1"/>
  <c r="I584" i="2" l="1"/>
  <c r="K584" i="2"/>
  <c r="D585" i="2"/>
  <c r="E585" i="2" s="1"/>
  <c r="T585" i="2" s="1"/>
  <c r="N584" i="2" l="1"/>
  <c r="M584" i="2" s="1"/>
  <c r="P584" i="2" s="1"/>
  <c r="V585" i="2"/>
  <c r="AG584" i="2" l="1"/>
  <c r="O584" i="2"/>
  <c r="R584" i="2" s="1"/>
  <c r="Q584" i="2" l="1"/>
  <c r="S584" i="2" s="1"/>
  <c r="Z584" i="2" s="1"/>
  <c r="Y584" i="2" l="1"/>
  <c r="AA584" i="2" s="1"/>
  <c r="AB585" i="2" s="1"/>
  <c r="B586" i="2" l="1"/>
  <c r="G585" i="2"/>
  <c r="H585" i="2" s="1"/>
  <c r="F585" i="2"/>
  <c r="AE585" i="2"/>
  <c r="AC585" i="2"/>
  <c r="U585" i="2"/>
  <c r="J585" i="2" l="1"/>
  <c r="W585" i="2"/>
  <c r="X585" i="2" s="1"/>
  <c r="AF586" i="2"/>
  <c r="C586" i="2"/>
  <c r="AD585" i="2"/>
  <c r="L585" i="2" s="1"/>
  <c r="D586" i="2" l="1"/>
  <c r="E586" i="2" s="1"/>
  <c r="T586" i="2" s="1"/>
  <c r="K585" i="2"/>
  <c r="I585" i="2"/>
  <c r="N585" i="2" l="1"/>
  <c r="M585" i="2" s="1"/>
  <c r="P585" i="2" s="1"/>
  <c r="V586" i="2"/>
  <c r="AG585" i="2" l="1"/>
  <c r="O585" i="2"/>
  <c r="R585" i="2" l="1"/>
  <c r="Q585" i="2"/>
  <c r="S585" i="2" l="1"/>
  <c r="Z585" i="2" s="1"/>
  <c r="Y585" i="2" l="1"/>
  <c r="AA585" i="2" s="1"/>
  <c r="AB586" i="2" s="1"/>
  <c r="B587" i="2" l="1"/>
  <c r="G586" i="2"/>
  <c r="H586" i="2" s="1"/>
  <c r="F586" i="2"/>
  <c r="AE586" i="2"/>
  <c r="AC586" i="2"/>
  <c r="U586" i="2"/>
  <c r="J586" i="2" l="1"/>
  <c r="W586" i="2"/>
  <c r="X586" i="2" s="1"/>
  <c r="AF587" i="2"/>
  <c r="C587" i="2"/>
  <c r="AD586" i="2"/>
  <c r="L586" i="2" s="1"/>
  <c r="I586" i="2" l="1"/>
  <c r="D587" i="2"/>
  <c r="E587" i="2" s="1"/>
  <c r="T587" i="2" s="1"/>
  <c r="K586" i="2"/>
  <c r="V587" i="2" l="1"/>
  <c r="N586" i="2"/>
  <c r="M586" i="2" s="1"/>
  <c r="P586" i="2" s="1"/>
  <c r="AG586" i="2" l="1"/>
  <c r="O586" i="2"/>
  <c r="Q586" i="2" l="1"/>
  <c r="R586" i="2"/>
  <c r="S586" i="2" l="1"/>
  <c r="Y586" i="2" l="1"/>
  <c r="AA586" i="2" s="1"/>
  <c r="Z586" i="2"/>
  <c r="AB587" i="2" l="1"/>
  <c r="B588" i="2" l="1"/>
  <c r="G587" i="2"/>
  <c r="H587" i="2" s="1"/>
  <c r="F587" i="2"/>
  <c r="AE587" i="2"/>
  <c r="AC587" i="2"/>
  <c r="U587" i="2"/>
  <c r="AF588" i="2" l="1"/>
  <c r="C588" i="2"/>
  <c r="J587" i="2"/>
  <c r="W587" i="2"/>
  <c r="X587" i="2" s="1"/>
  <c r="AD587" i="2"/>
  <c r="L587" i="2" s="1"/>
  <c r="D588" i="2" l="1"/>
  <c r="E588" i="2" s="1"/>
  <c r="T588" i="2" s="1"/>
  <c r="K587" i="2"/>
  <c r="I587" i="2"/>
  <c r="N587" i="2" l="1"/>
  <c r="M587" i="2" s="1"/>
  <c r="P587" i="2" s="1"/>
  <c r="V588" i="2"/>
  <c r="AG587" i="2" l="1"/>
  <c r="O587" i="2"/>
  <c r="R587" i="2" s="1"/>
  <c r="Q587" i="2" l="1"/>
  <c r="S587" i="2" s="1"/>
  <c r="Y587" i="2" s="1"/>
  <c r="AA587" i="2" s="1"/>
  <c r="Z587" i="2" l="1"/>
  <c r="AB588" i="2"/>
  <c r="B589" i="2" l="1"/>
  <c r="G588" i="2"/>
  <c r="H588" i="2" s="1"/>
  <c r="F588" i="2"/>
  <c r="AC588" i="2"/>
  <c r="AE588" i="2"/>
  <c r="U588" i="2"/>
  <c r="AD588" i="2" l="1"/>
  <c r="L588" i="2" s="1"/>
  <c r="J588" i="2"/>
  <c r="W588" i="2"/>
  <c r="X588" i="2" s="1"/>
  <c r="AF589" i="2"/>
  <c r="C589" i="2"/>
  <c r="D589" i="2" l="1"/>
  <c r="E589" i="2" s="1"/>
  <c r="T589" i="2" s="1"/>
  <c r="K588" i="2"/>
  <c r="I588" i="2"/>
  <c r="N588" i="2" l="1"/>
  <c r="M588" i="2" s="1"/>
  <c r="P588" i="2" s="1"/>
  <c r="V589" i="2"/>
  <c r="AG588" i="2" l="1"/>
  <c r="O588" i="2"/>
  <c r="Q588" i="2" s="1"/>
  <c r="R588" i="2" l="1"/>
  <c r="S588" i="2" s="1"/>
  <c r="Y588" i="2" s="1"/>
  <c r="AA588" i="2" s="1"/>
  <c r="Z588" i="2" l="1"/>
  <c r="AB589" i="2"/>
  <c r="B590" i="2" l="1"/>
  <c r="G589" i="2"/>
  <c r="H589" i="2" s="1"/>
  <c r="F589" i="2"/>
  <c r="AC589" i="2"/>
  <c r="AE589" i="2"/>
  <c r="U589" i="2"/>
  <c r="AF590" i="2" l="1"/>
  <c r="C590" i="2"/>
  <c r="J589" i="2"/>
  <c r="W589" i="2"/>
  <c r="X589" i="2" s="1"/>
  <c r="AD589" i="2"/>
  <c r="L589" i="2" s="1"/>
  <c r="I589" i="2" l="1"/>
  <c r="D590" i="2"/>
  <c r="E590" i="2" s="1"/>
  <c r="T590" i="2" s="1"/>
  <c r="K589" i="2"/>
  <c r="N589" i="2" l="1"/>
  <c r="M589" i="2" s="1"/>
  <c r="P589" i="2" s="1"/>
  <c r="V590" i="2"/>
  <c r="AG589" i="2" l="1"/>
  <c r="O589" i="2"/>
  <c r="R589" i="2" l="1"/>
  <c r="Q589" i="2"/>
  <c r="S589" i="2" l="1"/>
  <c r="Y589" i="2" s="1"/>
  <c r="AA589" i="2" s="1"/>
  <c r="Z589" i="2" l="1"/>
  <c r="AB590" i="2"/>
  <c r="B591" i="2" l="1"/>
  <c r="G590" i="2"/>
  <c r="H590" i="2" s="1"/>
  <c r="F590" i="2"/>
  <c r="AC590" i="2"/>
  <c r="AE590" i="2"/>
  <c r="U590" i="2"/>
  <c r="AD590" i="2" l="1"/>
  <c r="L590" i="2" s="1"/>
  <c r="AF591" i="2"/>
  <c r="C591" i="2"/>
  <c r="J590" i="2"/>
  <c r="W590" i="2"/>
  <c r="X590" i="2" s="1"/>
  <c r="I590" i="2" l="1"/>
  <c r="D591" i="2"/>
  <c r="E591" i="2" s="1"/>
  <c r="T591" i="2" s="1"/>
  <c r="K590" i="2"/>
  <c r="N590" i="2" l="1"/>
  <c r="M590" i="2" s="1"/>
  <c r="P590" i="2" s="1"/>
  <c r="V591" i="2"/>
  <c r="AG590" i="2" l="1"/>
  <c r="O590" i="2"/>
  <c r="Q590" i="2" s="1"/>
  <c r="R590" i="2" l="1"/>
  <c r="S590" i="2" s="1"/>
  <c r="Z590" i="2" s="1"/>
  <c r="Y590" i="2" l="1"/>
  <c r="AA590" i="2" s="1"/>
  <c r="AB591" i="2" s="1"/>
  <c r="B592" i="2" l="1"/>
  <c r="G591" i="2"/>
  <c r="H591" i="2" s="1"/>
  <c r="F591" i="2"/>
  <c r="AC591" i="2"/>
  <c r="AE591" i="2"/>
  <c r="U591" i="2"/>
  <c r="AF592" i="2" l="1"/>
  <c r="C592" i="2"/>
  <c r="J591" i="2"/>
  <c r="W591" i="2"/>
  <c r="X591" i="2" s="1"/>
  <c r="AD591" i="2"/>
  <c r="L591" i="2" s="1"/>
  <c r="D592" i="2" l="1"/>
  <c r="E592" i="2" s="1"/>
  <c r="T592" i="2" s="1"/>
  <c r="K591" i="2"/>
  <c r="I591" i="2"/>
  <c r="N591" i="2" l="1"/>
  <c r="M591" i="2" s="1"/>
  <c r="P591" i="2" s="1"/>
  <c r="V592" i="2"/>
  <c r="AG591" i="2" l="1"/>
  <c r="O591" i="2"/>
  <c r="Q591" i="2" s="1"/>
  <c r="R591" i="2" l="1"/>
  <c r="S591" i="2" s="1"/>
  <c r="Z591" i="2" s="1"/>
  <c r="Y591" i="2" l="1"/>
  <c r="AA591" i="2" s="1"/>
  <c r="AB592" i="2" s="1"/>
  <c r="B593" i="2" l="1"/>
  <c r="G592" i="2"/>
  <c r="H592" i="2" s="1"/>
  <c r="F592" i="2"/>
  <c r="AC592" i="2"/>
  <c r="AE592" i="2"/>
  <c r="U592" i="2"/>
  <c r="AD592" i="2" l="1"/>
  <c r="L592" i="2" s="1"/>
  <c r="AF593" i="2"/>
  <c r="C593" i="2"/>
  <c r="J592" i="2"/>
  <c r="W592" i="2"/>
  <c r="X592" i="2" s="1"/>
  <c r="I592" i="2" l="1"/>
  <c r="K592" i="2"/>
  <c r="D593" i="2"/>
  <c r="E593" i="2" s="1"/>
  <c r="T593" i="2" s="1"/>
  <c r="N592" i="2" l="1"/>
  <c r="M592" i="2" s="1"/>
  <c r="P592" i="2" s="1"/>
  <c r="V593" i="2"/>
  <c r="AG592" i="2" l="1"/>
  <c r="O592" i="2"/>
  <c r="R592" i="2" s="1"/>
  <c r="Q592" i="2" l="1"/>
  <c r="S592" i="2" s="1"/>
  <c r="Z592" i="2" s="1"/>
  <c r="Y592" i="2" l="1"/>
  <c r="AA592" i="2" s="1"/>
  <c r="AB593" i="2" s="1"/>
  <c r="B594" i="2" l="1"/>
  <c r="G593" i="2"/>
  <c r="H593" i="2" s="1"/>
  <c r="F593" i="2"/>
  <c r="AE593" i="2"/>
  <c r="AC593" i="2"/>
  <c r="U593" i="2"/>
  <c r="J593" i="2" l="1"/>
  <c r="W593" i="2"/>
  <c r="X593" i="2" s="1"/>
  <c r="AF594" i="2"/>
  <c r="C594" i="2"/>
  <c r="AD593" i="2"/>
  <c r="L593" i="2" s="1"/>
  <c r="D594" i="2" l="1"/>
  <c r="E594" i="2" s="1"/>
  <c r="T594" i="2" s="1"/>
  <c r="K593" i="2"/>
  <c r="I593" i="2"/>
  <c r="N593" i="2" l="1"/>
  <c r="M593" i="2" s="1"/>
  <c r="P593" i="2" s="1"/>
  <c r="V594" i="2"/>
  <c r="AG593" i="2" l="1"/>
  <c r="O593" i="2"/>
  <c r="Q593" i="2" s="1"/>
  <c r="R593" i="2" l="1"/>
  <c r="S593" i="2" s="1"/>
  <c r="Y593" i="2" s="1"/>
  <c r="AA593" i="2" s="1"/>
  <c r="Z593" i="2" l="1"/>
  <c r="AB594" i="2"/>
  <c r="B595" i="2" l="1"/>
  <c r="G594" i="2"/>
  <c r="H594" i="2" s="1"/>
  <c r="F594" i="2"/>
  <c r="AE594" i="2"/>
  <c r="AC594" i="2"/>
  <c r="U594" i="2"/>
  <c r="J594" i="2" l="1"/>
  <c r="W594" i="2"/>
  <c r="X594" i="2" s="1"/>
  <c r="AD594" i="2"/>
  <c r="L594" i="2" s="1"/>
  <c r="AF595" i="2"/>
  <c r="C595" i="2"/>
  <c r="K594" i="2" l="1"/>
  <c r="D595" i="2"/>
  <c r="E595" i="2" s="1"/>
  <c r="T595" i="2" s="1"/>
  <c r="I594" i="2"/>
  <c r="N594" i="2" l="1"/>
  <c r="M594" i="2" s="1"/>
  <c r="P594" i="2" s="1"/>
  <c r="V595" i="2"/>
  <c r="AG594" i="2" l="1"/>
  <c r="O594" i="2"/>
  <c r="Q594" i="2" s="1"/>
  <c r="R594" i="2" l="1"/>
  <c r="S594" i="2" s="1"/>
  <c r="Y594" i="2" s="1"/>
  <c r="AA594" i="2" s="1"/>
  <c r="Z594" i="2" l="1"/>
  <c r="AB595" i="2"/>
  <c r="B596" i="2" l="1"/>
  <c r="G595" i="2"/>
  <c r="H595" i="2" s="1"/>
  <c r="F595" i="2"/>
  <c r="AE595" i="2"/>
  <c r="AC595" i="2"/>
  <c r="U595" i="2"/>
  <c r="AD595" i="2" l="1"/>
  <c r="L595" i="2" s="1"/>
  <c r="AF596" i="2"/>
  <c r="C596" i="2"/>
  <c r="J595" i="2"/>
  <c r="W595" i="2"/>
  <c r="X595" i="2" s="1"/>
  <c r="D596" i="2" l="1"/>
  <c r="E596" i="2" s="1"/>
  <c r="T596" i="2" s="1"/>
  <c r="K595" i="2"/>
  <c r="I595" i="2"/>
  <c r="N595" i="2" l="1"/>
  <c r="M595" i="2" s="1"/>
  <c r="P595" i="2" s="1"/>
  <c r="V596" i="2"/>
  <c r="AG595" i="2" l="1"/>
  <c r="O595" i="2"/>
  <c r="Q595" i="2" s="1"/>
  <c r="R595" i="2" l="1"/>
  <c r="S595" i="2" s="1"/>
  <c r="Y595" i="2" l="1"/>
  <c r="AA595" i="2" s="1"/>
  <c r="AB596" i="2" s="1"/>
  <c r="Z595" i="2"/>
  <c r="B597" i="2" l="1"/>
  <c r="G596" i="2"/>
  <c r="H596" i="2" s="1"/>
  <c r="F596" i="2"/>
  <c r="AC596" i="2"/>
  <c r="AE596" i="2"/>
  <c r="U596" i="2"/>
  <c r="AD596" i="2" l="1"/>
  <c r="L596" i="2" s="1"/>
  <c r="AF597" i="2"/>
  <c r="C597" i="2"/>
  <c r="J596" i="2"/>
  <c r="W596" i="2"/>
  <c r="X596" i="2" s="1"/>
  <c r="K596" i="2" l="1"/>
  <c r="D597" i="2"/>
  <c r="E597" i="2" s="1"/>
  <c r="T597" i="2" s="1"/>
  <c r="I596" i="2"/>
  <c r="V597" i="2" l="1"/>
  <c r="N596" i="2"/>
  <c r="M596" i="2" s="1"/>
  <c r="P596" i="2" s="1"/>
  <c r="AG596" i="2" l="1"/>
  <c r="O596" i="2"/>
  <c r="R596" i="2" l="1"/>
  <c r="Q596" i="2"/>
  <c r="S596" i="2" l="1"/>
  <c r="Z596" i="2" s="1"/>
  <c r="Y596" i="2" l="1"/>
  <c r="AA596" i="2" s="1"/>
  <c r="AB597" i="2" s="1"/>
  <c r="B598" i="2" l="1"/>
  <c r="G597" i="2"/>
  <c r="H597" i="2" s="1"/>
  <c r="F597" i="2"/>
  <c r="AE597" i="2"/>
  <c r="AC597" i="2"/>
  <c r="U597" i="2"/>
  <c r="AF598" i="2" l="1"/>
  <c r="C598" i="2"/>
  <c r="J597" i="2"/>
  <c r="W597" i="2"/>
  <c r="X597" i="2" s="1"/>
  <c r="AD597" i="2"/>
  <c r="L597" i="2" s="1"/>
  <c r="D598" i="2" l="1"/>
  <c r="E598" i="2" s="1"/>
  <c r="T598" i="2" s="1"/>
  <c r="K597" i="2"/>
  <c r="I597" i="2"/>
  <c r="N597" i="2" l="1"/>
  <c r="M597" i="2" s="1"/>
  <c r="P597" i="2" s="1"/>
  <c r="V598" i="2"/>
  <c r="AG597" i="2" l="1"/>
  <c r="O597" i="2"/>
  <c r="R597" i="2" s="1"/>
  <c r="Q597" i="2" l="1"/>
  <c r="S597" i="2" s="1"/>
  <c r="Z597" i="2" s="1"/>
  <c r="Y597" i="2" l="1"/>
  <c r="AA597" i="2" s="1"/>
  <c r="AB598" i="2" s="1"/>
  <c r="B599" i="2" l="1"/>
  <c r="G598" i="2"/>
  <c r="H598" i="2" s="1"/>
  <c r="F598" i="2"/>
  <c r="AC598" i="2"/>
  <c r="AE598" i="2"/>
  <c r="U598" i="2"/>
  <c r="AF599" i="2" l="1"/>
  <c r="C599" i="2"/>
  <c r="J598" i="2"/>
  <c r="W598" i="2"/>
  <c r="X598" i="2" s="1"/>
  <c r="AD598" i="2"/>
  <c r="L598" i="2" s="1"/>
  <c r="K598" i="2" l="1"/>
  <c r="D599" i="2"/>
  <c r="E599" i="2" s="1"/>
  <c r="T599" i="2" s="1"/>
  <c r="I598" i="2"/>
  <c r="N598" i="2" l="1"/>
  <c r="M598" i="2" s="1"/>
  <c r="P598" i="2" s="1"/>
  <c r="V599" i="2"/>
  <c r="AG598" i="2" l="1"/>
  <c r="O598" i="2"/>
  <c r="R598" i="2" s="1"/>
  <c r="Q598" i="2" l="1"/>
  <c r="S598" i="2" s="1"/>
  <c r="Y598" i="2" l="1"/>
  <c r="AA598" i="2" s="1"/>
  <c r="Z598" i="2"/>
  <c r="AB599" i="2" l="1"/>
  <c r="B600" i="2" l="1"/>
  <c r="G599" i="2"/>
  <c r="H599" i="2" s="1"/>
  <c r="F599" i="2"/>
  <c r="AC599" i="2"/>
  <c r="AE599" i="2"/>
  <c r="U599" i="2"/>
  <c r="J599" i="2" l="1"/>
  <c r="W599" i="2"/>
  <c r="X599" i="2" s="1"/>
  <c r="AF600" i="2"/>
  <c r="C600" i="2"/>
  <c r="AD599" i="2"/>
  <c r="L599" i="2" s="1"/>
  <c r="K599" i="2" l="1"/>
  <c r="D600" i="2"/>
  <c r="E600" i="2" s="1"/>
  <c r="T600" i="2" s="1"/>
  <c r="I599" i="2"/>
  <c r="N599" i="2" l="1"/>
  <c r="M599" i="2" s="1"/>
  <c r="V600" i="2"/>
  <c r="P599" i="2" l="1"/>
  <c r="AG599" i="2" s="1"/>
  <c r="O599" i="2"/>
  <c r="Q599" i="2" s="1"/>
  <c r="R599" i="2" l="1"/>
  <c r="S599" i="2" s="1"/>
  <c r="Y599" i="2" s="1"/>
  <c r="AA599" i="2" s="1"/>
  <c r="Z599" i="2" l="1"/>
  <c r="AB600" i="2"/>
  <c r="B601" i="2" l="1"/>
  <c r="G600" i="2"/>
  <c r="H600" i="2" s="1"/>
  <c r="F600" i="2"/>
  <c r="AC600" i="2"/>
  <c r="AE600" i="2"/>
  <c r="U600" i="2"/>
  <c r="J600" i="2" l="1"/>
  <c r="W600" i="2"/>
  <c r="X600" i="2" s="1"/>
  <c r="AD600" i="2"/>
  <c r="L600" i="2" s="1"/>
  <c r="AF601" i="2"/>
  <c r="C601" i="2"/>
  <c r="K600" i="2" l="1"/>
  <c r="D601" i="2"/>
  <c r="E601" i="2" s="1"/>
  <c r="T601" i="2" s="1"/>
  <c r="I600" i="2"/>
  <c r="N600" i="2" l="1"/>
  <c r="M600" i="2" s="1"/>
  <c r="P600" i="2" s="1"/>
  <c r="V601" i="2"/>
  <c r="AG600" i="2" l="1"/>
  <c r="O600" i="2"/>
  <c r="R600" i="2" s="1"/>
  <c r="Q600" i="2" l="1"/>
  <c r="S600" i="2" s="1"/>
  <c r="Y600" i="2" l="1"/>
  <c r="AA600" i="2" s="1"/>
  <c r="Z600" i="2"/>
  <c r="AB601" i="2" l="1"/>
  <c r="B602" i="2" l="1"/>
  <c r="G601" i="2"/>
  <c r="H601" i="2" s="1"/>
  <c r="F601" i="2"/>
  <c r="AE601" i="2"/>
  <c r="AC601" i="2"/>
  <c r="U601" i="2"/>
  <c r="AF602" i="2" l="1"/>
  <c r="C602" i="2"/>
  <c r="J601" i="2"/>
  <c r="W601" i="2"/>
  <c r="X601" i="2" s="1"/>
  <c r="AD601" i="2"/>
  <c r="L601" i="2" s="1"/>
  <c r="I601" i="2" l="1"/>
  <c r="D602" i="2"/>
  <c r="E602" i="2" s="1"/>
  <c r="T602" i="2" s="1"/>
  <c r="K601" i="2"/>
  <c r="V602" i="2" l="1"/>
  <c r="N601" i="2"/>
  <c r="M601" i="2" s="1"/>
  <c r="P601" i="2" s="1"/>
  <c r="AG601" i="2" l="1"/>
  <c r="O601" i="2"/>
  <c r="R601" i="2" l="1"/>
  <c r="Q601" i="2"/>
  <c r="S601" i="2" l="1"/>
  <c r="Y601" i="2" s="1"/>
  <c r="AA601" i="2" s="1"/>
  <c r="Z601" i="2" l="1"/>
  <c r="AB602" i="2"/>
  <c r="B603" i="2" l="1"/>
  <c r="G602" i="2"/>
  <c r="H602" i="2" s="1"/>
  <c r="F602" i="2"/>
  <c r="AE602" i="2"/>
  <c r="AC602" i="2"/>
  <c r="U602" i="2"/>
  <c r="J602" i="2" l="1"/>
  <c r="W602" i="2"/>
  <c r="X602" i="2" s="1"/>
  <c r="AF603" i="2"/>
  <c r="C603" i="2"/>
  <c r="AD602" i="2"/>
  <c r="L602" i="2" s="1"/>
  <c r="D603" i="2" l="1"/>
  <c r="E603" i="2" s="1"/>
  <c r="T603" i="2" s="1"/>
  <c r="K602" i="2"/>
  <c r="I602" i="2"/>
  <c r="N602" i="2" l="1"/>
  <c r="M602" i="2" s="1"/>
  <c r="P602" i="2" s="1"/>
  <c r="V603" i="2"/>
  <c r="AG602" i="2" l="1"/>
  <c r="O602" i="2"/>
  <c r="R602" i="2" s="1"/>
  <c r="Q602" i="2" l="1"/>
  <c r="S602" i="2" s="1"/>
  <c r="Y602" i="2" s="1"/>
  <c r="AA602" i="2" s="1"/>
  <c r="Z602" i="2" l="1"/>
  <c r="AB603" i="2"/>
  <c r="B604" i="2" l="1"/>
  <c r="G603" i="2"/>
  <c r="H603" i="2" s="1"/>
  <c r="F603" i="2"/>
  <c r="AE603" i="2"/>
  <c r="AC603" i="2"/>
  <c r="U603" i="2"/>
  <c r="J603" i="2" l="1"/>
  <c r="W603" i="2"/>
  <c r="X603" i="2" s="1"/>
  <c r="AF604" i="2"/>
  <c r="C604" i="2"/>
  <c r="AD603" i="2"/>
  <c r="L603" i="2" s="1"/>
  <c r="D604" i="2" l="1"/>
  <c r="E604" i="2" s="1"/>
  <c r="T604" i="2" s="1"/>
  <c r="K603" i="2"/>
  <c r="I603" i="2"/>
  <c r="N603" i="2" l="1"/>
  <c r="M603" i="2" s="1"/>
  <c r="P603" i="2" s="1"/>
  <c r="V604" i="2"/>
  <c r="AG603" i="2" l="1"/>
  <c r="O603" i="2"/>
  <c r="R603" i="2" s="1"/>
  <c r="Q603" i="2" l="1"/>
  <c r="S603" i="2" s="1"/>
  <c r="Y603" i="2" s="1"/>
  <c r="AA603" i="2" s="1"/>
  <c r="Z603" i="2" l="1"/>
  <c r="AB604" i="2"/>
  <c r="B605" i="2" l="1"/>
  <c r="G604" i="2"/>
  <c r="H604" i="2" s="1"/>
  <c r="F604" i="2"/>
  <c r="AE604" i="2"/>
  <c r="AC604" i="2"/>
  <c r="U604" i="2"/>
  <c r="AD604" i="2" l="1"/>
  <c r="L604" i="2" s="1"/>
  <c r="AF605" i="2"/>
  <c r="C605" i="2"/>
  <c r="J604" i="2"/>
  <c r="W604" i="2"/>
  <c r="X604" i="2" s="1"/>
  <c r="K604" i="2" l="1"/>
  <c r="I604" i="2"/>
  <c r="D605" i="2"/>
  <c r="E605" i="2" s="1"/>
  <c r="T605" i="2" s="1"/>
  <c r="N604" i="2" l="1"/>
  <c r="M604" i="2" s="1"/>
  <c r="P604" i="2" s="1"/>
  <c r="V605" i="2"/>
  <c r="AG604" i="2" l="1"/>
  <c r="O604" i="2"/>
  <c r="R604" i="2" s="1"/>
  <c r="Q604" i="2" l="1"/>
  <c r="S604" i="2" s="1"/>
  <c r="Y604" i="2" l="1"/>
  <c r="AA604" i="2" s="1"/>
  <c r="Z604" i="2"/>
  <c r="AB605" i="2" l="1"/>
  <c r="B606" i="2" l="1"/>
  <c r="G605" i="2"/>
  <c r="H605" i="2" s="1"/>
  <c r="F605" i="2"/>
  <c r="AC605" i="2"/>
  <c r="AE605" i="2"/>
  <c r="U605" i="2"/>
  <c r="J605" i="2" l="1"/>
  <c r="W605" i="2"/>
  <c r="X605" i="2" s="1"/>
  <c r="AF606" i="2"/>
  <c r="C606" i="2"/>
  <c r="AD605" i="2"/>
  <c r="L605" i="2" s="1"/>
  <c r="K605" i="2" l="1"/>
  <c r="D606" i="2"/>
  <c r="E606" i="2" s="1"/>
  <c r="T606" i="2" s="1"/>
  <c r="I605" i="2"/>
  <c r="N605" i="2" l="1"/>
  <c r="M605" i="2" s="1"/>
  <c r="P605" i="2" s="1"/>
  <c r="V606" i="2"/>
  <c r="AG605" i="2" l="1"/>
  <c r="O605" i="2"/>
  <c r="R605" i="2" s="1"/>
  <c r="Q605" i="2" l="1"/>
  <c r="S605" i="2" s="1"/>
  <c r="Z605" i="2" s="1"/>
  <c r="Y605" i="2" l="1"/>
  <c r="AA605" i="2" s="1"/>
  <c r="AB606" i="2" s="1"/>
  <c r="B607" i="2" l="1"/>
  <c r="G606" i="2"/>
  <c r="H606" i="2" s="1"/>
  <c r="F606" i="2"/>
  <c r="AC606" i="2"/>
  <c r="AE606" i="2"/>
  <c r="U606" i="2"/>
  <c r="J606" i="2" l="1"/>
  <c r="W606" i="2"/>
  <c r="X606" i="2" s="1"/>
  <c r="C607" i="2"/>
  <c r="AF607" i="2"/>
  <c r="AD606" i="2"/>
  <c r="L606" i="2" s="1"/>
  <c r="K606" i="2" l="1"/>
  <c r="D607" i="2"/>
  <c r="E607" i="2" s="1"/>
  <c r="T607" i="2" s="1"/>
  <c r="I606" i="2"/>
  <c r="N606" i="2" l="1"/>
  <c r="M606" i="2" s="1"/>
  <c r="P606" i="2" s="1"/>
  <c r="V607" i="2"/>
  <c r="AG606" i="2" l="1"/>
  <c r="O606" i="2"/>
  <c r="R606" i="2" s="1"/>
  <c r="Q606" i="2" l="1"/>
  <c r="S606" i="2" s="1"/>
  <c r="Y606" i="2" s="1"/>
  <c r="AA606" i="2" s="1"/>
  <c r="Z606" i="2" l="1"/>
  <c r="AB607" i="2"/>
  <c r="B608" i="2" l="1"/>
  <c r="G607" i="2"/>
  <c r="H607" i="2" s="1"/>
  <c r="F607" i="2"/>
  <c r="AC607" i="2"/>
  <c r="AE607" i="2"/>
  <c r="U607" i="2"/>
  <c r="AD607" i="2" l="1"/>
  <c r="L607" i="2" s="1"/>
  <c r="J607" i="2"/>
  <c r="W607" i="2"/>
  <c r="X607" i="2" s="1"/>
  <c r="AF608" i="2"/>
  <c r="C608" i="2"/>
  <c r="I607" i="2" l="1"/>
  <c r="D608" i="2"/>
  <c r="E608" i="2" s="1"/>
  <c r="T608" i="2" s="1"/>
  <c r="K607" i="2"/>
  <c r="V608" i="2" l="1"/>
  <c r="N607" i="2"/>
  <c r="M607" i="2" s="1"/>
  <c r="P607" i="2" s="1"/>
  <c r="AG607" i="2" l="1"/>
  <c r="O607" i="2"/>
  <c r="R607" i="2" l="1"/>
  <c r="Q607" i="2"/>
  <c r="S607" i="2" l="1"/>
  <c r="Y607" i="2" s="1"/>
  <c r="AA607" i="2" s="1"/>
  <c r="Z607" i="2" l="1"/>
  <c r="AB608" i="2"/>
  <c r="B609" i="2" l="1"/>
  <c r="G608" i="2"/>
  <c r="H608" i="2" s="1"/>
  <c r="F608" i="2"/>
  <c r="AE608" i="2"/>
  <c r="AC608" i="2"/>
  <c r="U608" i="2"/>
  <c r="AF609" i="2" l="1"/>
  <c r="C609" i="2"/>
  <c r="AD608" i="2"/>
  <c r="L608" i="2" s="1"/>
  <c r="J608" i="2"/>
  <c r="W608" i="2"/>
  <c r="X608" i="2" s="1"/>
  <c r="I608" i="2" l="1"/>
  <c r="K608" i="2"/>
  <c r="D609" i="2"/>
  <c r="E609" i="2" s="1"/>
  <c r="T609" i="2" s="1"/>
  <c r="V609" i="2" l="1"/>
  <c r="N608" i="2"/>
  <c r="M608" i="2" s="1"/>
  <c r="P608" i="2" s="1"/>
  <c r="AG608" i="2" l="1"/>
  <c r="O608" i="2"/>
  <c r="R608" i="2" l="1"/>
  <c r="Q608" i="2"/>
  <c r="S608" i="2" l="1"/>
  <c r="Z608" i="2" s="1"/>
  <c r="Y608" i="2" l="1"/>
  <c r="AA608" i="2" s="1"/>
  <c r="AB609" i="2" s="1"/>
  <c r="B610" i="2" l="1"/>
  <c r="G609" i="2"/>
  <c r="H609" i="2" s="1"/>
  <c r="F609" i="2"/>
  <c r="AE609" i="2"/>
  <c r="AC609" i="2"/>
  <c r="U609" i="2"/>
  <c r="J609" i="2" l="1"/>
  <c r="W609" i="2"/>
  <c r="X609" i="2" s="1"/>
  <c r="AF610" i="2"/>
  <c r="C610" i="2"/>
  <c r="AD609" i="2"/>
  <c r="L609" i="2" s="1"/>
  <c r="D610" i="2" l="1"/>
  <c r="E610" i="2" s="1"/>
  <c r="T610" i="2" s="1"/>
  <c r="K609" i="2"/>
  <c r="I609" i="2"/>
  <c r="N609" i="2" l="1"/>
  <c r="M609" i="2" s="1"/>
  <c r="P609" i="2" s="1"/>
  <c r="V610" i="2"/>
  <c r="AG609" i="2" l="1"/>
  <c r="O609" i="2"/>
  <c r="R609" i="2" s="1"/>
  <c r="Q609" i="2" l="1"/>
  <c r="S609" i="2" s="1"/>
  <c r="Y609" i="2" s="1"/>
  <c r="AA609" i="2" s="1"/>
  <c r="Z609" i="2" l="1"/>
  <c r="AB610" i="2"/>
  <c r="B611" i="2" l="1"/>
  <c r="G610" i="2"/>
  <c r="H610" i="2" s="1"/>
  <c r="F610" i="2"/>
  <c r="AE610" i="2"/>
  <c r="AC610" i="2"/>
  <c r="U610" i="2"/>
  <c r="J610" i="2" l="1"/>
  <c r="W610" i="2"/>
  <c r="X610" i="2" s="1"/>
  <c r="AF611" i="2"/>
  <c r="C611" i="2"/>
  <c r="AD610" i="2"/>
  <c r="L610" i="2" s="1"/>
  <c r="D611" i="2" l="1"/>
  <c r="E611" i="2" s="1"/>
  <c r="T611" i="2" s="1"/>
  <c r="K610" i="2"/>
  <c r="I610" i="2"/>
  <c r="N610" i="2" l="1"/>
  <c r="M610" i="2" s="1"/>
  <c r="P610" i="2" s="1"/>
  <c r="V611" i="2"/>
  <c r="AG610" i="2" l="1"/>
  <c r="O610" i="2"/>
  <c r="Q610" i="2" s="1"/>
  <c r="R610" i="2" l="1"/>
  <c r="S610" i="2" s="1"/>
  <c r="Z610" i="2" s="1"/>
  <c r="Y610" i="2" l="1"/>
  <c r="AA610" i="2" s="1"/>
  <c r="AB611" i="2" s="1"/>
  <c r="B612" i="2" l="1"/>
  <c r="G611" i="2"/>
  <c r="H611" i="2" s="1"/>
  <c r="F611" i="2"/>
  <c r="AE611" i="2"/>
  <c r="AC611" i="2"/>
  <c r="U611" i="2"/>
  <c r="J611" i="2" l="1"/>
  <c r="W611" i="2"/>
  <c r="X611" i="2" s="1"/>
  <c r="AF612" i="2"/>
  <c r="C612" i="2"/>
  <c r="AD611" i="2"/>
  <c r="L611" i="2" s="1"/>
  <c r="K611" i="2" l="1"/>
  <c r="D612" i="2"/>
  <c r="E612" i="2" s="1"/>
  <c r="T612" i="2" s="1"/>
  <c r="I611" i="2"/>
  <c r="N611" i="2" l="1"/>
  <c r="M611" i="2" s="1"/>
  <c r="P611" i="2" s="1"/>
  <c r="V612" i="2"/>
  <c r="AG611" i="2" l="1"/>
  <c r="O611" i="2"/>
  <c r="Q611" i="2" s="1"/>
  <c r="R611" i="2" l="1"/>
  <c r="S611" i="2" s="1"/>
  <c r="Y611" i="2" s="1"/>
  <c r="AA611" i="2" s="1"/>
  <c r="Z611" i="2" l="1"/>
  <c r="AB612" i="2"/>
  <c r="B613" i="2" l="1"/>
  <c r="G612" i="2"/>
  <c r="H612" i="2" s="1"/>
  <c r="F612" i="2"/>
  <c r="AE612" i="2"/>
  <c r="AC612" i="2"/>
  <c r="U612" i="2"/>
  <c r="J612" i="2" l="1"/>
  <c r="W612" i="2"/>
  <c r="X612" i="2" s="1"/>
  <c r="AF613" i="2"/>
  <c r="C613" i="2"/>
  <c r="AD612" i="2"/>
  <c r="L612" i="2" s="1"/>
  <c r="K612" i="2" l="1"/>
  <c r="D613" i="2"/>
  <c r="E613" i="2" s="1"/>
  <c r="T613" i="2" s="1"/>
  <c r="I612" i="2"/>
  <c r="N612" i="2" l="1"/>
  <c r="M612" i="2" s="1"/>
  <c r="P612" i="2" s="1"/>
  <c r="V613" i="2"/>
  <c r="AG612" i="2" l="1"/>
  <c r="O612" i="2"/>
  <c r="R612" i="2" s="1"/>
  <c r="Q612" i="2" l="1"/>
  <c r="S612" i="2" s="1"/>
  <c r="Y612" i="2" s="1"/>
  <c r="AA612" i="2" s="1"/>
  <c r="Z612" i="2" l="1"/>
  <c r="AB613" i="2"/>
  <c r="B614" i="2" l="1"/>
  <c r="G613" i="2"/>
  <c r="H613" i="2" s="1"/>
  <c r="F613" i="2"/>
  <c r="AE613" i="2"/>
  <c r="AC613" i="2"/>
  <c r="U613" i="2"/>
  <c r="C614" i="2" l="1"/>
  <c r="AF614" i="2"/>
  <c r="J613" i="2"/>
  <c r="W613" i="2"/>
  <c r="X613" i="2" s="1"/>
  <c r="AD613" i="2"/>
  <c r="L613" i="2" s="1"/>
  <c r="I613" i="2" l="1"/>
  <c r="K613" i="2"/>
  <c r="D614" i="2"/>
  <c r="E614" i="2" s="1"/>
  <c r="T614" i="2" s="1"/>
  <c r="V614" i="2" l="1"/>
  <c r="N613" i="2"/>
  <c r="M613" i="2" s="1"/>
  <c r="P613" i="2" s="1"/>
  <c r="AG613" i="2" l="1"/>
  <c r="O613" i="2"/>
  <c r="R613" i="2" l="1"/>
  <c r="Q613" i="2"/>
  <c r="S613" i="2" l="1"/>
  <c r="Z613" i="2" s="1"/>
  <c r="Y613" i="2" l="1"/>
  <c r="AA613" i="2" s="1"/>
  <c r="AB614" i="2" s="1"/>
  <c r="B615" i="2" l="1"/>
  <c r="G614" i="2"/>
  <c r="H614" i="2" s="1"/>
  <c r="F614" i="2"/>
  <c r="AE614" i="2"/>
  <c r="AC614" i="2"/>
  <c r="U614" i="2"/>
  <c r="AF615" i="2" l="1"/>
  <c r="C615" i="2"/>
  <c r="AD614" i="2"/>
  <c r="L614" i="2" s="1"/>
  <c r="J614" i="2"/>
  <c r="W614" i="2"/>
  <c r="X614" i="2" s="1"/>
  <c r="K614" i="2" l="1"/>
  <c r="I614" i="2"/>
  <c r="D615" i="2"/>
  <c r="E615" i="2" s="1"/>
  <c r="T615" i="2" s="1"/>
  <c r="N614" i="2" l="1"/>
  <c r="M614" i="2" s="1"/>
  <c r="P614" i="2" s="1"/>
  <c r="V615" i="2"/>
  <c r="AG614" i="2" l="1"/>
  <c r="O614" i="2"/>
  <c r="Q614" i="2" s="1"/>
  <c r="R614" i="2" l="1"/>
  <c r="S614" i="2" s="1"/>
  <c r="Z614" i="2" s="1"/>
  <c r="Y614" i="2" l="1"/>
  <c r="AA614" i="2" s="1"/>
  <c r="AB615" i="2" s="1"/>
  <c r="B616" i="2" l="1"/>
  <c r="G615" i="2"/>
  <c r="H615" i="2" s="1"/>
  <c r="F615" i="2"/>
  <c r="AC615" i="2"/>
  <c r="AE615" i="2"/>
  <c r="U615" i="2"/>
  <c r="J615" i="2" l="1"/>
  <c r="W615" i="2"/>
  <c r="X615" i="2" s="1"/>
  <c r="AF616" i="2"/>
  <c r="C616" i="2"/>
  <c r="AD615" i="2"/>
  <c r="L615" i="2" s="1"/>
  <c r="K615" i="2" l="1"/>
  <c r="D616" i="2"/>
  <c r="E616" i="2" s="1"/>
  <c r="T616" i="2" s="1"/>
  <c r="I615" i="2"/>
  <c r="N615" i="2" l="1"/>
  <c r="M615" i="2" s="1"/>
  <c r="V616" i="2"/>
  <c r="P615" i="2" l="1"/>
  <c r="AG615" i="2" s="1"/>
  <c r="O615" i="2"/>
  <c r="R615" i="2" s="1"/>
  <c r="Q615" i="2" l="1"/>
  <c r="S615" i="2" s="1"/>
  <c r="Y615" i="2" l="1"/>
  <c r="AA615" i="2" s="1"/>
  <c r="AB616" i="2" s="1"/>
  <c r="Z615" i="2"/>
  <c r="B617" i="2" l="1"/>
  <c r="G616" i="2"/>
  <c r="H616" i="2" s="1"/>
  <c r="F616" i="2"/>
  <c r="AE616" i="2"/>
  <c r="AC616" i="2"/>
  <c r="U616" i="2"/>
  <c r="AF617" i="2" l="1"/>
  <c r="C617" i="2"/>
  <c r="AD616" i="2"/>
  <c r="L616" i="2" s="1"/>
  <c r="J616" i="2"/>
  <c r="W616" i="2"/>
  <c r="X616" i="2" s="1"/>
  <c r="K616" i="2" l="1"/>
  <c r="D617" i="2"/>
  <c r="E617" i="2" s="1"/>
  <c r="T617" i="2" s="1"/>
  <c r="I616" i="2"/>
  <c r="N616" i="2" l="1"/>
  <c r="M616" i="2" s="1"/>
  <c r="P616" i="2" s="1"/>
  <c r="V617" i="2"/>
  <c r="AG616" i="2" l="1"/>
  <c r="O616" i="2"/>
  <c r="R616" i="2" s="1"/>
  <c r="Q616" i="2" l="1"/>
  <c r="S616" i="2" s="1"/>
  <c r="Y616" i="2" s="1"/>
  <c r="AA616" i="2" s="1"/>
  <c r="Z616" i="2" l="1"/>
  <c r="AB617" i="2"/>
  <c r="B618" i="2" l="1"/>
  <c r="G617" i="2"/>
  <c r="H617" i="2" s="1"/>
  <c r="F617" i="2"/>
  <c r="AC617" i="2"/>
  <c r="AE617" i="2"/>
  <c r="U617" i="2"/>
  <c r="AD617" i="2" l="1"/>
  <c r="L617" i="2" s="1"/>
  <c r="AF618" i="2"/>
  <c r="C618" i="2"/>
  <c r="J617" i="2"/>
  <c r="W617" i="2"/>
  <c r="X617" i="2" s="1"/>
  <c r="D618" i="2" l="1"/>
  <c r="E618" i="2" s="1"/>
  <c r="T618" i="2" s="1"/>
  <c r="K617" i="2"/>
  <c r="I617" i="2"/>
  <c r="N617" i="2" l="1"/>
  <c r="M617" i="2" s="1"/>
  <c r="P617" i="2" s="1"/>
  <c r="V618" i="2"/>
  <c r="AG617" i="2" l="1"/>
  <c r="O617" i="2"/>
  <c r="Q617" i="2" s="1"/>
  <c r="R617" i="2" l="1"/>
  <c r="S617" i="2" s="1"/>
  <c r="Y617" i="2" s="1"/>
  <c r="AA617" i="2" s="1"/>
  <c r="Z617" i="2" l="1"/>
  <c r="AB618" i="2"/>
  <c r="B619" i="2" l="1"/>
  <c r="G618" i="2"/>
  <c r="H618" i="2" s="1"/>
  <c r="F618" i="2"/>
  <c r="AC618" i="2"/>
  <c r="AE618" i="2"/>
  <c r="U618" i="2"/>
  <c r="J618" i="2" l="1"/>
  <c r="W618" i="2"/>
  <c r="X618" i="2" s="1"/>
  <c r="AF619" i="2"/>
  <c r="C619" i="2"/>
  <c r="AD618" i="2"/>
  <c r="L618" i="2" s="1"/>
  <c r="K618" i="2" l="1"/>
  <c r="D619" i="2"/>
  <c r="E619" i="2" s="1"/>
  <c r="T619" i="2" s="1"/>
  <c r="I618" i="2"/>
  <c r="N618" i="2" l="1"/>
  <c r="M618" i="2" s="1"/>
  <c r="P618" i="2" s="1"/>
  <c r="V619" i="2"/>
  <c r="AG618" i="2" l="1"/>
  <c r="O618" i="2"/>
  <c r="R618" i="2" s="1"/>
  <c r="Q618" i="2" l="1"/>
  <c r="S618" i="2" s="1"/>
  <c r="Y618" i="2" s="1"/>
  <c r="AA618" i="2" s="1"/>
  <c r="Z618" i="2" l="1"/>
  <c r="AB619" i="2"/>
  <c r="B620" i="2" l="1"/>
  <c r="G619" i="2"/>
  <c r="H619" i="2" s="1"/>
  <c r="F619" i="2"/>
  <c r="AE619" i="2"/>
  <c r="AC619" i="2"/>
  <c r="U619" i="2"/>
  <c r="J619" i="2" l="1"/>
  <c r="W619" i="2"/>
  <c r="X619" i="2" s="1"/>
  <c r="AF620" i="2"/>
  <c r="C620" i="2"/>
  <c r="AD619" i="2"/>
  <c r="L619" i="2" s="1"/>
  <c r="K619" i="2" l="1"/>
  <c r="D620" i="2"/>
  <c r="E620" i="2" s="1"/>
  <c r="T620" i="2" s="1"/>
  <c r="I619" i="2"/>
  <c r="N619" i="2" l="1"/>
  <c r="M619" i="2" s="1"/>
  <c r="P619" i="2" s="1"/>
  <c r="V620" i="2"/>
  <c r="AG619" i="2" l="1"/>
  <c r="O619" i="2"/>
  <c r="Q619" i="2" s="1"/>
  <c r="R619" i="2" l="1"/>
  <c r="S619" i="2" s="1"/>
  <c r="Y619" i="2" s="1"/>
  <c r="AA619" i="2" s="1"/>
  <c r="Z619" i="2" l="1"/>
  <c r="AB620" i="2"/>
  <c r="B621" i="2" l="1"/>
  <c r="G620" i="2"/>
  <c r="H620" i="2" s="1"/>
  <c r="F620" i="2"/>
  <c r="AE620" i="2"/>
  <c r="AC620" i="2"/>
  <c r="U620" i="2"/>
  <c r="AF621" i="2" l="1"/>
  <c r="C621" i="2"/>
  <c r="AD620" i="2"/>
  <c r="L620" i="2" s="1"/>
  <c r="J620" i="2"/>
  <c r="W620" i="2"/>
  <c r="X620" i="2" s="1"/>
  <c r="K620" i="2" l="1"/>
  <c r="I620" i="2"/>
  <c r="D621" i="2"/>
  <c r="E621" i="2" s="1"/>
  <c r="T621" i="2" s="1"/>
  <c r="N620" i="2" l="1"/>
  <c r="M620" i="2" s="1"/>
  <c r="P620" i="2" s="1"/>
  <c r="V621" i="2"/>
  <c r="AG620" i="2" l="1"/>
  <c r="O620" i="2"/>
  <c r="Q620" i="2" s="1"/>
  <c r="R620" i="2" l="1"/>
  <c r="S620" i="2" s="1"/>
  <c r="Y620" i="2" l="1"/>
  <c r="AA620" i="2" s="1"/>
  <c r="AB621" i="2" s="1"/>
  <c r="Z620" i="2"/>
  <c r="B622" i="2" l="1"/>
  <c r="G621" i="2"/>
  <c r="H621" i="2" s="1"/>
  <c r="F621" i="2"/>
  <c r="AC621" i="2"/>
  <c r="AE621" i="2"/>
  <c r="U621" i="2"/>
  <c r="AD621" i="2" l="1"/>
  <c r="L621" i="2" s="1"/>
  <c r="AF622" i="2"/>
  <c r="C622" i="2"/>
  <c r="J621" i="2"/>
  <c r="W621" i="2"/>
  <c r="X621" i="2" s="1"/>
  <c r="D622" i="2" l="1"/>
  <c r="E622" i="2" s="1"/>
  <c r="T622" i="2" s="1"/>
  <c r="K621" i="2"/>
  <c r="I621" i="2"/>
  <c r="N621" i="2" l="1"/>
  <c r="M621" i="2" s="1"/>
  <c r="P621" i="2" s="1"/>
  <c r="V622" i="2"/>
  <c r="AG621" i="2" l="1"/>
  <c r="O621" i="2"/>
  <c r="R621" i="2" s="1"/>
  <c r="Q621" i="2" l="1"/>
  <c r="S621" i="2" s="1"/>
  <c r="Z621" i="2" s="1"/>
  <c r="Y621" i="2" l="1"/>
  <c r="AA621" i="2" s="1"/>
  <c r="AB622" i="2" s="1"/>
  <c r="B623" i="2" l="1"/>
  <c r="G622" i="2"/>
  <c r="H622" i="2" s="1"/>
  <c r="F622" i="2"/>
  <c r="AC622" i="2"/>
  <c r="AE622" i="2"/>
  <c r="U622" i="2"/>
  <c r="AD622" i="2" l="1"/>
  <c r="L622" i="2" s="1"/>
  <c r="AF623" i="2"/>
  <c r="C623" i="2"/>
  <c r="J622" i="2"/>
  <c r="W622" i="2"/>
  <c r="X622" i="2" s="1"/>
  <c r="I622" i="2" l="1"/>
  <c r="K622" i="2"/>
  <c r="D623" i="2"/>
  <c r="E623" i="2" s="1"/>
  <c r="T623" i="2" s="1"/>
  <c r="V623" i="2" l="1"/>
  <c r="N622" i="2"/>
  <c r="M622" i="2" s="1"/>
  <c r="P622" i="2" s="1"/>
  <c r="AG622" i="2" l="1"/>
  <c r="O622" i="2"/>
  <c r="R622" i="2" l="1"/>
  <c r="Q622" i="2"/>
  <c r="S622" i="2" l="1"/>
  <c r="Y622" i="2" s="1"/>
  <c r="AA622" i="2" s="1"/>
  <c r="Z622" i="2" l="1"/>
  <c r="AB623" i="2"/>
  <c r="B624" i="2" l="1"/>
  <c r="G623" i="2"/>
  <c r="H623" i="2" s="1"/>
  <c r="F623" i="2"/>
  <c r="AE623" i="2"/>
  <c r="AC623" i="2"/>
  <c r="U623" i="2"/>
  <c r="J623" i="2" l="1"/>
  <c r="W623" i="2"/>
  <c r="X623" i="2" s="1"/>
  <c r="C624" i="2"/>
  <c r="AF624" i="2"/>
  <c r="AD623" i="2"/>
  <c r="L623" i="2" s="1"/>
  <c r="D624" i="2" l="1"/>
  <c r="E624" i="2" s="1"/>
  <c r="T624" i="2" s="1"/>
  <c r="K623" i="2"/>
  <c r="I623" i="2"/>
  <c r="N623" i="2" l="1"/>
  <c r="M623" i="2" s="1"/>
  <c r="P623" i="2" s="1"/>
  <c r="V624" i="2"/>
  <c r="AG623" i="2" l="1"/>
  <c r="O623" i="2"/>
  <c r="Q623" i="2" s="1"/>
  <c r="R623" i="2" l="1"/>
  <c r="S623" i="2" s="1"/>
  <c r="Z623" i="2" s="1"/>
  <c r="Y623" i="2" l="1"/>
  <c r="AA623" i="2" s="1"/>
  <c r="AB624" i="2" s="1"/>
  <c r="B625" i="2" l="1"/>
  <c r="G624" i="2"/>
  <c r="H624" i="2" s="1"/>
  <c r="F624" i="2"/>
  <c r="AE624" i="2"/>
  <c r="AC624" i="2"/>
  <c r="U624" i="2"/>
  <c r="AF625" i="2" l="1"/>
  <c r="C625" i="2"/>
  <c r="AD624" i="2"/>
  <c r="L624" i="2" s="1"/>
  <c r="J624" i="2"/>
  <c r="W624" i="2"/>
  <c r="X624" i="2" s="1"/>
  <c r="K624" i="2" l="1"/>
  <c r="D625" i="2"/>
  <c r="E625" i="2" s="1"/>
  <c r="T625" i="2" s="1"/>
  <c r="I624" i="2"/>
  <c r="N624" i="2" l="1"/>
  <c r="M624" i="2" s="1"/>
  <c r="P624" i="2" s="1"/>
  <c r="V625" i="2"/>
  <c r="AG624" i="2" l="1"/>
  <c r="O624" i="2"/>
  <c r="Q624" i="2" s="1"/>
  <c r="R624" i="2" l="1"/>
  <c r="S624" i="2" s="1"/>
  <c r="Z624" i="2" s="1"/>
  <c r="Y624" i="2" l="1"/>
  <c r="AA624" i="2" s="1"/>
  <c r="AB625" i="2" s="1"/>
  <c r="B626" i="2" l="1"/>
  <c r="G625" i="2"/>
  <c r="H625" i="2" s="1"/>
  <c r="F625" i="2"/>
  <c r="AC625" i="2"/>
  <c r="AE625" i="2"/>
  <c r="U625" i="2"/>
  <c r="J625" i="2" l="1"/>
  <c r="W625" i="2"/>
  <c r="X625" i="2" s="1"/>
  <c r="AF626" i="2"/>
  <c r="C626" i="2"/>
  <c r="AD625" i="2"/>
  <c r="L625" i="2" s="1"/>
  <c r="D626" i="2" l="1"/>
  <c r="E626" i="2" s="1"/>
  <c r="T626" i="2" s="1"/>
  <c r="K625" i="2"/>
  <c r="I625" i="2"/>
  <c r="N625" i="2" l="1"/>
  <c r="M625" i="2" s="1"/>
  <c r="P625" i="2" s="1"/>
  <c r="V626" i="2"/>
  <c r="AG625" i="2" l="1"/>
  <c r="O625" i="2"/>
  <c r="Q625" i="2" s="1"/>
  <c r="R625" i="2" l="1"/>
  <c r="S625" i="2" s="1"/>
  <c r="Y625" i="2" s="1"/>
  <c r="AA625" i="2" s="1"/>
  <c r="Z625" i="2" l="1"/>
  <c r="AB626" i="2"/>
  <c r="B627" i="2" l="1"/>
  <c r="G626" i="2"/>
  <c r="H626" i="2" s="1"/>
  <c r="F626" i="2"/>
  <c r="AC626" i="2"/>
  <c r="AE626" i="2"/>
  <c r="U626" i="2"/>
  <c r="J626" i="2" l="1"/>
  <c r="W626" i="2"/>
  <c r="X626" i="2" s="1"/>
  <c r="AD626" i="2"/>
  <c r="L626" i="2" s="1"/>
  <c r="AF627" i="2"/>
  <c r="C627" i="2"/>
  <c r="I626" i="2" l="1"/>
  <c r="D627" i="2"/>
  <c r="E627" i="2" s="1"/>
  <c r="T627" i="2" s="1"/>
  <c r="K626" i="2"/>
  <c r="V627" i="2" l="1"/>
  <c r="N626" i="2"/>
  <c r="M626" i="2" s="1"/>
  <c r="P626" i="2" s="1"/>
  <c r="AG626" i="2" l="1"/>
  <c r="O626" i="2"/>
  <c r="R626" i="2" l="1"/>
  <c r="Q626" i="2"/>
  <c r="S626" i="2" l="1"/>
  <c r="Z626" i="2" s="1"/>
  <c r="Y626" i="2" l="1"/>
  <c r="AA626" i="2" s="1"/>
  <c r="AB627" i="2" s="1"/>
  <c r="B628" i="2" l="1"/>
  <c r="G627" i="2"/>
  <c r="H627" i="2" s="1"/>
  <c r="F627" i="2"/>
  <c r="AE627" i="2"/>
  <c r="AC627" i="2"/>
  <c r="U627" i="2"/>
  <c r="J627" i="2" l="1"/>
  <c r="W627" i="2"/>
  <c r="X627" i="2" s="1"/>
  <c r="AF628" i="2"/>
  <c r="C628" i="2"/>
  <c r="AD627" i="2"/>
  <c r="L627" i="2" s="1"/>
  <c r="I627" i="2" l="1"/>
  <c r="D628" i="2"/>
  <c r="E628" i="2" s="1"/>
  <c r="T628" i="2" s="1"/>
  <c r="K627" i="2"/>
  <c r="V628" i="2" l="1"/>
  <c r="N627" i="2"/>
  <c r="M627" i="2" s="1"/>
  <c r="P627" i="2" s="1"/>
  <c r="AG627" i="2" l="1"/>
  <c r="O627" i="2"/>
  <c r="Q627" i="2" l="1"/>
  <c r="R627" i="2"/>
  <c r="S627" i="2" l="1"/>
  <c r="Z627" i="2" s="1"/>
  <c r="Y627" i="2" l="1"/>
  <c r="AA627" i="2" s="1"/>
  <c r="AB628" i="2" s="1"/>
  <c r="B629" i="2" l="1"/>
  <c r="G628" i="2"/>
  <c r="H628" i="2" s="1"/>
  <c r="F628" i="2"/>
  <c r="AE628" i="2"/>
  <c r="AC628" i="2"/>
  <c r="U628" i="2"/>
  <c r="AD628" i="2" l="1"/>
  <c r="L628" i="2" s="1"/>
  <c r="J628" i="2"/>
  <c r="W628" i="2"/>
  <c r="X628" i="2" s="1"/>
  <c r="AF629" i="2"/>
  <c r="C629" i="2"/>
  <c r="I628" i="2" l="1"/>
  <c r="D629" i="2"/>
  <c r="E629" i="2" s="1"/>
  <c r="T629" i="2" s="1"/>
  <c r="K628" i="2"/>
  <c r="V629" i="2" l="1"/>
  <c r="N628" i="2"/>
  <c r="M628" i="2" s="1"/>
  <c r="P628" i="2" s="1"/>
  <c r="AG628" i="2" l="1"/>
  <c r="O628" i="2"/>
  <c r="R628" i="2" l="1"/>
  <c r="Q628" i="2"/>
  <c r="S628" i="2" l="1"/>
  <c r="Y628" i="2" s="1"/>
  <c r="AA628" i="2" s="1"/>
  <c r="Z628" i="2" l="1"/>
  <c r="AB629" i="2"/>
  <c r="B630" i="2" l="1"/>
  <c r="G629" i="2"/>
  <c r="H629" i="2" s="1"/>
  <c r="F629" i="2"/>
  <c r="AC629" i="2"/>
  <c r="AE629" i="2"/>
  <c r="U629" i="2"/>
  <c r="J629" i="2" l="1"/>
  <c r="W629" i="2"/>
  <c r="X629" i="2" s="1"/>
  <c r="AD629" i="2"/>
  <c r="L629" i="2" s="1"/>
  <c r="AF630" i="2"/>
  <c r="C630" i="2"/>
  <c r="D630" i="2" l="1"/>
  <c r="E630" i="2" s="1"/>
  <c r="T630" i="2" s="1"/>
  <c r="K629" i="2"/>
  <c r="I629" i="2"/>
  <c r="N629" i="2" l="1"/>
  <c r="M629" i="2" s="1"/>
  <c r="P629" i="2" s="1"/>
  <c r="V630" i="2"/>
  <c r="AG629" i="2" l="1"/>
  <c r="O629" i="2"/>
  <c r="R629" i="2" s="1"/>
  <c r="Q629" i="2" l="1"/>
  <c r="S629" i="2" s="1"/>
  <c r="Y629" i="2" s="1"/>
  <c r="AA629" i="2" s="1"/>
  <c r="Z629" i="2" l="1"/>
  <c r="AB630" i="2"/>
  <c r="B631" i="2" l="1"/>
  <c r="G630" i="2"/>
  <c r="H630" i="2" s="1"/>
  <c r="F630" i="2"/>
  <c r="AE630" i="2"/>
  <c r="AC630" i="2"/>
  <c r="U630" i="2"/>
  <c r="AF631" i="2" l="1"/>
  <c r="C631" i="2"/>
  <c r="J630" i="2"/>
  <c r="W630" i="2"/>
  <c r="X630" i="2" s="1"/>
  <c r="AD630" i="2"/>
  <c r="L630" i="2" s="1"/>
  <c r="D631" i="2" l="1"/>
  <c r="E631" i="2" s="1"/>
  <c r="T631" i="2" s="1"/>
  <c r="K630" i="2"/>
  <c r="I630" i="2"/>
  <c r="N630" i="2" l="1"/>
  <c r="M630" i="2" s="1"/>
  <c r="P630" i="2" s="1"/>
  <c r="V631" i="2"/>
  <c r="AG630" i="2" l="1"/>
  <c r="O630" i="2"/>
  <c r="R630" i="2" s="1"/>
  <c r="Q630" i="2" l="1"/>
  <c r="S630" i="2" s="1"/>
  <c r="Y630" i="2" s="1"/>
  <c r="AA630" i="2" s="1"/>
  <c r="Z630" i="2" l="1"/>
  <c r="AB631" i="2"/>
  <c r="B632" i="2" l="1"/>
  <c r="G631" i="2"/>
  <c r="H631" i="2" s="1"/>
  <c r="F631" i="2"/>
  <c r="AE631" i="2"/>
  <c r="AC631" i="2"/>
  <c r="U631" i="2"/>
  <c r="AF632" i="2" l="1"/>
  <c r="C632" i="2"/>
  <c r="J631" i="2"/>
  <c r="W631" i="2"/>
  <c r="X631" i="2" s="1"/>
  <c r="AD631" i="2"/>
  <c r="L631" i="2" s="1"/>
  <c r="D632" i="2" l="1"/>
  <c r="E632" i="2" s="1"/>
  <c r="T632" i="2" s="1"/>
  <c r="K631" i="2"/>
  <c r="I631" i="2"/>
  <c r="N631" i="2" l="1"/>
  <c r="M631" i="2" s="1"/>
  <c r="P631" i="2" s="1"/>
  <c r="V632" i="2"/>
  <c r="AG631" i="2" l="1"/>
  <c r="O631" i="2"/>
  <c r="R631" i="2" s="1"/>
  <c r="Q631" i="2" l="1"/>
  <c r="S631" i="2" s="1"/>
  <c r="Y631" i="2" s="1"/>
  <c r="AA631" i="2" s="1"/>
  <c r="Z631" i="2" l="1"/>
  <c r="AB632" i="2"/>
  <c r="B633" i="2" l="1"/>
  <c r="G632" i="2"/>
  <c r="H632" i="2" s="1"/>
  <c r="F632" i="2"/>
  <c r="AC632" i="2"/>
  <c r="AE632" i="2"/>
  <c r="U632" i="2"/>
  <c r="AD632" i="2" l="1"/>
  <c r="L632" i="2" s="1"/>
  <c r="AF633" i="2"/>
  <c r="C633" i="2"/>
  <c r="J632" i="2"/>
  <c r="W632" i="2"/>
  <c r="X632" i="2" s="1"/>
  <c r="K632" i="2" l="1"/>
  <c r="I632" i="2"/>
  <c r="D633" i="2"/>
  <c r="E633" i="2" s="1"/>
  <c r="T633" i="2" s="1"/>
  <c r="N632" i="2" l="1"/>
  <c r="M632" i="2" s="1"/>
  <c r="P632" i="2" s="1"/>
  <c r="V633" i="2"/>
  <c r="AG632" i="2" l="1"/>
  <c r="O632" i="2"/>
  <c r="Q632" i="2" s="1"/>
  <c r="R632" i="2" l="1"/>
  <c r="S632" i="2" s="1"/>
  <c r="Y632" i="2" s="1"/>
  <c r="AA632" i="2" s="1"/>
  <c r="Z632" i="2" l="1"/>
  <c r="AB633" i="2"/>
  <c r="B634" i="2" l="1"/>
  <c r="G633" i="2"/>
  <c r="H633" i="2" s="1"/>
  <c r="F633" i="2"/>
  <c r="AE633" i="2"/>
  <c r="AC633" i="2"/>
  <c r="U633" i="2"/>
  <c r="J633" i="2" l="1"/>
  <c r="W633" i="2"/>
  <c r="X633" i="2" s="1"/>
  <c r="AF634" i="2"/>
  <c r="C634" i="2"/>
  <c r="AD633" i="2"/>
  <c r="L633" i="2" s="1"/>
  <c r="D634" i="2" l="1"/>
  <c r="E634" i="2" s="1"/>
  <c r="T634" i="2" s="1"/>
  <c r="K633" i="2"/>
  <c r="I633" i="2"/>
  <c r="N633" i="2" l="1"/>
  <c r="M633" i="2" s="1"/>
  <c r="P633" i="2" s="1"/>
  <c r="V634" i="2"/>
  <c r="AG633" i="2" l="1"/>
  <c r="O633" i="2"/>
  <c r="Q633" i="2" s="1"/>
  <c r="R633" i="2" l="1"/>
  <c r="S633" i="2" s="1"/>
  <c r="Y633" i="2" s="1"/>
  <c r="AA633" i="2" s="1"/>
  <c r="Z633" i="2" l="1"/>
  <c r="AB634" i="2"/>
  <c r="B635" i="2" l="1"/>
  <c r="G634" i="2"/>
  <c r="H634" i="2" s="1"/>
  <c r="F634" i="2"/>
  <c r="AE634" i="2"/>
  <c r="AC634" i="2"/>
  <c r="U634" i="2"/>
  <c r="J634" i="2" l="1"/>
  <c r="W634" i="2"/>
  <c r="X634" i="2" s="1"/>
  <c r="AD634" i="2"/>
  <c r="L634" i="2" s="1"/>
  <c r="AF635" i="2"/>
  <c r="C635" i="2"/>
  <c r="D635" i="2" l="1"/>
  <c r="E635" i="2" s="1"/>
  <c r="T635" i="2" s="1"/>
  <c r="K634" i="2"/>
  <c r="I634" i="2"/>
  <c r="N634" i="2" l="1"/>
  <c r="M634" i="2" s="1"/>
  <c r="P634" i="2" s="1"/>
  <c r="V635" i="2"/>
  <c r="AG634" i="2" l="1"/>
  <c r="O634" i="2"/>
  <c r="Q634" i="2" s="1"/>
  <c r="R634" i="2" l="1"/>
  <c r="S634" i="2" s="1"/>
  <c r="Y634" i="2" s="1"/>
  <c r="AA634" i="2" s="1"/>
  <c r="Z634" i="2" l="1"/>
  <c r="AB635" i="2"/>
  <c r="B636" i="2" l="1"/>
  <c r="G635" i="2"/>
  <c r="H635" i="2" s="1"/>
  <c r="F635" i="2"/>
  <c r="AC635" i="2"/>
  <c r="AE635" i="2"/>
  <c r="U635" i="2"/>
  <c r="J635" i="2" l="1"/>
  <c r="W635" i="2"/>
  <c r="X635" i="2" s="1"/>
  <c r="AF636" i="2"/>
  <c r="C636" i="2"/>
  <c r="AD635" i="2"/>
  <c r="L635" i="2" s="1"/>
  <c r="I635" i="2" l="1"/>
  <c r="D636" i="2"/>
  <c r="E636" i="2" s="1"/>
  <c r="T636" i="2" s="1"/>
  <c r="K635" i="2"/>
  <c r="V636" i="2" l="1"/>
  <c r="N635" i="2"/>
  <c r="M635" i="2" s="1"/>
  <c r="P635" i="2" s="1"/>
  <c r="AG635" i="2" l="1"/>
  <c r="O635" i="2"/>
  <c r="R635" i="2" l="1"/>
  <c r="Q635" i="2"/>
  <c r="S635" i="2" l="1"/>
  <c r="Y635" i="2" s="1"/>
  <c r="AA635" i="2" s="1"/>
  <c r="Z635" i="2" l="1"/>
  <c r="AB636" i="2"/>
  <c r="B637" i="2" l="1"/>
  <c r="G636" i="2"/>
  <c r="H636" i="2" s="1"/>
  <c r="F636" i="2"/>
  <c r="AE636" i="2"/>
  <c r="AC636" i="2"/>
  <c r="U636" i="2"/>
  <c r="AD636" i="2" l="1"/>
  <c r="L636" i="2" s="1"/>
  <c r="J636" i="2"/>
  <c r="W636" i="2"/>
  <c r="X636" i="2" s="1"/>
  <c r="AF637" i="2"/>
  <c r="C637" i="2"/>
  <c r="I636" i="2" l="1"/>
  <c r="D637" i="2"/>
  <c r="E637" i="2" s="1"/>
  <c r="T637" i="2" s="1"/>
  <c r="K636" i="2"/>
  <c r="V637" i="2" l="1"/>
  <c r="N636" i="2"/>
  <c r="M636" i="2" s="1"/>
  <c r="P636" i="2" s="1"/>
  <c r="AG636" i="2" l="1"/>
  <c r="O636" i="2"/>
  <c r="R636" i="2" l="1"/>
  <c r="Q636" i="2"/>
  <c r="S636" i="2" l="1"/>
  <c r="Y636" i="2" s="1"/>
  <c r="AA636" i="2" s="1"/>
  <c r="Z636" i="2" l="1"/>
  <c r="AB637" i="2"/>
  <c r="B638" i="2" l="1"/>
  <c r="G637" i="2"/>
  <c r="H637" i="2" s="1"/>
  <c r="F637" i="2"/>
  <c r="AC637" i="2"/>
  <c r="AE637" i="2"/>
  <c r="U637" i="2"/>
  <c r="J637" i="2" l="1"/>
  <c r="W637" i="2"/>
  <c r="X637" i="2" s="1"/>
  <c r="AD637" i="2"/>
  <c r="L637" i="2" s="1"/>
  <c r="C638" i="2"/>
  <c r="AF638" i="2"/>
  <c r="K637" i="2" l="1"/>
  <c r="D638" i="2"/>
  <c r="E638" i="2" s="1"/>
  <c r="T638" i="2" s="1"/>
  <c r="I637" i="2"/>
  <c r="N637" i="2" l="1"/>
  <c r="M637" i="2" s="1"/>
  <c r="P637" i="2" s="1"/>
  <c r="V638" i="2"/>
  <c r="AG637" i="2" l="1"/>
  <c r="O637" i="2"/>
  <c r="R637" i="2" s="1"/>
  <c r="Q637" i="2" l="1"/>
  <c r="S637" i="2" s="1"/>
  <c r="Z637" i="2" s="1"/>
  <c r="Y637" i="2" l="1"/>
  <c r="AA637" i="2" s="1"/>
  <c r="AB638" i="2" s="1"/>
  <c r="B639" i="2" l="1"/>
  <c r="G638" i="2"/>
  <c r="H638" i="2" s="1"/>
  <c r="F638" i="2"/>
  <c r="AE638" i="2"/>
  <c r="AC638" i="2"/>
  <c r="U638" i="2"/>
  <c r="J638" i="2" l="1"/>
  <c r="W638" i="2"/>
  <c r="X638" i="2" s="1"/>
  <c r="AD638" i="2"/>
  <c r="L638" i="2" s="1"/>
  <c r="AF639" i="2"/>
  <c r="C639" i="2"/>
  <c r="D639" i="2" l="1"/>
  <c r="E639" i="2" s="1"/>
  <c r="T639" i="2" s="1"/>
  <c r="K638" i="2"/>
  <c r="I638" i="2"/>
  <c r="N638" i="2" l="1"/>
  <c r="M638" i="2" s="1"/>
  <c r="P638" i="2" s="1"/>
  <c r="V639" i="2"/>
  <c r="AG638" i="2" l="1"/>
  <c r="O638" i="2"/>
  <c r="R638" i="2" s="1"/>
  <c r="Q638" i="2" l="1"/>
  <c r="S638" i="2" s="1"/>
  <c r="Y638" i="2" s="1"/>
  <c r="AA638" i="2" s="1"/>
  <c r="Z638" i="2" l="1"/>
  <c r="AB639" i="2"/>
  <c r="B640" i="2" l="1"/>
  <c r="G639" i="2"/>
  <c r="H639" i="2" s="1"/>
  <c r="F639" i="2"/>
  <c r="AE639" i="2"/>
  <c r="AC639" i="2"/>
  <c r="U639" i="2"/>
  <c r="AF640" i="2" l="1"/>
  <c r="C640" i="2"/>
  <c r="J639" i="2"/>
  <c r="W639" i="2"/>
  <c r="X639" i="2" s="1"/>
  <c r="AD639" i="2"/>
  <c r="L639" i="2" s="1"/>
  <c r="D640" i="2" l="1"/>
  <c r="E640" i="2" s="1"/>
  <c r="T640" i="2" s="1"/>
  <c r="K639" i="2"/>
  <c r="I639" i="2"/>
  <c r="N639" i="2" l="1"/>
  <c r="M639" i="2" s="1"/>
  <c r="P639" i="2" s="1"/>
  <c r="V640" i="2"/>
  <c r="AG639" i="2" l="1"/>
  <c r="O639" i="2"/>
  <c r="Q639" i="2" s="1"/>
  <c r="R639" i="2" l="1"/>
  <c r="S639" i="2" s="1"/>
  <c r="Z639" i="2" s="1"/>
  <c r="Y639" i="2" l="1"/>
  <c r="AA639" i="2" s="1"/>
  <c r="AB640" i="2" s="1"/>
  <c r="B641" i="2" l="1"/>
  <c r="G640" i="2"/>
  <c r="H640" i="2" s="1"/>
  <c r="F640" i="2"/>
  <c r="AC640" i="2"/>
  <c r="AE640" i="2"/>
  <c r="U640" i="2"/>
  <c r="AD640" i="2" l="1"/>
  <c r="L640" i="2" s="1"/>
  <c r="J640" i="2"/>
  <c r="W640" i="2"/>
  <c r="X640" i="2" s="1"/>
  <c r="AF641" i="2"/>
  <c r="C641" i="2"/>
  <c r="I640" i="2" l="1"/>
  <c r="D641" i="2"/>
  <c r="E641" i="2" s="1"/>
  <c r="T641" i="2" s="1"/>
  <c r="K640" i="2"/>
  <c r="V641" i="2" l="1"/>
  <c r="N640" i="2"/>
  <c r="M640" i="2" s="1"/>
  <c r="P640" i="2" s="1"/>
  <c r="AG640" i="2" l="1"/>
  <c r="O640" i="2"/>
  <c r="R640" i="2" l="1"/>
  <c r="Q640" i="2"/>
  <c r="S640" i="2" l="1"/>
  <c r="Z640" i="2" s="1"/>
  <c r="Y640" i="2" l="1"/>
  <c r="AA640" i="2" s="1"/>
  <c r="AB641" i="2" s="1"/>
  <c r="B642" i="2" l="1"/>
  <c r="G641" i="2"/>
  <c r="H641" i="2" s="1"/>
  <c r="F641" i="2"/>
  <c r="AE641" i="2"/>
  <c r="AC641" i="2"/>
  <c r="U641" i="2"/>
  <c r="J641" i="2" l="1"/>
  <c r="W641" i="2"/>
  <c r="X641" i="2" s="1"/>
  <c r="AF642" i="2"/>
  <c r="C642" i="2"/>
  <c r="AD641" i="2"/>
  <c r="L641" i="2" s="1"/>
  <c r="I641" i="2" l="1"/>
  <c r="D642" i="2"/>
  <c r="E642" i="2" s="1"/>
  <c r="T642" i="2" s="1"/>
  <c r="K641" i="2"/>
  <c r="V642" i="2" l="1"/>
  <c r="N641" i="2"/>
  <c r="M641" i="2" s="1"/>
  <c r="P641" i="2" s="1"/>
  <c r="AG641" i="2" l="1"/>
  <c r="O641" i="2"/>
  <c r="R641" i="2" l="1"/>
  <c r="Q641" i="2"/>
  <c r="S641" i="2" l="1"/>
  <c r="Y641" i="2" s="1"/>
  <c r="AA641" i="2" s="1"/>
  <c r="Z641" i="2" l="1"/>
  <c r="AB642" i="2"/>
  <c r="B643" i="2" l="1"/>
  <c r="G642" i="2"/>
  <c r="H642" i="2" s="1"/>
  <c r="F642" i="2"/>
  <c r="AE642" i="2"/>
  <c r="AC642" i="2"/>
  <c r="U642" i="2"/>
  <c r="J642" i="2" l="1"/>
  <c r="W642" i="2"/>
  <c r="X642" i="2" s="1"/>
  <c r="AF643" i="2"/>
  <c r="C643" i="2"/>
  <c r="AD642" i="2"/>
  <c r="L642" i="2" s="1"/>
  <c r="I642" i="2" l="1"/>
  <c r="D643" i="2"/>
  <c r="E643" i="2" s="1"/>
  <c r="T643" i="2" s="1"/>
  <c r="K642" i="2"/>
  <c r="V643" i="2" l="1"/>
  <c r="N642" i="2"/>
  <c r="M642" i="2" s="1"/>
  <c r="P642" i="2" s="1"/>
  <c r="AG642" i="2" l="1"/>
  <c r="O642" i="2"/>
  <c r="Q642" i="2" l="1"/>
  <c r="R642" i="2"/>
  <c r="S642" i="2" l="1"/>
  <c r="Y642" i="2" l="1"/>
  <c r="AA642" i="2" s="1"/>
  <c r="AB643" i="2" s="1"/>
  <c r="Z642" i="2"/>
  <c r="B644" i="2" l="1"/>
  <c r="G643" i="2"/>
  <c r="H643" i="2" s="1"/>
  <c r="F643" i="2"/>
  <c r="AC643" i="2"/>
  <c r="AE643" i="2"/>
  <c r="U643" i="2"/>
  <c r="J643" i="2" l="1"/>
  <c r="W643" i="2"/>
  <c r="X643" i="2" s="1"/>
  <c r="AD643" i="2"/>
  <c r="L643" i="2" s="1"/>
  <c r="AF644" i="2"/>
  <c r="C644" i="2"/>
  <c r="D644" i="2" l="1"/>
  <c r="E644" i="2" s="1"/>
  <c r="T644" i="2" s="1"/>
  <c r="K643" i="2"/>
  <c r="I643" i="2"/>
  <c r="N643" i="2" l="1"/>
  <c r="M643" i="2" s="1"/>
  <c r="P643" i="2" s="1"/>
  <c r="V644" i="2"/>
  <c r="AG643" i="2" l="1"/>
  <c r="O643" i="2"/>
  <c r="Q643" i="2" s="1"/>
  <c r="R643" i="2" l="1"/>
  <c r="S643" i="2" s="1"/>
  <c r="Z643" i="2" s="1"/>
  <c r="Y643" i="2" l="1"/>
  <c r="AA643" i="2" s="1"/>
  <c r="AB644" i="2" s="1"/>
  <c r="B645" i="2" l="1"/>
  <c r="G644" i="2"/>
  <c r="H644" i="2" s="1"/>
  <c r="F644" i="2"/>
  <c r="AE644" i="2"/>
  <c r="AC644" i="2"/>
  <c r="U644" i="2"/>
  <c r="AF645" i="2" l="1"/>
  <c r="C645" i="2"/>
  <c r="AD644" i="2"/>
  <c r="L644" i="2" s="1"/>
  <c r="J644" i="2"/>
  <c r="W644" i="2"/>
  <c r="X644" i="2" s="1"/>
  <c r="K644" i="2" l="1"/>
  <c r="I644" i="2"/>
  <c r="D645" i="2"/>
  <c r="E645" i="2" s="1"/>
  <c r="T645" i="2" s="1"/>
  <c r="N644" i="2" l="1"/>
  <c r="M644" i="2" s="1"/>
  <c r="P644" i="2" s="1"/>
  <c r="V645" i="2"/>
  <c r="AG644" i="2" l="1"/>
  <c r="O644" i="2"/>
  <c r="R644" i="2" s="1"/>
  <c r="Q644" i="2" l="1"/>
  <c r="S644" i="2" s="1"/>
  <c r="Y644" i="2" s="1"/>
  <c r="AA644" i="2" s="1"/>
  <c r="Z644" i="2" l="1"/>
  <c r="AB645" i="2"/>
  <c r="B646" i="2" l="1"/>
  <c r="G645" i="2"/>
  <c r="H645" i="2" s="1"/>
  <c r="F645" i="2"/>
  <c r="AC645" i="2"/>
  <c r="AE645" i="2"/>
  <c r="U645" i="2"/>
  <c r="AD645" i="2" l="1"/>
  <c r="L645" i="2" s="1"/>
  <c r="AF646" i="2"/>
  <c r="C646" i="2"/>
  <c r="J645" i="2"/>
  <c r="W645" i="2"/>
  <c r="X645" i="2" s="1"/>
  <c r="K645" i="2" l="1"/>
  <c r="I645" i="2"/>
  <c r="D646" i="2"/>
  <c r="E646" i="2" s="1"/>
  <c r="T646" i="2" s="1"/>
  <c r="N645" i="2" l="1"/>
  <c r="M645" i="2" s="1"/>
  <c r="P645" i="2" s="1"/>
  <c r="V646" i="2"/>
  <c r="AG645" i="2" l="1"/>
  <c r="O645" i="2"/>
  <c r="R645" i="2" s="1"/>
  <c r="Q645" i="2" l="1"/>
  <c r="S645" i="2" s="1"/>
  <c r="Z645" i="2" s="1"/>
  <c r="Y645" i="2" l="1"/>
  <c r="AA645" i="2" s="1"/>
  <c r="AB646" i="2" s="1"/>
  <c r="B647" i="2" l="1"/>
  <c r="G646" i="2"/>
  <c r="H646" i="2" s="1"/>
  <c r="F646" i="2"/>
  <c r="AC646" i="2"/>
  <c r="AE646" i="2"/>
  <c r="U646" i="2"/>
  <c r="J646" i="2" l="1"/>
  <c r="W646" i="2"/>
  <c r="X646" i="2" s="1"/>
  <c r="C647" i="2"/>
  <c r="AF647" i="2"/>
  <c r="AD646" i="2"/>
  <c r="L646" i="2" s="1"/>
  <c r="K646" i="2" l="1"/>
  <c r="D647" i="2"/>
  <c r="E647" i="2" s="1"/>
  <c r="T647" i="2" s="1"/>
  <c r="I646" i="2"/>
  <c r="N646" i="2" l="1"/>
  <c r="M646" i="2" s="1"/>
  <c r="P646" i="2" s="1"/>
  <c r="V647" i="2"/>
  <c r="AG646" i="2" l="1"/>
  <c r="O646" i="2"/>
  <c r="Q646" i="2" s="1"/>
  <c r="R646" i="2" l="1"/>
  <c r="S646" i="2" s="1"/>
  <c r="Z646" i="2" l="1"/>
  <c r="Y646" i="2"/>
  <c r="AA646" i="2" s="1"/>
  <c r="AB647" i="2" s="1"/>
  <c r="B648" i="2" l="1"/>
  <c r="G647" i="2"/>
  <c r="H647" i="2" s="1"/>
  <c r="F647" i="2"/>
  <c r="AC647" i="2"/>
  <c r="AE647" i="2"/>
  <c r="U647" i="2"/>
  <c r="AD647" i="2" l="1"/>
  <c r="L647" i="2" s="1"/>
  <c r="AF648" i="2"/>
  <c r="C648" i="2"/>
  <c r="J647" i="2"/>
  <c r="W647" i="2"/>
  <c r="X647" i="2" s="1"/>
  <c r="K647" i="2" l="1"/>
  <c r="D648" i="2"/>
  <c r="E648" i="2" s="1"/>
  <c r="T648" i="2" s="1"/>
  <c r="I647" i="2"/>
  <c r="N647" i="2" l="1"/>
  <c r="M647" i="2" s="1"/>
  <c r="P647" i="2" s="1"/>
  <c r="V648" i="2"/>
  <c r="AG647" i="2" l="1"/>
  <c r="O647" i="2"/>
  <c r="R647" i="2" s="1"/>
  <c r="Q647" i="2" l="1"/>
  <c r="S647" i="2" s="1"/>
  <c r="Y647" i="2" s="1"/>
  <c r="AA647" i="2" s="1"/>
  <c r="Z647" i="2" l="1"/>
  <c r="AB648" i="2"/>
  <c r="B649" i="2" l="1"/>
  <c r="G648" i="2"/>
  <c r="H648" i="2" s="1"/>
  <c r="F648" i="2"/>
  <c r="AE648" i="2"/>
  <c r="AC648" i="2"/>
  <c r="U648" i="2"/>
  <c r="J648" i="2" l="1"/>
  <c r="W648" i="2"/>
  <c r="X648" i="2" s="1"/>
  <c r="AF649" i="2"/>
  <c r="C649" i="2"/>
  <c r="AD648" i="2"/>
  <c r="L648" i="2" s="1"/>
  <c r="K648" i="2" l="1"/>
  <c r="D649" i="2"/>
  <c r="E649" i="2" s="1"/>
  <c r="T649" i="2" s="1"/>
  <c r="I648" i="2"/>
  <c r="N648" i="2" l="1"/>
  <c r="M648" i="2" s="1"/>
  <c r="P648" i="2" s="1"/>
  <c r="V649" i="2"/>
  <c r="AG648" i="2" l="1"/>
  <c r="O648" i="2"/>
  <c r="R648" i="2" s="1"/>
  <c r="Q648" i="2" l="1"/>
  <c r="S648" i="2" s="1"/>
  <c r="Y648" i="2" s="1"/>
  <c r="AA648" i="2" s="1"/>
  <c r="Z648" i="2" l="1"/>
  <c r="AB649" i="2"/>
  <c r="B650" i="2" l="1"/>
  <c r="G649" i="2"/>
  <c r="H649" i="2" s="1"/>
  <c r="F649" i="2"/>
  <c r="AE649" i="2"/>
  <c r="AC649" i="2"/>
  <c r="U649" i="2"/>
  <c r="J649" i="2" l="1"/>
  <c r="W649" i="2"/>
  <c r="X649" i="2" s="1"/>
  <c r="AF650" i="2"/>
  <c r="C650" i="2"/>
  <c r="AD649" i="2"/>
  <c r="L649" i="2" s="1"/>
  <c r="K649" i="2" l="1"/>
  <c r="D650" i="2"/>
  <c r="E650" i="2" s="1"/>
  <c r="T650" i="2" s="1"/>
  <c r="I649" i="2"/>
  <c r="N649" i="2" l="1"/>
  <c r="M649" i="2" s="1"/>
  <c r="P649" i="2" s="1"/>
  <c r="V650" i="2"/>
  <c r="AG649" i="2" l="1"/>
  <c r="O649" i="2"/>
  <c r="R649" i="2" s="1"/>
  <c r="Q649" i="2" l="1"/>
  <c r="S649" i="2" s="1"/>
  <c r="Z649" i="2" s="1"/>
  <c r="Y649" i="2" l="1"/>
  <c r="AA649" i="2" s="1"/>
  <c r="AB650" i="2" s="1"/>
  <c r="B651" i="2" l="1"/>
  <c r="G650" i="2"/>
  <c r="H650" i="2" s="1"/>
  <c r="F650" i="2"/>
  <c r="AE650" i="2"/>
  <c r="AC650" i="2"/>
  <c r="U650" i="2"/>
  <c r="AD650" i="2" l="1"/>
  <c r="L650" i="2" s="1"/>
  <c r="J650" i="2"/>
  <c r="W650" i="2"/>
  <c r="X650" i="2" s="1"/>
  <c r="AF651" i="2"/>
  <c r="C651" i="2"/>
  <c r="I650" i="2" l="1"/>
  <c r="D651" i="2"/>
  <c r="E651" i="2" s="1"/>
  <c r="T651" i="2" s="1"/>
  <c r="K650" i="2"/>
  <c r="V651" i="2" l="1"/>
  <c r="N650" i="2"/>
  <c r="M650" i="2" s="1"/>
  <c r="P650" i="2" s="1"/>
  <c r="AG650" i="2" l="1"/>
  <c r="O650" i="2"/>
  <c r="R650" i="2" l="1"/>
  <c r="Q650" i="2"/>
  <c r="S650" i="2" l="1"/>
  <c r="Y650" i="2" s="1"/>
  <c r="AA650" i="2" s="1"/>
  <c r="Z650" i="2" l="1"/>
  <c r="AB651" i="2"/>
  <c r="B652" i="2" l="1"/>
  <c r="G651" i="2"/>
  <c r="H651" i="2" s="1"/>
  <c r="F651" i="2"/>
  <c r="AC651" i="2"/>
  <c r="AE651" i="2"/>
  <c r="U651" i="2"/>
  <c r="J651" i="2" l="1"/>
  <c r="W651" i="2"/>
  <c r="X651" i="2" s="1"/>
  <c r="AF652" i="2"/>
  <c r="C652" i="2"/>
  <c r="AD651" i="2"/>
  <c r="L651" i="2" s="1"/>
  <c r="D652" i="2" l="1"/>
  <c r="E652" i="2" s="1"/>
  <c r="T652" i="2" s="1"/>
  <c r="K651" i="2"/>
  <c r="I651" i="2"/>
  <c r="N651" i="2" l="1"/>
  <c r="M651" i="2" s="1"/>
  <c r="P651" i="2" s="1"/>
  <c r="V652" i="2"/>
  <c r="AG651" i="2" l="1"/>
  <c r="O651" i="2"/>
  <c r="R651" i="2" s="1"/>
  <c r="Q651" i="2" l="1"/>
  <c r="S651" i="2" s="1"/>
  <c r="Y651" i="2" s="1"/>
  <c r="AA651" i="2" s="1"/>
  <c r="Z651" i="2" l="1"/>
  <c r="AB652" i="2"/>
  <c r="B653" i="2" l="1"/>
  <c r="G652" i="2"/>
  <c r="H652" i="2" s="1"/>
  <c r="F652" i="2"/>
  <c r="AC652" i="2"/>
  <c r="AE652" i="2"/>
  <c r="U652" i="2"/>
  <c r="AD652" i="2" l="1"/>
  <c r="L652" i="2" s="1"/>
  <c r="C653" i="2"/>
  <c r="AF653" i="2"/>
  <c r="J652" i="2"/>
  <c r="W652" i="2"/>
  <c r="X652" i="2" s="1"/>
  <c r="K652" i="2" l="1"/>
  <c r="I652" i="2"/>
  <c r="D653" i="2"/>
  <c r="E653" i="2" s="1"/>
  <c r="T653" i="2" s="1"/>
  <c r="N652" i="2" l="1"/>
  <c r="M652" i="2" s="1"/>
  <c r="P652" i="2" s="1"/>
  <c r="V653" i="2"/>
  <c r="AG652" i="2" l="1"/>
  <c r="O652" i="2"/>
  <c r="R652" i="2" s="1"/>
  <c r="Q652" i="2" l="1"/>
  <c r="S652" i="2" s="1"/>
  <c r="Y652" i="2" l="1"/>
  <c r="AA652" i="2" s="1"/>
  <c r="AB653" i="2" s="1"/>
  <c r="Z652" i="2"/>
  <c r="B654" i="2" l="1"/>
  <c r="G653" i="2"/>
  <c r="H653" i="2" s="1"/>
  <c r="F653" i="2"/>
  <c r="AE653" i="2"/>
  <c r="AC653" i="2"/>
  <c r="U653" i="2"/>
  <c r="J653" i="2" l="1"/>
  <c r="W653" i="2"/>
  <c r="X653" i="2" s="1"/>
  <c r="C654" i="2"/>
  <c r="AF654" i="2"/>
  <c r="AD653" i="2"/>
  <c r="L653" i="2" s="1"/>
  <c r="D654" i="2" l="1"/>
  <c r="E654" i="2" s="1"/>
  <c r="T654" i="2" s="1"/>
  <c r="K653" i="2"/>
  <c r="I653" i="2"/>
  <c r="N653" i="2" l="1"/>
  <c r="M653" i="2" s="1"/>
  <c r="P653" i="2" s="1"/>
  <c r="V654" i="2"/>
  <c r="AG653" i="2" l="1"/>
  <c r="O653" i="2"/>
  <c r="R653" i="2" s="1"/>
  <c r="Q653" i="2" l="1"/>
  <c r="S653" i="2" s="1"/>
  <c r="Z653" i="2" s="1"/>
  <c r="Y653" i="2" l="1"/>
  <c r="AA653" i="2" s="1"/>
  <c r="AB654" i="2" s="1"/>
  <c r="B655" i="2" l="1"/>
  <c r="G654" i="2"/>
  <c r="H654" i="2" s="1"/>
  <c r="F654" i="2"/>
  <c r="AE654" i="2"/>
  <c r="AC654" i="2"/>
  <c r="U654" i="2"/>
  <c r="J654" i="2" l="1"/>
  <c r="W654" i="2"/>
  <c r="X654" i="2" s="1"/>
  <c r="AF655" i="2"/>
  <c r="C655" i="2"/>
  <c r="AD654" i="2"/>
  <c r="L654" i="2" s="1"/>
  <c r="I654" i="2" l="1"/>
  <c r="D655" i="2"/>
  <c r="E655" i="2" s="1"/>
  <c r="T655" i="2" s="1"/>
  <c r="K654" i="2"/>
  <c r="V655" i="2" l="1"/>
  <c r="N654" i="2"/>
  <c r="M654" i="2" s="1"/>
  <c r="P654" i="2" s="1"/>
  <c r="AG654" i="2" l="1"/>
  <c r="O654" i="2"/>
  <c r="R654" i="2" l="1"/>
  <c r="Q654" i="2"/>
  <c r="S654" i="2" l="1"/>
  <c r="Y654" i="2" s="1"/>
  <c r="AA654" i="2" s="1"/>
  <c r="Z654" i="2" l="1"/>
  <c r="AB655" i="2"/>
  <c r="B656" i="2" l="1"/>
  <c r="G655" i="2"/>
  <c r="H655" i="2" s="1"/>
  <c r="F655" i="2"/>
  <c r="AC655" i="2"/>
  <c r="AE655" i="2"/>
  <c r="U655" i="2"/>
  <c r="J655" i="2" l="1"/>
  <c r="W655" i="2"/>
  <c r="X655" i="2" s="1"/>
  <c r="AF656" i="2"/>
  <c r="C656" i="2"/>
  <c r="AD655" i="2"/>
  <c r="L655" i="2" s="1"/>
  <c r="K655" i="2" l="1"/>
  <c r="D656" i="2"/>
  <c r="E656" i="2" s="1"/>
  <c r="T656" i="2" s="1"/>
  <c r="I655" i="2"/>
  <c r="N655" i="2" l="1"/>
  <c r="M655" i="2" s="1"/>
  <c r="P655" i="2" s="1"/>
  <c r="V656" i="2"/>
  <c r="AG655" i="2" l="1"/>
  <c r="O655" i="2"/>
  <c r="Q655" i="2" s="1"/>
  <c r="R655" i="2" l="1"/>
  <c r="S655" i="2" s="1"/>
  <c r="Y655" i="2" l="1"/>
  <c r="AA655" i="2" s="1"/>
  <c r="AB656" i="2" s="1"/>
  <c r="Z655" i="2"/>
  <c r="B657" i="2" l="1"/>
  <c r="G656" i="2"/>
  <c r="H656" i="2" s="1"/>
  <c r="F656" i="2"/>
  <c r="AE656" i="2"/>
  <c r="AC656" i="2"/>
  <c r="U656" i="2"/>
  <c r="J656" i="2" l="1"/>
  <c r="W656" i="2"/>
  <c r="X656" i="2" s="1"/>
  <c r="C657" i="2"/>
  <c r="AF657" i="2"/>
  <c r="AD656" i="2"/>
  <c r="L656" i="2" s="1"/>
  <c r="D657" i="2" l="1"/>
  <c r="E657" i="2" s="1"/>
  <c r="T657" i="2" s="1"/>
  <c r="K656" i="2"/>
  <c r="I656" i="2"/>
  <c r="N656" i="2" l="1"/>
  <c r="M656" i="2" s="1"/>
  <c r="P656" i="2" s="1"/>
  <c r="V657" i="2"/>
  <c r="AG656" i="2" l="1"/>
  <c r="O656" i="2"/>
  <c r="R656" i="2" s="1"/>
  <c r="Q656" i="2" l="1"/>
  <c r="S656" i="2" s="1"/>
  <c r="Z656" i="2" s="1"/>
  <c r="Y656" i="2" l="1"/>
  <c r="AA656" i="2" s="1"/>
  <c r="AB657" i="2" s="1"/>
  <c r="B658" i="2" l="1"/>
  <c r="G657" i="2"/>
  <c r="H657" i="2" s="1"/>
  <c r="F657" i="2"/>
  <c r="AC657" i="2"/>
  <c r="AE657" i="2"/>
  <c r="U657" i="2"/>
  <c r="J657" i="2" l="1"/>
  <c r="W657" i="2"/>
  <c r="X657" i="2" s="1"/>
  <c r="AF658" i="2"/>
  <c r="C658" i="2"/>
  <c r="AD657" i="2"/>
  <c r="L657" i="2" s="1"/>
  <c r="D658" i="2" l="1"/>
  <c r="E658" i="2" s="1"/>
  <c r="T658" i="2" s="1"/>
  <c r="K657" i="2"/>
  <c r="I657" i="2"/>
  <c r="N657" i="2" l="1"/>
  <c r="M657" i="2" s="1"/>
  <c r="P657" i="2" s="1"/>
  <c r="V658" i="2"/>
  <c r="AG657" i="2" l="1"/>
  <c r="O657" i="2"/>
  <c r="Q657" i="2" s="1"/>
  <c r="R657" i="2" l="1"/>
  <c r="S657" i="2" s="1"/>
  <c r="Y657" i="2" s="1"/>
  <c r="AA657" i="2" s="1"/>
  <c r="Z657" i="2" l="1"/>
  <c r="AB658" i="2"/>
  <c r="B659" i="2" l="1"/>
  <c r="G658" i="2"/>
  <c r="H658" i="2" s="1"/>
  <c r="F658" i="2"/>
  <c r="AE658" i="2"/>
  <c r="AC658" i="2"/>
  <c r="U658" i="2"/>
  <c r="AD658" i="2" l="1"/>
  <c r="L658" i="2" s="1"/>
  <c r="C659" i="2"/>
  <c r="AF659" i="2"/>
  <c r="J658" i="2"/>
  <c r="W658" i="2"/>
  <c r="X658" i="2" s="1"/>
  <c r="K658" i="2" l="1"/>
  <c r="D659" i="2"/>
  <c r="E659" i="2" s="1"/>
  <c r="T659" i="2" s="1"/>
  <c r="I658" i="2"/>
  <c r="N658" i="2" l="1"/>
  <c r="M658" i="2" s="1"/>
  <c r="P658" i="2" s="1"/>
  <c r="V659" i="2"/>
  <c r="AG658" i="2" l="1"/>
  <c r="O658" i="2"/>
  <c r="Q658" i="2" s="1"/>
  <c r="R658" i="2" l="1"/>
  <c r="S658" i="2" s="1"/>
  <c r="Y658" i="2" l="1"/>
  <c r="AA658" i="2" s="1"/>
  <c r="AB659" i="2" s="1"/>
  <c r="Z658" i="2"/>
  <c r="B660" i="2" l="1"/>
  <c r="G659" i="2"/>
  <c r="H659" i="2" s="1"/>
  <c r="F659" i="2"/>
  <c r="AC659" i="2"/>
  <c r="AE659" i="2"/>
  <c r="U659" i="2"/>
  <c r="J659" i="2" l="1"/>
  <c r="W659" i="2"/>
  <c r="X659" i="2" s="1"/>
  <c r="C660" i="2"/>
  <c r="AF660" i="2"/>
  <c r="AD659" i="2"/>
  <c r="L659" i="2" s="1"/>
  <c r="D660" i="2" l="1"/>
  <c r="E660" i="2" s="1"/>
  <c r="T660" i="2" s="1"/>
  <c r="K659" i="2"/>
  <c r="I659" i="2"/>
  <c r="N659" i="2" l="1"/>
  <c r="M659" i="2" s="1"/>
  <c r="P659" i="2" s="1"/>
  <c r="V660" i="2"/>
  <c r="AG659" i="2" l="1"/>
  <c r="O659" i="2"/>
  <c r="R659" i="2" s="1"/>
  <c r="Q659" i="2" l="1"/>
  <c r="S659" i="2" s="1"/>
  <c r="Z659" i="2" s="1"/>
  <c r="Y659" i="2" l="1"/>
  <c r="AA659" i="2" s="1"/>
  <c r="AB660" i="2" s="1"/>
  <c r="B661" i="2" l="1"/>
  <c r="G660" i="2"/>
  <c r="H660" i="2" s="1"/>
  <c r="F660" i="2"/>
  <c r="AE660" i="2"/>
  <c r="AC660" i="2"/>
  <c r="U660" i="2"/>
  <c r="AD660" i="2" l="1"/>
  <c r="L660" i="2" s="1"/>
  <c r="AF661" i="2"/>
  <c r="C661" i="2"/>
  <c r="J660" i="2"/>
  <c r="W660" i="2"/>
  <c r="X660" i="2" s="1"/>
  <c r="K660" i="2" l="1"/>
  <c r="I660" i="2"/>
  <c r="D661" i="2"/>
  <c r="E661" i="2" s="1"/>
  <c r="T661" i="2" s="1"/>
  <c r="N660" i="2" l="1"/>
  <c r="M660" i="2" s="1"/>
  <c r="P660" i="2" s="1"/>
  <c r="V661" i="2"/>
  <c r="AG660" i="2" l="1"/>
  <c r="O660" i="2"/>
  <c r="R660" i="2" s="1"/>
  <c r="Q660" i="2" l="1"/>
  <c r="S660" i="2" s="1"/>
  <c r="Y660" i="2" s="1"/>
  <c r="AA660" i="2" s="1"/>
  <c r="Z660" i="2" l="1"/>
  <c r="AB661" i="2"/>
  <c r="B662" i="2" l="1"/>
  <c r="G661" i="2"/>
  <c r="H661" i="2" s="1"/>
  <c r="F661" i="2"/>
  <c r="AC661" i="2"/>
  <c r="AE661" i="2"/>
  <c r="U661" i="2"/>
  <c r="AD661" i="2" l="1"/>
  <c r="L661" i="2" s="1"/>
  <c r="J661" i="2"/>
  <c r="W661" i="2"/>
  <c r="X661" i="2" s="1"/>
  <c r="AF662" i="2"/>
  <c r="C662" i="2"/>
  <c r="I661" i="2" l="1"/>
  <c r="D662" i="2"/>
  <c r="E662" i="2" s="1"/>
  <c r="T662" i="2" s="1"/>
  <c r="K661" i="2"/>
  <c r="V662" i="2" l="1"/>
  <c r="N661" i="2"/>
  <c r="M661" i="2" s="1"/>
  <c r="P661" i="2" s="1"/>
  <c r="AG661" i="2" l="1"/>
  <c r="O661" i="2"/>
  <c r="R661" i="2" l="1"/>
  <c r="Q661" i="2"/>
  <c r="S661" i="2" l="1"/>
  <c r="Z661" i="2" s="1"/>
  <c r="Y661" i="2" l="1"/>
  <c r="AA661" i="2" s="1"/>
  <c r="AB662" i="2" s="1"/>
  <c r="B663" i="2" l="1"/>
  <c r="G662" i="2"/>
  <c r="H662" i="2" s="1"/>
  <c r="F662" i="2"/>
  <c r="AC662" i="2"/>
  <c r="AE662" i="2"/>
  <c r="U662" i="2"/>
  <c r="J662" i="2" l="1"/>
  <c r="W662" i="2"/>
  <c r="X662" i="2" s="1"/>
  <c r="AF663" i="2"/>
  <c r="C663" i="2"/>
  <c r="AD662" i="2"/>
  <c r="L662" i="2" s="1"/>
  <c r="K662" i="2" l="1"/>
  <c r="D663" i="2"/>
  <c r="E663" i="2" s="1"/>
  <c r="T663" i="2" s="1"/>
  <c r="I662" i="2"/>
  <c r="N662" i="2" l="1"/>
  <c r="M662" i="2" s="1"/>
  <c r="P662" i="2" s="1"/>
  <c r="V663" i="2"/>
  <c r="AG662" i="2" l="1"/>
  <c r="O662" i="2"/>
  <c r="R662" i="2" s="1"/>
  <c r="Q662" i="2" l="1"/>
  <c r="S662" i="2" s="1"/>
  <c r="Y662" i="2" s="1"/>
  <c r="AA662" i="2" s="1"/>
  <c r="Z662" i="2" l="1"/>
  <c r="AB663" i="2"/>
  <c r="B664" i="2" l="1"/>
  <c r="G663" i="2"/>
  <c r="H663" i="2" s="1"/>
  <c r="F663" i="2"/>
  <c r="AE663" i="2"/>
  <c r="AC663" i="2"/>
  <c r="U663" i="2"/>
  <c r="J663" i="2" l="1"/>
  <c r="W663" i="2"/>
  <c r="X663" i="2" s="1"/>
  <c r="AF664" i="2"/>
  <c r="C664" i="2"/>
  <c r="AD663" i="2"/>
  <c r="L663" i="2" s="1"/>
  <c r="D664" i="2" l="1"/>
  <c r="E664" i="2" s="1"/>
  <c r="T664" i="2" s="1"/>
  <c r="K663" i="2"/>
  <c r="I663" i="2"/>
  <c r="N663" i="2" l="1"/>
  <c r="M663" i="2" s="1"/>
  <c r="P663" i="2" s="1"/>
  <c r="V664" i="2"/>
  <c r="AG663" i="2" l="1"/>
  <c r="O663" i="2"/>
  <c r="R663" i="2" s="1"/>
  <c r="Q663" i="2" l="1"/>
  <c r="S663" i="2" s="1"/>
  <c r="Y663" i="2" s="1"/>
  <c r="AA663" i="2" s="1"/>
  <c r="Z663" i="2" l="1"/>
  <c r="AB664" i="2"/>
  <c r="B665" i="2" l="1"/>
  <c r="G664" i="2"/>
  <c r="H664" i="2" s="1"/>
  <c r="F664" i="2"/>
  <c r="AE664" i="2"/>
  <c r="AC664" i="2"/>
  <c r="U664" i="2"/>
  <c r="AD664" i="2" l="1"/>
  <c r="L664" i="2" s="1"/>
  <c r="J664" i="2"/>
  <c r="W664" i="2"/>
  <c r="X664" i="2" s="1"/>
  <c r="AF665" i="2"/>
  <c r="C665" i="2"/>
  <c r="I664" i="2" l="1"/>
  <c r="D665" i="2"/>
  <c r="E665" i="2" s="1"/>
  <c r="T665" i="2" s="1"/>
  <c r="K664" i="2"/>
  <c r="V665" i="2" l="1"/>
  <c r="N664" i="2"/>
  <c r="M664" i="2" s="1"/>
  <c r="P664" i="2" s="1"/>
  <c r="AG664" i="2" l="1"/>
  <c r="O664" i="2"/>
  <c r="R664" i="2" l="1"/>
  <c r="Q664" i="2"/>
  <c r="S664" i="2" l="1"/>
  <c r="Y664" i="2" s="1"/>
  <c r="AA664" i="2" s="1"/>
  <c r="Z664" i="2" l="1"/>
  <c r="AB665" i="2"/>
  <c r="B666" i="2" l="1"/>
  <c r="G665" i="2"/>
  <c r="H665" i="2" s="1"/>
  <c r="F665" i="2"/>
  <c r="AC665" i="2"/>
  <c r="AE665" i="2"/>
  <c r="U665" i="2"/>
  <c r="AD665" i="2" l="1"/>
  <c r="L665" i="2" s="1"/>
  <c r="AF666" i="2"/>
  <c r="C666" i="2"/>
  <c r="J665" i="2"/>
  <c r="W665" i="2"/>
  <c r="X665" i="2" s="1"/>
  <c r="I665" i="2" l="1"/>
  <c r="K665" i="2"/>
  <c r="D666" i="2"/>
  <c r="E666" i="2" s="1"/>
  <c r="T666" i="2" s="1"/>
  <c r="V666" i="2" l="1"/>
  <c r="N665" i="2"/>
  <c r="M665" i="2" s="1"/>
  <c r="P665" i="2" s="1"/>
  <c r="AG665" i="2" l="1"/>
  <c r="O665" i="2"/>
  <c r="R665" i="2" l="1"/>
  <c r="Q665" i="2"/>
  <c r="S665" i="2" l="1"/>
  <c r="Z665" i="2" s="1"/>
  <c r="Y665" i="2" l="1"/>
  <c r="AA665" i="2" s="1"/>
  <c r="AB666" i="2" s="1"/>
  <c r="B667" i="2" l="1"/>
  <c r="G666" i="2"/>
  <c r="H666" i="2" s="1"/>
  <c r="F666" i="2"/>
  <c r="AC666" i="2"/>
  <c r="AE666" i="2"/>
  <c r="U666" i="2"/>
  <c r="J666" i="2" l="1"/>
  <c r="W666" i="2"/>
  <c r="X666" i="2" s="1"/>
  <c r="AF667" i="2"/>
  <c r="C667" i="2"/>
  <c r="AD666" i="2"/>
  <c r="L666" i="2" s="1"/>
  <c r="D667" i="2" l="1"/>
  <c r="E667" i="2" s="1"/>
  <c r="T667" i="2" s="1"/>
  <c r="K666" i="2"/>
  <c r="I666" i="2"/>
  <c r="N666" i="2" l="1"/>
  <c r="M666" i="2" s="1"/>
  <c r="P666" i="2" s="1"/>
  <c r="V667" i="2"/>
  <c r="AG666" i="2" l="1"/>
  <c r="O666" i="2"/>
  <c r="Q666" i="2" s="1"/>
  <c r="R666" i="2" l="1"/>
  <c r="S666" i="2" s="1"/>
  <c r="Y666" i="2" l="1"/>
  <c r="AA666" i="2" s="1"/>
  <c r="AB667" i="2" s="1"/>
  <c r="Z666" i="2"/>
  <c r="B668" i="2" l="1"/>
  <c r="G667" i="2"/>
  <c r="H667" i="2" s="1"/>
  <c r="F667" i="2"/>
  <c r="AE667" i="2"/>
  <c r="AC667" i="2"/>
  <c r="U667" i="2"/>
  <c r="J667" i="2" l="1"/>
  <c r="W667" i="2"/>
  <c r="X667" i="2" s="1"/>
  <c r="AF668" i="2"/>
  <c r="C668" i="2"/>
  <c r="AD667" i="2"/>
  <c r="L667" i="2" s="1"/>
  <c r="K667" i="2" l="1"/>
  <c r="D668" i="2"/>
  <c r="E668" i="2" s="1"/>
  <c r="T668" i="2" s="1"/>
  <c r="I667" i="2"/>
  <c r="N667" i="2" l="1"/>
  <c r="M667" i="2" s="1"/>
  <c r="P667" i="2" s="1"/>
  <c r="V668" i="2"/>
  <c r="AG667" i="2" l="1"/>
  <c r="O667" i="2"/>
  <c r="R667" i="2" s="1"/>
  <c r="Q667" i="2" l="1"/>
  <c r="S667" i="2" s="1"/>
  <c r="Z667" i="2" s="1"/>
  <c r="Y667" i="2" l="1"/>
  <c r="AA667" i="2" s="1"/>
  <c r="AB668" i="2" s="1"/>
  <c r="B669" i="2" l="1"/>
  <c r="G668" i="2"/>
  <c r="H668" i="2" s="1"/>
  <c r="F668" i="2"/>
  <c r="AE668" i="2"/>
  <c r="AC668" i="2"/>
  <c r="U668" i="2"/>
  <c r="C669" i="2" l="1"/>
  <c r="AF669" i="2"/>
  <c r="J668" i="2"/>
  <c r="W668" i="2"/>
  <c r="X668" i="2" s="1"/>
  <c r="AD668" i="2"/>
  <c r="L668" i="2" s="1"/>
  <c r="I668" i="2" l="1"/>
  <c r="D669" i="2"/>
  <c r="E669" i="2" s="1"/>
  <c r="T669" i="2" s="1"/>
  <c r="K668" i="2"/>
  <c r="V669" i="2" l="1"/>
  <c r="N668" i="2"/>
  <c r="M668" i="2" s="1"/>
  <c r="P668" i="2" s="1"/>
  <c r="AG668" i="2" l="1"/>
  <c r="O668" i="2"/>
  <c r="Q668" i="2" l="1"/>
  <c r="R668" i="2"/>
  <c r="S668" i="2" l="1"/>
  <c r="Z668" i="2" s="1"/>
  <c r="Y668" i="2" l="1"/>
  <c r="AA668" i="2" s="1"/>
  <c r="AB669" i="2" s="1"/>
  <c r="B670" i="2" l="1"/>
  <c r="G669" i="2"/>
  <c r="H669" i="2" s="1"/>
  <c r="F669" i="2"/>
  <c r="AE669" i="2"/>
  <c r="AC669" i="2"/>
  <c r="U669" i="2"/>
  <c r="J669" i="2" l="1"/>
  <c r="W669" i="2"/>
  <c r="X669" i="2" s="1"/>
  <c r="AF670" i="2"/>
  <c r="C670" i="2"/>
  <c r="AD669" i="2"/>
  <c r="L669" i="2" s="1"/>
  <c r="I669" i="2" l="1"/>
  <c r="D670" i="2"/>
  <c r="E670" i="2" s="1"/>
  <c r="T670" i="2" s="1"/>
  <c r="K669" i="2"/>
  <c r="V670" i="2" l="1"/>
  <c r="N669" i="2"/>
  <c r="M669" i="2" s="1"/>
  <c r="P669" i="2" s="1"/>
  <c r="AG669" i="2" l="1"/>
  <c r="O669" i="2"/>
  <c r="R669" i="2" l="1"/>
  <c r="Q669" i="2"/>
  <c r="S669" i="2" l="1"/>
  <c r="Y669" i="2" s="1"/>
  <c r="AA669" i="2" s="1"/>
  <c r="Z669" i="2" l="1"/>
  <c r="AB670" i="2"/>
  <c r="B671" i="2" l="1"/>
  <c r="G670" i="2"/>
  <c r="H670" i="2" s="1"/>
  <c r="F670" i="2"/>
  <c r="AE670" i="2"/>
  <c r="AC670" i="2"/>
  <c r="U670" i="2"/>
  <c r="J670" i="2" l="1"/>
  <c r="W670" i="2"/>
  <c r="X670" i="2" s="1"/>
  <c r="AF671" i="2"/>
  <c r="C671" i="2"/>
  <c r="AD670" i="2"/>
  <c r="L670" i="2" s="1"/>
  <c r="D671" i="2" l="1"/>
  <c r="E671" i="2" s="1"/>
  <c r="T671" i="2" s="1"/>
  <c r="K670" i="2"/>
  <c r="I670" i="2"/>
  <c r="N670" i="2" l="1"/>
  <c r="M670" i="2" s="1"/>
  <c r="P670" i="2" s="1"/>
  <c r="V671" i="2"/>
  <c r="AG670" i="2" l="1"/>
  <c r="O670" i="2"/>
  <c r="R670" i="2" s="1"/>
  <c r="Q670" i="2" l="1"/>
  <c r="S670" i="2" s="1"/>
  <c r="Y670" i="2" s="1"/>
  <c r="AA670" i="2" s="1"/>
  <c r="Z670" i="2" l="1"/>
  <c r="AB671" i="2"/>
  <c r="B672" i="2" l="1"/>
  <c r="G671" i="2"/>
  <c r="H671" i="2" s="1"/>
  <c r="F671" i="2"/>
  <c r="AE671" i="2"/>
  <c r="AC671" i="2"/>
  <c r="U671" i="2"/>
  <c r="AF672" i="2" l="1"/>
  <c r="C672" i="2"/>
  <c r="AD671" i="2"/>
  <c r="L671" i="2" s="1"/>
  <c r="J671" i="2"/>
  <c r="W671" i="2"/>
  <c r="X671" i="2" s="1"/>
  <c r="I671" i="2" l="1"/>
  <c r="D672" i="2"/>
  <c r="E672" i="2" s="1"/>
  <c r="T672" i="2" s="1"/>
  <c r="K671" i="2"/>
  <c r="V672" i="2" l="1"/>
  <c r="N671" i="2"/>
  <c r="M671" i="2" s="1"/>
  <c r="P671" i="2" s="1"/>
  <c r="AG671" i="2" l="1"/>
  <c r="O671" i="2"/>
  <c r="R671" i="2" l="1"/>
  <c r="Q671" i="2"/>
  <c r="S671" i="2" l="1"/>
  <c r="Y671" i="2" s="1"/>
  <c r="AA671" i="2" s="1"/>
  <c r="Z671" i="2" l="1"/>
  <c r="AB672" i="2"/>
  <c r="B673" i="2" l="1"/>
  <c r="G672" i="2"/>
  <c r="H672" i="2" s="1"/>
  <c r="F672" i="2"/>
  <c r="AC672" i="2"/>
  <c r="AE672" i="2"/>
  <c r="U672" i="2"/>
  <c r="AD672" i="2" l="1"/>
  <c r="L672" i="2" s="1"/>
  <c r="AF673" i="2"/>
  <c r="C673" i="2"/>
  <c r="J672" i="2"/>
  <c r="W672" i="2"/>
  <c r="X672" i="2" s="1"/>
  <c r="I672" i="2" l="1"/>
  <c r="D673" i="2"/>
  <c r="E673" i="2" s="1"/>
  <c r="T673" i="2" s="1"/>
  <c r="K672" i="2"/>
  <c r="N672" i="2" l="1"/>
  <c r="M672" i="2" s="1"/>
  <c r="P672" i="2" s="1"/>
  <c r="V673" i="2"/>
  <c r="AG672" i="2" l="1"/>
  <c r="O672" i="2"/>
  <c r="R672" i="2" s="1"/>
  <c r="Q672" i="2" l="1"/>
  <c r="S672" i="2" s="1"/>
  <c r="Y672" i="2" s="1"/>
  <c r="AA672" i="2" s="1"/>
  <c r="Z672" i="2" l="1"/>
  <c r="AB673" i="2"/>
  <c r="B674" i="2" l="1"/>
  <c r="G673" i="2"/>
  <c r="H673" i="2" s="1"/>
  <c r="F673" i="2"/>
  <c r="AE673" i="2"/>
  <c r="AC673" i="2"/>
  <c r="U673" i="2"/>
  <c r="J673" i="2" l="1"/>
  <c r="W673" i="2"/>
  <c r="X673" i="2" s="1"/>
  <c r="AF674" i="2"/>
  <c r="C674" i="2"/>
  <c r="AD673" i="2"/>
  <c r="L673" i="2" s="1"/>
  <c r="K673" i="2" l="1"/>
  <c r="D674" i="2"/>
  <c r="E674" i="2" s="1"/>
  <c r="T674" i="2" s="1"/>
  <c r="I673" i="2"/>
  <c r="N673" i="2" l="1"/>
  <c r="M673" i="2" s="1"/>
  <c r="P673" i="2" s="1"/>
  <c r="V674" i="2"/>
  <c r="AG673" i="2" l="1"/>
  <c r="O673" i="2"/>
  <c r="Q673" i="2" s="1"/>
  <c r="R673" i="2" l="1"/>
  <c r="S673" i="2" s="1"/>
  <c r="Z673" i="2" s="1"/>
  <c r="Y673" i="2" l="1"/>
  <c r="AA673" i="2" s="1"/>
  <c r="AB674" i="2" s="1"/>
  <c r="B675" i="2" l="1"/>
  <c r="G674" i="2"/>
  <c r="H674" i="2" s="1"/>
  <c r="F674" i="2"/>
  <c r="AC674" i="2"/>
  <c r="AE674" i="2"/>
  <c r="U674" i="2"/>
  <c r="AD674" i="2" l="1"/>
  <c r="L674" i="2" s="1"/>
  <c r="AF675" i="2"/>
  <c r="C675" i="2"/>
  <c r="J674" i="2"/>
  <c r="W674" i="2"/>
  <c r="X674" i="2" s="1"/>
  <c r="I674" i="2" l="1"/>
  <c r="D675" i="2"/>
  <c r="E675" i="2" s="1"/>
  <c r="T675" i="2" s="1"/>
  <c r="K674" i="2"/>
  <c r="V675" i="2" l="1"/>
  <c r="N674" i="2"/>
  <c r="M674" i="2" s="1"/>
  <c r="P674" i="2" s="1"/>
  <c r="AG674" i="2" l="1"/>
  <c r="O674" i="2"/>
  <c r="R674" i="2" l="1"/>
  <c r="Q674" i="2"/>
  <c r="S674" i="2" l="1"/>
  <c r="Z674" i="2" s="1"/>
  <c r="Y674" i="2" l="1"/>
  <c r="AA674" i="2" s="1"/>
  <c r="AB675" i="2" s="1"/>
  <c r="B676" i="2" l="1"/>
  <c r="G675" i="2"/>
  <c r="H675" i="2" s="1"/>
  <c r="F675" i="2"/>
  <c r="AE675" i="2"/>
  <c r="AC675" i="2"/>
  <c r="U675" i="2"/>
  <c r="J675" i="2" l="1"/>
  <c r="W675" i="2"/>
  <c r="X675" i="2" s="1"/>
  <c r="AD675" i="2"/>
  <c r="L675" i="2" s="1"/>
  <c r="AF676" i="2"/>
  <c r="C676" i="2"/>
  <c r="D676" i="2" l="1"/>
  <c r="E676" i="2" s="1"/>
  <c r="T676" i="2" s="1"/>
  <c r="K675" i="2"/>
  <c r="I675" i="2"/>
  <c r="N675" i="2" l="1"/>
  <c r="M675" i="2" s="1"/>
  <c r="P675" i="2" s="1"/>
  <c r="V676" i="2"/>
  <c r="AG675" i="2" l="1"/>
  <c r="O675" i="2"/>
  <c r="R675" i="2" s="1"/>
  <c r="Q675" i="2" l="1"/>
  <c r="S675" i="2" s="1"/>
  <c r="Y675" i="2" s="1"/>
  <c r="AA675" i="2" s="1"/>
  <c r="Z675" i="2" l="1"/>
  <c r="AB676" i="2"/>
  <c r="B677" i="2" l="1"/>
  <c r="G676" i="2"/>
  <c r="H676" i="2" s="1"/>
  <c r="F676" i="2"/>
  <c r="AE676" i="2"/>
  <c r="AC676" i="2"/>
  <c r="U676" i="2"/>
  <c r="C677" i="2" l="1"/>
  <c r="AF677" i="2"/>
  <c r="AD676" i="2"/>
  <c r="L676" i="2" s="1"/>
  <c r="J676" i="2"/>
  <c r="W676" i="2"/>
  <c r="X676" i="2" s="1"/>
  <c r="K676" i="2" l="1"/>
  <c r="I676" i="2"/>
  <c r="D677" i="2"/>
  <c r="E677" i="2" s="1"/>
  <c r="T677" i="2" s="1"/>
  <c r="N676" i="2" l="1"/>
  <c r="M676" i="2" s="1"/>
  <c r="P676" i="2" s="1"/>
  <c r="V677" i="2"/>
  <c r="AG676" i="2" l="1"/>
  <c r="O676" i="2"/>
  <c r="Q676" i="2" s="1"/>
  <c r="R676" i="2" l="1"/>
  <c r="S676" i="2" s="1"/>
  <c r="Y676" i="2" l="1"/>
  <c r="AA676" i="2" s="1"/>
  <c r="AB677" i="2" s="1"/>
  <c r="Z676" i="2"/>
  <c r="B678" i="2" l="1"/>
  <c r="G677" i="2"/>
  <c r="H677" i="2" s="1"/>
  <c r="F677" i="2"/>
  <c r="AE677" i="2"/>
  <c r="AC677" i="2"/>
  <c r="U677" i="2"/>
  <c r="J677" i="2" l="1"/>
  <c r="W677" i="2"/>
  <c r="X677" i="2" s="1"/>
  <c r="AF678" i="2"/>
  <c r="C678" i="2"/>
  <c r="AD677" i="2"/>
  <c r="L677" i="2" s="1"/>
  <c r="K677" i="2" l="1"/>
  <c r="D678" i="2"/>
  <c r="E678" i="2" s="1"/>
  <c r="T678" i="2" s="1"/>
  <c r="I677" i="2"/>
  <c r="N677" i="2" l="1"/>
  <c r="M677" i="2" s="1"/>
  <c r="P677" i="2" s="1"/>
  <c r="V678" i="2"/>
  <c r="AG677" i="2" l="1"/>
  <c r="O677" i="2"/>
  <c r="Q677" i="2" s="1"/>
  <c r="R677" i="2" l="1"/>
  <c r="S677" i="2" s="1"/>
  <c r="Z677" i="2" s="1"/>
  <c r="Y677" i="2" l="1"/>
  <c r="AA677" i="2" s="1"/>
  <c r="AB678" i="2" s="1"/>
  <c r="B679" i="2" l="1"/>
  <c r="G678" i="2"/>
  <c r="H678" i="2" s="1"/>
  <c r="F678" i="2"/>
  <c r="AC678" i="2"/>
  <c r="AE678" i="2"/>
  <c r="U678" i="2"/>
  <c r="J678" i="2" l="1"/>
  <c r="W678" i="2"/>
  <c r="X678" i="2" s="1"/>
  <c r="AF679" i="2"/>
  <c r="C679" i="2"/>
  <c r="AD678" i="2"/>
  <c r="L678" i="2" s="1"/>
  <c r="I678" i="2" l="1"/>
  <c r="D679" i="2"/>
  <c r="E679" i="2" s="1"/>
  <c r="T679" i="2" s="1"/>
  <c r="K678" i="2"/>
  <c r="V679" i="2" l="1"/>
  <c r="N678" i="2"/>
  <c r="M678" i="2" s="1"/>
  <c r="P678" i="2" s="1"/>
  <c r="AG678" i="2" l="1"/>
  <c r="O678" i="2"/>
  <c r="R678" i="2" l="1"/>
  <c r="Q678" i="2"/>
  <c r="S678" i="2" l="1"/>
  <c r="Z678" i="2" s="1"/>
  <c r="Y678" i="2" l="1"/>
  <c r="AA678" i="2" s="1"/>
  <c r="AB679" i="2" s="1"/>
  <c r="B680" i="2" l="1"/>
  <c r="G679" i="2"/>
  <c r="H679" i="2" s="1"/>
  <c r="F679" i="2"/>
  <c r="AE679" i="2"/>
  <c r="AC679" i="2"/>
  <c r="U679" i="2"/>
  <c r="AF680" i="2" l="1"/>
  <c r="C680" i="2"/>
  <c r="J679" i="2"/>
  <c r="W679" i="2"/>
  <c r="X679" i="2" s="1"/>
  <c r="AD679" i="2"/>
  <c r="L679" i="2" s="1"/>
  <c r="K679" i="2" l="1"/>
  <c r="D680" i="2"/>
  <c r="E680" i="2" s="1"/>
  <c r="T680" i="2" s="1"/>
  <c r="I679" i="2"/>
  <c r="N679" i="2" l="1"/>
  <c r="M679" i="2" s="1"/>
  <c r="P679" i="2" s="1"/>
  <c r="V680" i="2"/>
  <c r="AG679" i="2" l="1"/>
  <c r="O679" i="2"/>
  <c r="R679" i="2" s="1"/>
  <c r="Q679" i="2" l="1"/>
  <c r="S679" i="2" s="1"/>
  <c r="Y679" i="2" s="1"/>
  <c r="AA679" i="2" s="1"/>
  <c r="Z679" i="2" l="1"/>
  <c r="AB680" i="2"/>
  <c r="B681" i="2" l="1"/>
  <c r="G680" i="2"/>
  <c r="H680" i="2" s="1"/>
  <c r="F680" i="2"/>
  <c r="AC680" i="2"/>
  <c r="AE680" i="2"/>
  <c r="U680" i="2"/>
  <c r="AD680" i="2" l="1"/>
  <c r="L680" i="2" s="1"/>
  <c r="J680" i="2"/>
  <c r="W680" i="2"/>
  <c r="X680" i="2" s="1"/>
  <c r="C681" i="2"/>
  <c r="AF681" i="2"/>
  <c r="I680" i="2" l="1"/>
  <c r="D681" i="2"/>
  <c r="E681" i="2" s="1"/>
  <c r="T681" i="2" s="1"/>
  <c r="K680" i="2"/>
  <c r="V681" i="2" l="1"/>
  <c r="N680" i="2"/>
  <c r="M680" i="2" s="1"/>
  <c r="P680" i="2" s="1"/>
  <c r="AG680" i="2" l="1"/>
  <c r="O680" i="2"/>
  <c r="R680" i="2" l="1"/>
  <c r="Q680" i="2"/>
  <c r="S680" i="2" l="1"/>
  <c r="Y680" i="2" s="1"/>
  <c r="AA680" i="2" s="1"/>
  <c r="Z680" i="2" l="1"/>
  <c r="AB681" i="2"/>
  <c r="B682" i="2" l="1"/>
  <c r="G681" i="2"/>
  <c r="H681" i="2" s="1"/>
  <c r="F681" i="2"/>
  <c r="AE681" i="2"/>
  <c r="AC681" i="2"/>
  <c r="U681" i="2"/>
  <c r="J681" i="2" l="1"/>
  <c r="W681" i="2"/>
  <c r="X681" i="2" s="1"/>
  <c r="AF682" i="2"/>
  <c r="C682" i="2"/>
  <c r="AD681" i="2"/>
  <c r="L681" i="2" s="1"/>
  <c r="I681" i="2" l="1"/>
  <c r="D682" i="2"/>
  <c r="E682" i="2" s="1"/>
  <c r="T682" i="2" s="1"/>
  <c r="K681" i="2"/>
  <c r="V682" i="2" l="1"/>
  <c r="N681" i="2"/>
  <c r="M681" i="2" s="1"/>
  <c r="P681" i="2" s="1"/>
  <c r="AG681" i="2" l="1"/>
  <c r="O681" i="2"/>
  <c r="Q681" i="2" l="1"/>
  <c r="R681" i="2"/>
  <c r="S681" i="2" l="1"/>
  <c r="Y681" i="2" l="1"/>
  <c r="AA681" i="2" s="1"/>
  <c r="AB682" i="2" s="1"/>
  <c r="Z681" i="2"/>
  <c r="B683" i="2" l="1"/>
  <c r="G682" i="2"/>
  <c r="H682" i="2" s="1"/>
  <c r="F682" i="2"/>
  <c r="AE682" i="2"/>
  <c r="AC682" i="2"/>
  <c r="U682" i="2"/>
  <c r="AF683" i="2" l="1"/>
  <c r="C683" i="2"/>
  <c r="AD682" i="2"/>
  <c r="L682" i="2" s="1"/>
  <c r="J682" i="2"/>
  <c r="W682" i="2"/>
  <c r="X682" i="2" s="1"/>
  <c r="K682" i="2" l="1"/>
  <c r="I682" i="2"/>
  <c r="D683" i="2"/>
  <c r="E683" i="2" s="1"/>
  <c r="T683" i="2" s="1"/>
  <c r="N682" i="2" l="1"/>
  <c r="M682" i="2" s="1"/>
  <c r="P682" i="2" s="1"/>
  <c r="V683" i="2"/>
  <c r="AG682" i="2" l="1"/>
  <c r="O682" i="2"/>
  <c r="R682" i="2" s="1"/>
  <c r="Q682" i="2" l="1"/>
  <c r="S682" i="2" s="1"/>
  <c r="Z682" i="2" s="1"/>
  <c r="Y682" i="2" l="1"/>
  <c r="AA682" i="2" s="1"/>
  <c r="AB683" i="2" s="1"/>
  <c r="B684" i="2" l="1"/>
  <c r="G683" i="2"/>
  <c r="H683" i="2" s="1"/>
  <c r="F683" i="2"/>
  <c r="AC683" i="2"/>
  <c r="AE683" i="2"/>
  <c r="U683" i="2"/>
  <c r="AD683" i="2" l="1"/>
  <c r="L683" i="2" s="1"/>
  <c r="J683" i="2"/>
  <c r="W683" i="2"/>
  <c r="X683" i="2" s="1"/>
  <c r="AF684" i="2"/>
  <c r="C684" i="2"/>
  <c r="I683" i="2" l="1"/>
  <c r="D684" i="2"/>
  <c r="E684" i="2" s="1"/>
  <c r="T684" i="2" s="1"/>
  <c r="K683" i="2"/>
  <c r="V684" i="2" l="1"/>
  <c r="N683" i="2"/>
  <c r="M683" i="2" s="1"/>
  <c r="P683" i="2" s="1"/>
  <c r="AG683" i="2" l="1"/>
  <c r="O683" i="2"/>
  <c r="R683" i="2" l="1"/>
  <c r="Q683" i="2"/>
  <c r="S683" i="2" l="1"/>
  <c r="Y683" i="2" s="1"/>
  <c r="AA683" i="2" s="1"/>
  <c r="Z683" i="2" l="1"/>
  <c r="AB684" i="2"/>
  <c r="B685" i="2" l="1"/>
  <c r="G684" i="2"/>
  <c r="H684" i="2" s="1"/>
  <c r="F684" i="2"/>
  <c r="AC684" i="2"/>
  <c r="AE684" i="2"/>
  <c r="U684" i="2"/>
  <c r="J684" i="2" l="1"/>
  <c r="W684" i="2"/>
  <c r="X684" i="2" s="1"/>
  <c r="C685" i="2"/>
  <c r="AF685" i="2"/>
  <c r="AD684" i="2"/>
  <c r="L684" i="2" s="1"/>
  <c r="K684" i="2" l="1"/>
  <c r="D685" i="2"/>
  <c r="E685" i="2" s="1"/>
  <c r="T685" i="2" s="1"/>
  <c r="I684" i="2"/>
  <c r="N684" i="2" l="1"/>
  <c r="M684" i="2" s="1"/>
  <c r="P684" i="2" s="1"/>
  <c r="V685" i="2"/>
  <c r="AG684" i="2" l="1"/>
  <c r="O684" i="2"/>
  <c r="Q684" i="2" s="1"/>
  <c r="R684" i="2" l="1"/>
  <c r="S684" i="2" s="1"/>
  <c r="Z684" i="2" s="1"/>
  <c r="Y684" i="2" l="1"/>
  <c r="AA684" i="2" s="1"/>
  <c r="AB685" i="2" s="1"/>
  <c r="B686" i="2" l="1"/>
  <c r="G685" i="2"/>
  <c r="H685" i="2" s="1"/>
  <c r="F685" i="2"/>
  <c r="AC685" i="2"/>
  <c r="AE685" i="2"/>
  <c r="U685" i="2"/>
  <c r="J685" i="2" l="1"/>
  <c r="W685" i="2"/>
  <c r="X685" i="2" s="1"/>
  <c r="C686" i="2"/>
  <c r="AF686" i="2"/>
  <c r="AD685" i="2"/>
  <c r="L685" i="2" s="1"/>
  <c r="D686" i="2" l="1"/>
  <c r="E686" i="2" s="1"/>
  <c r="T686" i="2" s="1"/>
  <c r="K685" i="2"/>
  <c r="I685" i="2"/>
  <c r="N685" i="2" l="1"/>
  <c r="M685" i="2" s="1"/>
  <c r="P685" i="2" s="1"/>
  <c r="V686" i="2"/>
  <c r="AG685" i="2" l="1"/>
  <c r="O685" i="2"/>
  <c r="R685" i="2" s="1"/>
  <c r="Q685" i="2" l="1"/>
  <c r="S685" i="2" s="1"/>
  <c r="Y685" i="2" s="1"/>
  <c r="AA685" i="2" s="1"/>
  <c r="Z685" i="2" l="1"/>
  <c r="AB686" i="2"/>
  <c r="B687" i="2" l="1"/>
  <c r="G686" i="2"/>
  <c r="H686" i="2" s="1"/>
  <c r="F686" i="2"/>
  <c r="AC686" i="2"/>
  <c r="AE686" i="2"/>
  <c r="U686" i="2"/>
  <c r="J686" i="2" l="1"/>
  <c r="W686" i="2"/>
  <c r="X686" i="2" s="1"/>
  <c r="AD686" i="2"/>
  <c r="L686" i="2" s="1"/>
  <c r="AF687" i="2"/>
  <c r="C687" i="2"/>
  <c r="K686" i="2" l="1"/>
  <c r="D687" i="2"/>
  <c r="E687" i="2" s="1"/>
  <c r="T687" i="2" s="1"/>
  <c r="I686" i="2"/>
  <c r="N686" i="2" l="1"/>
  <c r="M686" i="2" s="1"/>
  <c r="P686" i="2" s="1"/>
  <c r="V687" i="2"/>
  <c r="AG686" i="2" l="1"/>
  <c r="O686" i="2"/>
  <c r="Q686" i="2" s="1"/>
  <c r="R686" i="2" l="1"/>
  <c r="S686" i="2" s="1"/>
  <c r="Y686" i="2" s="1"/>
  <c r="AA686" i="2" s="1"/>
  <c r="Z686" i="2" l="1"/>
  <c r="AB687" i="2"/>
  <c r="B688" i="2" l="1"/>
  <c r="G687" i="2"/>
  <c r="H687" i="2" s="1"/>
  <c r="F687" i="2"/>
  <c r="AE687" i="2"/>
  <c r="AC687" i="2"/>
  <c r="U687" i="2"/>
  <c r="C688" i="2" l="1"/>
  <c r="AF688" i="2"/>
  <c r="AD687" i="2"/>
  <c r="L687" i="2" s="1"/>
  <c r="J687" i="2"/>
  <c r="W687" i="2"/>
  <c r="X687" i="2" s="1"/>
  <c r="I687" i="2" l="1"/>
  <c r="K687" i="2"/>
  <c r="D688" i="2"/>
  <c r="E688" i="2" s="1"/>
  <c r="T688" i="2" s="1"/>
  <c r="V688" i="2" l="1"/>
  <c r="N687" i="2"/>
  <c r="M687" i="2" s="1"/>
  <c r="P687" i="2" s="1"/>
  <c r="AG687" i="2" l="1"/>
  <c r="O687" i="2"/>
  <c r="R687" i="2" l="1"/>
  <c r="Q687" i="2"/>
  <c r="S687" i="2" l="1"/>
  <c r="Z687" i="2" s="1"/>
  <c r="Y687" i="2" l="1"/>
  <c r="AA687" i="2" s="1"/>
  <c r="AB688" i="2" s="1"/>
  <c r="B689" i="2" l="1"/>
  <c r="G688" i="2"/>
  <c r="H688" i="2" s="1"/>
  <c r="F688" i="2"/>
  <c r="AC688" i="2"/>
  <c r="AE688" i="2"/>
  <c r="U688" i="2"/>
  <c r="AD688" i="2" l="1"/>
  <c r="L688" i="2" s="1"/>
  <c r="J688" i="2"/>
  <c r="W688" i="2"/>
  <c r="X688" i="2" s="1"/>
  <c r="AF689" i="2"/>
  <c r="C689" i="2"/>
  <c r="I688" i="2" l="1"/>
  <c r="K688" i="2"/>
  <c r="D689" i="2"/>
  <c r="E689" i="2" s="1"/>
  <c r="T689" i="2" s="1"/>
  <c r="V689" i="2" l="1"/>
  <c r="N688" i="2"/>
  <c r="M688" i="2" s="1"/>
  <c r="P688" i="2" s="1"/>
  <c r="AG688" i="2" l="1"/>
  <c r="O688" i="2"/>
  <c r="R688" i="2" l="1"/>
  <c r="Q688" i="2"/>
  <c r="S688" i="2" l="1"/>
  <c r="Z688" i="2" s="1"/>
  <c r="Y688" i="2" l="1"/>
  <c r="AA688" i="2" s="1"/>
  <c r="AB689" i="2" s="1"/>
  <c r="B690" i="2" l="1"/>
  <c r="G689" i="2"/>
  <c r="H689" i="2" s="1"/>
  <c r="F689" i="2"/>
  <c r="AE689" i="2"/>
  <c r="AC689" i="2"/>
  <c r="U689" i="2"/>
  <c r="J689" i="2" l="1"/>
  <c r="W689" i="2"/>
  <c r="X689" i="2" s="1"/>
  <c r="AF690" i="2"/>
  <c r="C690" i="2"/>
  <c r="AD689" i="2"/>
  <c r="L689" i="2" s="1"/>
  <c r="D690" i="2" l="1"/>
  <c r="E690" i="2" s="1"/>
  <c r="T690" i="2" s="1"/>
  <c r="K689" i="2"/>
  <c r="I689" i="2"/>
  <c r="N689" i="2" l="1"/>
  <c r="M689" i="2" s="1"/>
  <c r="P689" i="2" s="1"/>
  <c r="V690" i="2"/>
  <c r="AG689" i="2" l="1"/>
  <c r="O689" i="2"/>
  <c r="R689" i="2" s="1"/>
  <c r="Q689" i="2" l="1"/>
  <c r="S689" i="2" s="1"/>
  <c r="Y689" i="2" s="1"/>
  <c r="AA689" i="2" s="1"/>
  <c r="Z689" i="2" l="1"/>
  <c r="AB690" i="2"/>
  <c r="B691" i="2" l="1"/>
  <c r="G690" i="2"/>
  <c r="H690" i="2" s="1"/>
  <c r="F690" i="2"/>
  <c r="AE690" i="2"/>
  <c r="AC690" i="2"/>
  <c r="U690" i="2"/>
  <c r="AF691" i="2" l="1"/>
  <c r="C691" i="2"/>
  <c r="AD690" i="2"/>
  <c r="L690" i="2" s="1"/>
  <c r="J690" i="2"/>
  <c r="W690" i="2"/>
  <c r="X690" i="2" s="1"/>
  <c r="K690" i="2" l="1"/>
  <c r="I690" i="2"/>
  <c r="D691" i="2"/>
  <c r="E691" i="2" s="1"/>
  <c r="T691" i="2" s="1"/>
  <c r="N690" i="2" l="1"/>
  <c r="M690" i="2" s="1"/>
  <c r="P690" i="2" s="1"/>
  <c r="V691" i="2"/>
  <c r="AG690" i="2" l="1"/>
  <c r="O690" i="2"/>
  <c r="R690" i="2" s="1"/>
  <c r="Q690" i="2" l="1"/>
  <c r="S690" i="2" s="1"/>
  <c r="Z690" i="2" s="1"/>
  <c r="Y690" i="2" l="1"/>
  <c r="AA690" i="2" s="1"/>
  <c r="AB691" i="2" s="1"/>
  <c r="B692" i="2" l="1"/>
  <c r="G691" i="2"/>
  <c r="H691" i="2" s="1"/>
  <c r="F691" i="2"/>
  <c r="AE691" i="2"/>
  <c r="AC691" i="2"/>
  <c r="U691" i="2"/>
  <c r="J691" i="2" l="1"/>
  <c r="W691" i="2"/>
  <c r="X691" i="2" s="1"/>
  <c r="AF692" i="2"/>
  <c r="C692" i="2"/>
  <c r="AD691" i="2"/>
  <c r="L691" i="2" s="1"/>
  <c r="D692" i="2" l="1"/>
  <c r="E692" i="2" s="1"/>
  <c r="T692" i="2" s="1"/>
  <c r="K691" i="2"/>
  <c r="I691" i="2"/>
  <c r="N691" i="2" l="1"/>
  <c r="M691" i="2" s="1"/>
  <c r="P691" i="2" s="1"/>
  <c r="V692" i="2"/>
  <c r="AG691" i="2" l="1"/>
  <c r="O691" i="2"/>
  <c r="R691" i="2" s="1"/>
  <c r="Q691" i="2" l="1"/>
  <c r="S691" i="2" s="1"/>
  <c r="Y691" i="2" s="1"/>
  <c r="AA691" i="2" s="1"/>
  <c r="Z691" i="2" l="1"/>
  <c r="AB692" i="2"/>
  <c r="B693" i="2" l="1"/>
  <c r="G692" i="2"/>
  <c r="H692" i="2" s="1"/>
  <c r="F692" i="2"/>
  <c r="AC692" i="2"/>
  <c r="AE692" i="2"/>
  <c r="U692" i="2"/>
  <c r="AD692" i="2" l="1"/>
  <c r="L692" i="2" s="1"/>
  <c r="AF693" i="2"/>
  <c r="C693" i="2"/>
  <c r="J692" i="2"/>
  <c r="W692" i="2"/>
  <c r="X692" i="2" s="1"/>
  <c r="I692" i="2" l="1"/>
  <c r="K692" i="2"/>
  <c r="D693" i="2"/>
  <c r="E693" i="2" s="1"/>
  <c r="T693" i="2" s="1"/>
  <c r="V693" i="2" l="1"/>
  <c r="N692" i="2"/>
  <c r="M692" i="2" s="1"/>
  <c r="P692" i="2" s="1"/>
  <c r="AG692" i="2" l="1"/>
  <c r="O692" i="2"/>
  <c r="R692" i="2" l="1"/>
  <c r="Q692" i="2"/>
  <c r="S692" i="2" l="1"/>
  <c r="Y692" i="2" s="1"/>
  <c r="AA692" i="2" s="1"/>
  <c r="Z692" i="2" l="1"/>
  <c r="AB693" i="2"/>
  <c r="B694" i="2" l="1"/>
  <c r="G693" i="2"/>
  <c r="H693" i="2" s="1"/>
  <c r="F693" i="2"/>
  <c r="AE693" i="2"/>
  <c r="AC693" i="2"/>
  <c r="U693" i="2"/>
  <c r="AD693" i="2" l="1"/>
  <c r="L693" i="2" s="1"/>
  <c r="AF694" i="2"/>
  <c r="C694" i="2"/>
  <c r="J693" i="2"/>
  <c r="W693" i="2"/>
  <c r="X693" i="2" s="1"/>
  <c r="I693" i="2" l="1"/>
  <c r="K693" i="2"/>
  <c r="D694" i="2"/>
  <c r="E694" i="2" s="1"/>
  <c r="T694" i="2" s="1"/>
  <c r="V694" i="2" l="1"/>
  <c r="N693" i="2"/>
  <c r="M693" i="2" s="1"/>
  <c r="P693" i="2" s="1"/>
  <c r="AG693" i="2" l="1"/>
  <c r="O693" i="2"/>
  <c r="R693" i="2" l="1"/>
  <c r="Q693" i="2"/>
  <c r="S693" i="2" l="1"/>
  <c r="Z693" i="2" s="1"/>
  <c r="Y693" i="2" l="1"/>
  <c r="AA693" i="2" s="1"/>
  <c r="AB694" i="2" s="1"/>
  <c r="B695" i="2" l="1"/>
  <c r="G694" i="2"/>
  <c r="H694" i="2" s="1"/>
  <c r="F694" i="2"/>
  <c r="AE694" i="2"/>
  <c r="AC694" i="2"/>
  <c r="U694" i="2"/>
  <c r="J694" i="2" l="1"/>
  <c r="W694" i="2"/>
  <c r="X694" i="2" s="1"/>
  <c r="AF695" i="2"/>
  <c r="C695" i="2"/>
  <c r="AD694" i="2"/>
  <c r="L694" i="2" s="1"/>
  <c r="K694" i="2" l="1"/>
  <c r="D695" i="2"/>
  <c r="E695" i="2" s="1"/>
  <c r="T695" i="2" s="1"/>
  <c r="I694" i="2"/>
  <c r="N694" i="2" l="1"/>
  <c r="M694" i="2" s="1"/>
  <c r="P694" i="2" s="1"/>
  <c r="V695" i="2"/>
  <c r="AG694" i="2" l="1"/>
  <c r="O694" i="2"/>
  <c r="R694" i="2" s="1"/>
  <c r="Q694" i="2" l="1"/>
  <c r="S694" i="2" s="1"/>
  <c r="Y694" i="2" s="1"/>
  <c r="AA694" i="2" s="1"/>
  <c r="Z694" i="2" l="1"/>
  <c r="AB695" i="2"/>
  <c r="B696" i="2" l="1"/>
  <c r="G695" i="2"/>
  <c r="H695" i="2" s="1"/>
  <c r="F695" i="2"/>
  <c r="AE695" i="2"/>
  <c r="AC695" i="2"/>
  <c r="U695" i="2"/>
  <c r="AF696" i="2" l="1"/>
  <c r="C696" i="2"/>
  <c r="AD695" i="2"/>
  <c r="L695" i="2" s="1"/>
  <c r="J695" i="2"/>
  <c r="W695" i="2"/>
  <c r="X695" i="2" s="1"/>
  <c r="K695" i="2" l="1"/>
  <c r="D696" i="2"/>
  <c r="E696" i="2" s="1"/>
  <c r="T696" i="2" s="1"/>
  <c r="I695" i="2"/>
  <c r="N695" i="2" l="1"/>
  <c r="M695" i="2" s="1"/>
  <c r="P695" i="2" s="1"/>
  <c r="V696" i="2"/>
  <c r="AG695" i="2" l="1"/>
  <c r="O695" i="2"/>
  <c r="R695" i="2" s="1"/>
  <c r="Q695" i="2" l="1"/>
  <c r="S695" i="2" s="1"/>
  <c r="Y695" i="2" s="1"/>
  <c r="AA695" i="2" s="1"/>
  <c r="Z695" i="2" l="1"/>
  <c r="AB696" i="2"/>
  <c r="B697" i="2" l="1"/>
  <c r="G696" i="2"/>
  <c r="H696" i="2" s="1"/>
  <c r="F696" i="2"/>
  <c r="AC696" i="2"/>
  <c r="AE696" i="2"/>
  <c r="U696" i="2"/>
  <c r="J696" i="2" l="1"/>
  <c r="W696" i="2"/>
  <c r="X696" i="2" s="1"/>
  <c r="AD696" i="2"/>
  <c r="L696" i="2" s="1"/>
  <c r="AF697" i="2"/>
  <c r="C697" i="2"/>
  <c r="D697" i="2" l="1"/>
  <c r="E697" i="2" s="1"/>
  <c r="T697" i="2" s="1"/>
  <c r="K696" i="2"/>
  <c r="I696" i="2"/>
  <c r="N696" i="2" l="1"/>
  <c r="M696" i="2" s="1"/>
  <c r="P696" i="2" s="1"/>
  <c r="V697" i="2"/>
  <c r="AG696" i="2" l="1"/>
  <c r="O696" i="2"/>
  <c r="Q696" i="2" s="1"/>
  <c r="R696" i="2" l="1"/>
  <c r="S696" i="2" s="1"/>
  <c r="Y696" i="2" l="1"/>
  <c r="AA696" i="2" s="1"/>
  <c r="AB697" i="2" s="1"/>
  <c r="Z696" i="2"/>
  <c r="B698" i="2" l="1"/>
  <c r="G697" i="2"/>
  <c r="H697" i="2" s="1"/>
  <c r="F697" i="2"/>
  <c r="AE697" i="2"/>
  <c r="AC697" i="2"/>
  <c r="U697" i="2"/>
  <c r="J697" i="2" l="1"/>
  <c r="W697" i="2"/>
  <c r="X697" i="2" s="1"/>
  <c r="C698" i="2"/>
  <c r="AF698" i="2"/>
  <c r="AD697" i="2"/>
  <c r="L697" i="2" s="1"/>
  <c r="D698" i="2" l="1"/>
  <c r="E698" i="2" s="1"/>
  <c r="T698" i="2" s="1"/>
  <c r="K697" i="2"/>
  <c r="I697" i="2"/>
  <c r="N697" i="2" l="1"/>
  <c r="M697" i="2" s="1"/>
  <c r="P697" i="2" s="1"/>
  <c r="V698" i="2"/>
  <c r="AG697" i="2" l="1"/>
  <c r="O697" i="2"/>
  <c r="R697" i="2" s="1"/>
  <c r="Q697" i="2" l="1"/>
  <c r="S697" i="2" s="1"/>
  <c r="Z697" i="2" s="1"/>
  <c r="Y697" i="2" l="1"/>
  <c r="AA697" i="2" s="1"/>
  <c r="AB698" i="2" s="1"/>
  <c r="B699" i="2" l="1"/>
  <c r="G698" i="2"/>
  <c r="H698" i="2" s="1"/>
  <c r="F698" i="2"/>
  <c r="AE698" i="2"/>
  <c r="AC698" i="2"/>
  <c r="U698" i="2"/>
  <c r="J698" i="2" l="1"/>
  <c r="W698" i="2"/>
  <c r="X698" i="2" s="1"/>
  <c r="AF699" i="2"/>
  <c r="C699" i="2"/>
  <c r="AD698" i="2"/>
  <c r="L698" i="2" s="1"/>
  <c r="D699" i="2" l="1"/>
  <c r="E699" i="2" s="1"/>
  <c r="T699" i="2" s="1"/>
  <c r="K698" i="2"/>
  <c r="I698" i="2"/>
  <c r="N698" i="2" l="1"/>
  <c r="M698" i="2" s="1"/>
  <c r="P698" i="2" s="1"/>
  <c r="V699" i="2"/>
  <c r="AG698" i="2" l="1"/>
  <c r="O698" i="2"/>
  <c r="R698" i="2" s="1"/>
  <c r="Q698" i="2" l="1"/>
  <c r="S698" i="2" s="1"/>
  <c r="Y698" i="2" s="1"/>
  <c r="AA698" i="2" s="1"/>
  <c r="Z698" i="2" l="1"/>
  <c r="AB699" i="2"/>
  <c r="B700" i="2" l="1"/>
  <c r="G699" i="2"/>
  <c r="H699" i="2" s="1"/>
  <c r="F699" i="2"/>
  <c r="AE699" i="2"/>
  <c r="AC699" i="2"/>
  <c r="U699" i="2"/>
  <c r="J699" i="2" l="1"/>
  <c r="W699" i="2"/>
  <c r="X699" i="2" s="1"/>
  <c r="AF700" i="2"/>
  <c r="C700" i="2"/>
  <c r="AD699" i="2"/>
  <c r="L699" i="2" s="1"/>
  <c r="I699" i="2" l="1"/>
  <c r="D700" i="2"/>
  <c r="E700" i="2" s="1"/>
  <c r="T700" i="2" s="1"/>
  <c r="K699" i="2"/>
  <c r="V700" i="2" l="1"/>
  <c r="N699" i="2"/>
  <c r="M699" i="2" s="1"/>
  <c r="P699" i="2" s="1"/>
  <c r="AG699" i="2" l="1"/>
  <c r="O699" i="2"/>
  <c r="R699" i="2" l="1"/>
  <c r="Q699" i="2"/>
  <c r="S699" i="2" l="1"/>
  <c r="Z699" i="2" s="1"/>
  <c r="Y699" i="2" l="1"/>
  <c r="AA699" i="2" s="1"/>
  <c r="AB700" i="2" s="1"/>
  <c r="B701" i="2" l="1"/>
  <c r="G700" i="2"/>
  <c r="H700" i="2" s="1"/>
  <c r="F700" i="2"/>
  <c r="AC700" i="2"/>
  <c r="AE700" i="2"/>
  <c r="U700" i="2"/>
  <c r="AD700" i="2" l="1"/>
  <c r="L700" i="2" s="1"/>
  <c r="C701" i="2"/>
  <c r="AF701" i="2"/>
  <c r="J700" i="2"/>
  <c r="W700" i="2"/>
  <c r="X700" i="2" s="1"/>
  <c r="K700" i="2" l="1"/>
  <c r="D701" i="2"/>
  <c r="E701" i="2" s="1"/>
  <c r="T701" i="2" s="1"/>
  <c r="I700" i="2"/>
  <c r="N700" i="2" l="1"/>
  <c r="M700" i="2" s="1"/>
  <c r="P700" i="2" s="1"/>
  <c r="V701" i="2"/>
  <c r="AG700" i="2" l="1"/>
  <c r="O700" i="2"/>
  <c r="R700" i="2" s="1"/>
  <c r="Q700" i="2" l="1"/>
  <c r="S700" i="2" s="1"/>
  <c r="Z700" i="2" s="1"/>
  <c r="Y700" i="2" l="1"/>
  <c r="AA700" i="2" s="1"/>
  <c r="AB701" i="2" s="1"/>
  <c r="B702" i="2" l="1"/>
  <c r="G701" i="2"/>
  <c r="H701" i="2" s="1"/>
  <c r="F701" i="2"/>
  <c r="AC701" i="2"/>
  <c r="AE701" i="2"/>
  <c r="U701" i="2"/>
  <c r="AD701" i="2" l="1"/>
  <c r="L701" i="2" s="1"/>
  <c r="AF702" i="2"/>
  <c r="C702" i="2"/>
  <c r="J701" i="2"/>
  <c r="W701" i="2"/>
  <c r="X701" i="2" s="1"/>
  <c r="I701" i="2" l="1"/>
  <c r="K701" i="2"/>
  <c r="D702" i="2"/>
  <c r="E702" i="2" s="1"/>
  <c r="T702" i="2" s="1"/>
  <c r="V702" i="2" l="1"/>
  <c r="N701" i="2"/>
  <c r="M701" i="2" s="1"/>
  <c r="P701" i="2" s="1"/>
  <c r="AG701" i="2" l="1"/>
  <c r="O701" i="2"/>
  <c r="R701" i="2" l="1"/>
  <c r="Q701" i="2"/>
  <c r="S701" i="2" l="1"/>
  <c r="Y701" i="2" s="1"/>
  <c r="AA701" i="2" s="1"/>
  <c r="Z701" i="2" l="1"/>
  <c r="AB702" i="2"/>
  <c r="B703" i="2" l="1"/>
  <c r="G702" i="2"/>
  <c r="H702" i="2" s="1"/>
  <c r="F702" i="2"/>
  <c r="AE702" i="2"/>
  <c r="AC702" i="2"/>
  <c r="U702" i="2"/>
  <c r="AF703" i="2" l="1"/>
  <c r="C703" i="2"/>
  <c r="AD702" i="2"/>
  <c r="L702" i="2" s="1"/>
  <c r="J702" i="2"/>
  <c r="W702" i="2"/>
  <c r="X702" i="2" s="1"/>
  <c r="I702" i="2" l="1"/>
  <c r="D703" i="2"/>
  <c r="E703" i="2" s="1"/>
  <c r="T703" i="2" s="1"/>
  <c r="K702" i="2"/>
  <c r="N702" i="2" l="1"/>
  <c r="M702" i="2" s="1"/>
  <c r="P702" i="2" s="1"/>
  <c r="V703" i="2"/>
  <c r="AG702" i="2" l="1"/>
  <c r="O702" i="2"/>
  <c r="R702" i="2" s="1"/>
  <c r="Q702" i="2" l="1"/>
  <c r="S702" i="2" s="1"/>
  <c r="Y702" i="2" s="1"/>
  <c r="AA702" i="2" s="1"/>
  <c r="Z702" i="2" l="1"/>
  <c r="AB703" i="2"/>
  <c r="B704" i="2" l="1"/>
  <c r="G703" i="2"/>
  <c r="H703" i="2" s="1"/>
  <c r="F703" i="2"/>
  <c r="AC703" i="2"/>
  <c r="AE703" i="2"/>
  <c r="U703" i="2"/>
  <c r="J703" i="2" l="1"/>
  <c r="W703" i="2"/>
  <c r="X703" i="2" s="1"/>
  <c r="AF704" i="2"/>
  <c r="C704" i="2"/>
  <c r="AD703" i="2"/>
  <c r="L703" i="2" s="1"/>
  <c r="D704" i="2" l="1"/>
  <c r="E704" i="2" s="1"/>
  <c r="T704" i="2" s="1"/>
  <c r="K703" i="2"/>
  <c r="I703" i="2"/>
  <c r="N703" i="2" l="1"/>
  <c r="M703" i="2" s="1"/>
  <c r="P703" i="2" s="1"/>
  <c r="V704" i="2"/>
  <c r="AG703" i="2" l="1"/>
  <c r="O703" i="2"/>
  <c r="R703" i="2" s="1"/>
  <c r="Q703" i="2" l="1"/>
  <c r="S703" i="2" s="1"/>
  <c r="Y703" i="2" s="1"/>
  <c r="AA703" i="2" s="1"/>
  <c r="Z703" i="2" l="1"/>
  <c r="AB704" i="2"/>
  <c r="B705" i="2" l="1"/>
  <c r="G704" i="2"/>
  <c r="H704" i="2" s="1"/>
  <c r="F704" i="2"/>
  <c r="AE704" i="2"/>
  <c r="AC704" i="2"/>
  <c r="U704" i="2"/>
  <c r="AD704" i="2" l="1"/>
  <c r="L704" i="2" s="1"/>
  <c r="AF705" i="2"/>
  <c r="C705" i="2"/>
  <c r="J704" i="2"/>
  <c r="W704" i="2"/>
  <c r="X704" i="2" s="1"/>
  <c r="I704" i="2" l="1"/>
  <c r="K704" i="2"/>
  <c r="D705" i="2"/>
  <c r="E705" i="2" s="1"/>
  <c r="T705" i="2" s="1"/>
  <c r="N704" i="2" l="1"/>
  <c r="M704" i="2" s="1"/>
  <c r="P704" i="2" s="1"/>
  <c r="V705" i="2"/>
  <c r="AG704" i="2" l="1"/>
  <c r="O704" i="2"/>
  <c r="R704" i="2" s="1"/>
  <c r="Q704" i="2" l="1"/>
  <c r="S704" i="2" s="1"/>
  <c r="Y704" i="2" s="1"/>
  <c r="AA704" i="2" s="1"/>
  <c r="Z704" i="2" l="1"/>
  <c r="AB705" i="2"/>
  <c r="B706" i="2" l="1"/>
  <c r="G705" i="2"/>
  <c r="H705" i="2" s="1"/>
  <c r="F705" i="2"/>
  <c r="AC705" i="2"/>
  <c r="AE705" i="2"/>
  <c r="U705" i="2"/>
  <c r="AD705" i="2" l="1"/>
  <c r="L705" i="2" s="1"/>
  <c r="J705" i="2"/>
  <c r="W705" i="2"/>
  <c r="X705" i="2" s="1"/>
  <c r="AF706" i="2"/>
  <c r="C706" i="2"/>
  <c r="I705" i="2" l="1"/>
  <c r="D706" i="2"/>
  <c r="E706" i="2" s="1"/>
  <c r="T706" i="2" s="1"/>
  <c r="K705" i="2"/>
  <c r="V706" i="2" l="1"/>
  <c r="N705" i="2"/>
  <c r="M705" i="2" s="1"/>
  <c r="P705" i="2" s="1"/>
  <c r="AG705" i="2" l="1"/>
  <c r="O705" i="2"/>
  <c r="R705" i="2" l="1"/>
  <c r="Q705" i="2"/>
  <c r="S705" i="2" l="1"/>
  <c r="Z705" i="2" s="1"/>
  <c r="Y705" i="2" l="1"/>
  <c r="AA705" i="2" s="1"/>
  <c r="AB706" i="2" s="1"/>
  <c r="B707" i="2" l="1"/>
  <c r="G706" i="2"/>
  <c r="H706" i="2" s="1"/>
  <c r="F706" i="2"/>
  <c r="AE706" i="2"/>
  <c r="AC706" i="2"/>
  <c r="U706" i="2"/>
  <c r="J706" i="2" l="1"/>
  <c r="W706" i="2"/>
  <c r="X706" i="2" s="1"/>
  <c r="AF707" i="2"/>
  <c r="C707" i="2"/>
  <c r="AD706" i="2"/>
  <c r="L706" i="2" s="1"/>
  <c r="I706" i="2" l="1"/>
  <c r="D707" i="2"/>
  <c r="E707" i="2" s="1"/>
  <c r="T707" i="2" s="1"/>
  <c r="K706" i="2"/>
  <c r="V707" i="2" l="1"/>
  <c r="N706" i="2"/>
  <c r="M706" i="2" s="1"/>
  <c r="P706" i="2" s="1"/>
  <c r="AG706" i="2" l="1"/>
  <c r="O706" i="2"/>
  <c r="Q706" i="2" l="1"/>
  <c r="R706" i="2"/>
  <c r="S706" i="2" l="1"/>
  <c r="Y706" i="2" l="1"/>
  <c r="AA706" i="2" s="1"/>
  <c r="AB707" i="2" s="1"/>
  <c r="Z706" i="2"/>
  <c r="B708" i="2" l="1"/>
  <c r="G707" i="2"/>
  <c r="H707" i="2" s="1"/>
  <c r="F707" i="2"/>
  <c r="AE707" i="2"/>
  <c r="AC707" i="2"/>
  <c r="U707" i="2"/>
  <c r="AF708" i="2" l="1"/>
  <c r="C708" i="2"/>
  <c r="J707" i="2"/>
  <c r="W707" i="2"/>
  <c r="X707" i="2" s="1"/>
  <c r="AD707" i="2"/>
  <c r="L707" i="2" s="1"/>
  <c r="D708" i="2" l="1"/>
  <c r="E708" i="2" s="1"/>
  <c r="T708" i="2" s="1"/>
  <c r="K707" i="2"/>
  <c r="I707" i="2"/>
  <c r="N707" i="2" l="1"/>
  <c r="M707" i="2" s="1"/>
  <c r="P707" i="2" s="1"/>
  <c r="V708" i="2"/>
  <c r="AG707" i="2" l="1"/>
  <c r="O707" i="2"/>
  <c r="Q707" i="2" s="1"/>
  <c r="R707" i="2" l="1"/>
  <c r="S707" i="2" s="1"/>
  <c r="Y707" i="2" s="1"/>
  <c r="AA707" i="2" s="1"/>
  <c r="Z707" i="2" l="1"/>
  <c r="AB708" i="2"/>
  <c r="B709" i="2" l="1"/>
  <c r="G708" i="2"/>
  <c r="H708" i="2" s="1"/>
  <c r="F708" i="2"/>
  <c r="AC708" i="2"/>
  <c r="AE708" i="2"/>
  <c r="U708" i="2"/>
  <c r="J708" i="2" l="1"/>
  <c r="W708" i="2"/>
  <c r="X708" i="2" s="1"/>
  <c r="AD708" i="2"/>
  <c r="L708" i="2" s="1"/>
  <c r="AF709" i="2"/>
  <c r="C709" i="2"/>
  <c r="I708" i="2" l="1"/>
  <c r="D709" i="2"/>
  <c r="E709" i="2" s="1"/>
  <c r="T709" i="2" s="1"/>
  <c r="K708" i="2"/>
  <c r="V709" i="2" l="1"/>
  <c r="N708" i="2"/>
  <c r="M708" i="2" s="1"/>
  <c r="P708" i="2" s="1"/>
  <c r="AG708" i="2" l="1"/>
  <c r="O708" i="2"/>
  <c r="R708" i="2" l="1"/>
  <c r="Q708" i="2"/>
  <c r="S708" i="2" l="1"/>
  <c r="Z708" i="2" s="1"/>
  <c r="Y708" i="2" l="1"/>
  <c r="AA708" i="2" s="1"/>
  <c r="AB709" i="2" s="1"/>
  <c r="B710" i="2" l="1"/>
  <c r="G709" i="2"/>
  <c r="H709" i="2" s="1"/>
  <c r="F709" i="2"/>
  <c r="AE709" i="2"/>
  <c r="AC709" i="2"/>
  <c r="U709" i="2"/>
  <c r="AF710" i="2" l="1"/>
  <c r="C710" i="2"/>
  <c r="AD709" i="2"/>
  <c r="L709" i="2" s="1"/>
  <c r="J709" i="2"/>
  <c r="W709" i="2"/>
  <c r="X709" i="2" s="1"/>
  <c r="I709" i="2" l="1"/>
  <c r="D710" i="2"/>
  <c r="E710" i="2" s="1"/>
  <c r="T710" i="2" s="1"/>
  <c r="K709" i="2"/>
  <c r="V710" i="2" l="1"/>
  <c r="N709" i="2"/>
  <c r="M709" i="2" s="1"/>
  <c r="P709" i="2" s="1"/>
  <c r="AG709" i="2" l="1"/>
  <c r="O709" i="2"/>
  <c r="R709" i="2" l="1"/>
  <c r="Q709" i="2"/>
  <c r="S709" i="2" l="1"/>
  <c r="Z709" i="2" s="1"/>
  <c r="Y709" i="2" l="1"/>
  <c r="AA709" i="2" s="1"/>
  <c r="AB710" i="2" s="1"/>
  <c r="B711" i="2" l="1"/>
  <c r="G710" i="2"/>
  <c r="H710" i="2" s="1"/>
  <c r="F710" i="2"/>
  <c r="AC710" i="2"/>
  <c r="AE710" i="2"/>
  <c r="U710" i="2"/>
  <c r="AD710" i="2" l="1"/>
  <c r="L710" i="2" s="1"/>
  <c r="J710" i="2"/>
  <c r="W710" i="2"/>
  <c r="X710" i="2" s="1"/>
  <c r="AF711" i="2"/>
  <c r="C711" i="2"/>
  <c r="D711" i="2" l="1"/>
  <c r="E711" i="2" s="1"/>
  <c r="T711" i="2" s="1"/>
  <c r="K710" i="2"/>
  <c r="I710" i="2"/>
  <c r="N710" i="2" l="1"/>
  <c r="M710" i="2" s="1"/>
  <c r="P710" i="2" s="1"/>
  <c r="V711" i="2"/>
  <c r="AG710" i="2" l="1"/>
  <c r="O710" i="2"/>
  <c r="Q710" i="2" s="1"/>
  <c r="R710" i="2" l="1"/>
  <c r="S710" i="2" s="1"/>
  <c r="Y710" i="2" l="1"/>
  <c r="AA710" i="2" s="1"/>
  <c r="AB711" i="2" s="1"/>
  <c r="Z710" i="2"/>
  <c r="B712" i="2" l="1"/>
  <c r="G711" i="2"/>
  <c r="H711" i="2" s="1"/>
  <c r="F711" i="2"/>
  <c r="AE711" i="2"/>
  <c r="AC711" i="2"/>
  <c r="U711" i="2"/>
  <c r="J711" i="2" l="1"/>
  <c r="W711" i="2"/>
  <c r="X711" i="2" s="1"/>
  <c r="AF712" i="2"/>
  <c r="C712" i="2"/>
  <c r="AD711" i="2"/>
  <c r="L711" i="2" s="1"/>
  <c r="D712" i="2" l="1"/>
  <c r="E712" i="2" s="1"/>
  <c r="T712" i="2" s="1"/>
  <c r="K711" i="2"/>
  <c r="I711" i="2"/>
  <c r="N711" i="2" l="1"/>
  <c r="M711" i="2" s="1"/>
  <c r="P711" i="2" s="1"/>
  <c r="V712" i="2"/>
  <c r="AG711" i="2" l="1"/>
  <c r="O711" i="2"/>
  <c r="Q711" i="2" s="1"/>
  <c r="R711" i="2" l="1"/>
  <c r="S711" i="2" s="1"/>
  <c r="Y711" i="2" l="1"/>
  <c r="AA711" i="2" s="1"/>
  <c r="AB712" i="2" s="1"/>
  <c r="Z711" i="2"/>
  <c r="B713" i="2" l="1"/>
  <c r="G712" i="2"/>
  <c r="H712" i="2" s="1"/>
  <c r="F712" i="2"/>
  <c r="AE712" i="2"/>
  <c r="AC712" i="2"/>
  <c r="U712" i="2"/>
  <c r="C713" i="2" l="1"/>
  <c r="AF713" i="2"/>
  <c r="J712" i="2"/>
  <c r="W712" i="2"/>
  <c r="X712" i="2" s="1"/>
  <c r="AD712" i="2"/>
  <c r="L712" i="2" s="1"/>
  <c r="K712" i="2" l="1"/>
  <c r="I712" i="2"/>
  <c r="D713" i="2"/>
  <c r="E713" i="2" s="1"/>
  <c r="T713" i="2" s="1"/>
  <c r="N712" i="2" l="1"/>
  <c r="M712" i="2" s="1"/>
  <c r="P712" i="2" s="1"/>
  <c r="V713" i="2"/>
  <c r="AG712" i="2" l="1"/>
  <c r="O712" i="2"/>
  <c r="Q712" i="2" s="1"/>
  <c r="R712" i="2" l="1"/>
  <c r="S712" i="2" s="1"/>
  <c r="Y712" i="2" l="1"/>
  <c r="AA712" i="2" s="1"/>
  <c r="AB713" i="2" s="1"/>
  <c r="Z712" i="2"/>
  <c r="B714" i="2" l="1"/>
  <c r="G713" i="2"/>
  <c r="H713" i="2" s="1"/>
  <c r="F713" i="2"/>
  <c r="AE713" i="2"/>
  <c r="AC713" i="2"/>
  <c r="U713" i="2"/>
  <c r="J713" i="2" l="1"/>
  <c r="W713" i="2"/>
  <c r="X713" i="2" s="1"/>
  <c r="AF714" i="2"/>
  <c r="C714" i="2"/>
  <c r="AD713" i="2"/>
  <c r="L713" i="2" s="1"/>
  <c r="K713" i="2" l="1"/>
  <c r="D714" i="2"/>
  <c r="E714" i="2" s="1"/>
  <c r="T714" i="2" s="1"/>
  <c r="I713" i="2"/>
  <c r="N713" i="2" l="1"/>
  <c r="M713" i="2" s="1"/>
  <c r="P713" i="2" s="1"/>
  <c r="V714" i="2"/>
  <c r="AG713" i="2" l="1"/>
  <c r="O713" i="2"/>
  <c r="R713" i="2" s="1"/>
  <c r="Q713" i="2" l="1"/>
  <c r="S713" i="2" s="1"/>
  <c r="Y713" i="2" l="1"/>
  <c r="AA713" i="2" s="1"/>
  <c r="AB714" i="2" s="1"/>
  <c r="Z713" i="2"/>
  <c r="B715" i="2" l="1"/>
  <c r="G714" i="2"/>
  <c r="H714" i="2" s="1"/>
  <c r="F714" i="2"/>
  <c r="AE714" i="2"/>
  <c r="AC714" i="2"/>
  <c r="U714" i="2"/>
  <c r="J714" i="2" l="1"/>
  <c r="W714" i="2"/>
  <c r="X714" i="2" s="1"/>
  <c r="AD714" i="2"/>
  <c r="L714" i="2" s="1"/>
  <c r="AF715" i="2"/>
  <c r="C715" i="2"/>
  <c r="D715" i="2" l="1"/>
  <c r="E715" i="2" s="1"/>
  <c r="T715" i="2" s="1"/>
  <c r="K714" i="2"/>
  <c r="I714" i="2"/>
  <c r="N714" i="2" l="1"/>
  <c r="M714" i="2" s="1"/>
  <c r="P714" i="2" s="1"/>
  <c r="V715" i="2"/>
  <c r="AG714" i="2" l="1"/>
  <c r="O714" i="2"/>
  <c r="R714" i="2" s="1"/>
  <c r="Q714" i="2" l="1"/>
  <c r="S714" i="2" s="1"/>
  <c r="Y714" i="2" s="1"/>
  <c r="AA714" i="2" s="1"/>
  <c r="Z714" i="2" l="1"/>
  <c r="AB715" i="2"/>
  <c r="B716" i="2" l="1"/>
  <c r="G715" i="2"/>
  <c r="H715" i="2" s="1"/>
  <c r="F715" i="2"/>
  <c r="AC715" i="2"/>
  <c r="AE715" i="2"/>
  <c r="U715" i="2"/>
  <c r="J715" i="2" l="1"/>
  <c r="W715" i="2"/>
  <c r="X715" i="2" s="1"/>
  <c r="AF716" i="2"/>
  <c r="C716" i="2"/>
  <c r="AD715" i="2"/>
  <c r="L715" i="2" s="1"/>
  <c r="K715" i="2" l="1"/>
  <c r="D716" i="2"/>
  <c r="E716" i="2" s="1"/>
  <c r="T716" i="2" s="1"/>
  <c r="I715" i="2"/>
  <c r="N715" i="2" l="1"/>
  <c r="M715" i="2" s="1"/>
  <c r="P715" i="2" s="1"/>
  <c r="V716" i="2"/>
  <c r="AG715" i="2" l="1"/>
  <c r="O715" i="2"/>
  <c r="R715" i="2" s="1"/>
  <c r="Q715" i="2" l="1"/>
  <c r="S715" i="2" s="1"/>
  <c r="Y715" i="2" s="1"/>
  <c r="AA715" i="2" s="1"/>
  <c r="Z715" i="2" l="1"/>
  <c r="AB716" i="2"/>
  <c r="B717" i="2" l="1"/>
  <c r="G716" i="2"/>
  <c r="H716" i="2" s="1"/>
  <c r="F716" i="2"/>
  <c r="AE716" i="2"/>
  <c r="AC716" i="2"/>
  <c r="U716" i="2"/>
  <c r="AF717" i="2" l="1"/>
  <c r="C717" i="2"/>
  <c r="AD716" i="2"/>
  <c r="L716" i="2" s="1"/>
  <c r="J716" i="2"/>
  <c r="W716" i="2"/>
  <c r="X716" i="2" s="1"/>
  <c r="I716" i="2" l="1"/>
  <c r="K716" i="2"/>
  <c r="D717" i="2"/>
  <c r="E717" i="2" s="1"/>
  <c r="T717" i="2" s="1"/>
  <c r="V717" i="2" l="1"/>
  <c r="N716" i="2"/>
  <c r="M716" i="2" s="1"/>
  <c r="P716" i="2" s="1"/>
  <c r="AG716" i="2" l="1"/>
  <c r="O716" i="2"/>
  <c r="Q716" i="2" l="1"/>
  <c r="R716" i="2"/>
  <c r="S716" i="2" l="1"/>
  <c r="Y716" i="2" l="1"/>
  <c r="AA716" i="2" s="1"/>
  <c r="AB717" i="2" s="1"/>
  <c r="Z716" i="2"/>
  <c r="B718" i="2" l="1"/>
  <c r="G717" i="2"/>
  <c r="H717" i="2" s="1"/>
  <c r="F717" i="2"/>
  <c r="AC717" i="2"/>
  <c r="AE717" i="2"/>
  <c r="U717" i="2"/>
  <c r="AD717" i="2" l="1"/>
  <c r="L717" i="2" s="1"/>
  <c r="J717" i="2"/>
  <c r="W717" i="2"/>
  <c r="X717" i="2" s="1"/>
  <c r="AF718" i="2"/>
  <c r="C718" i="2"/>
  <c r="I717" i="2" l="1"/>
  <c r="D718" i="2"/>
  <c r="E718" i="2" s="1"/>
  <c r="T718" i="2" s="1"/>
  <c r="K717" i="2"/>
  <c r="V718" i="2" l="1"/>
  <c r="N717" i="2"/>
  <c r="M717" i="2" s="1"/>
  <c r="P717" i="2" s="1"/>
  <c r="AG717" i="2" l="1"/>
  <c r="O717" i="2"/>
  <c r="Q717" i="2" l="1"/>
  <c r="R717" i="2"/>
  <c r="S717" i="2" l="1"/>
  <c r="Y717" i="2" l="1"/>
  <c r="AA717" i="2" s="1"/>
  <c r="AB718" i="2" s="1"/>
  <c r="Z717" i="2"/>
  <c r="B719" i="2" l="1"/>
  <c r="G718" i="2"/>
  <c r="H718" i="2" s="1"/>
  <c r="F718" i="2"/>
  <c r="AC718" i="2"/>
  <c r="AE718" i="2"/>
  <c r="U718" i="2"/>
  <c r="J718" i="2" l="1"/>
  <c r="W718" i="2"/>
  <c r="X718" i="2" s="1"/>
  <c r="C719" i="2"/>
  <c r="AF719" i="2"/>
  <c r="AD718" i="2"/>
  <c r="L718" i="2" s="1"/>
  <c r="I718" i="2" l="1"/>
  <c r="D719" i="2"/>
  <c r="E719" i="2" s="1"/>
  <c r="T719" i="2" s="1"/>
  <c r="K718" i="2"/>
  <c r="V719" i="2" l="1"/>
  <c r="N718" i="2"/>
  <c r="M718" i="2" s="1"/>
  <c r="P718" i="2" s="1"/>
  <c r="AG718" i="2" l="1"/>
  <c r="O718" i="2"/>
  <c r="R718" i="2" l="1"/>
  <c r="Q718" i="2"/>
  <c r="S718" i="2" l="1"/>
  <c r="Z718" i="2" s="1"/>
  <c r="Y718" i="2" l="1"/>
  <c r="AA718" i="2" s="1"/>
  <c r="AB719" i="2" s="1"/>
  <c r="B720" i="2" l="1"/>
  <c r="G719" i="2"/>
  <c r="H719" i="2" s="1"/>
  <c r="F719" i="2"/>
  <c r="AC719" i="2"/>
  <c r="AE719" i="2"/>
  <c r="U719" i="2"/>
  <c r="J719" i="2" l="1"/>
  <c r="W719" i="2"/>
  <c r="X719" i="2" s="1"/>
  <c r="AD719" i="2"/>
  <c r="L719" i="2" s="1"/>
  <c r="AF720" i="2"/>
  <c r="C720" i="2"/>
  <c r="D720" i="2" l="1"/>
  <c r="E720" i="2" s="1"/>
  <c r="T720" i="2" s="1"/>
  <c r="K719" i="2"/>
  <c r="I719" i="2"/>
  <c r="N719" i="2" l="1"/>
  <c r="M719" i="2" s="1"/>
  <c r="P719" i="2" s="1"/>
  <c r="V720" i="2"/>
  <c r="AG719" i="2" l="1"/>
  <c r="O719" i="2"/>
  <c r="Q719" i="2" s="1"/>
  <c r="R719" i="2" l="1"/>
  <c r="S719" i="2" s="1"/>
  <c r="Z719" i="2" s="1"/>
  <c r="Y719" i="2" l="1"/>
  <c r="AA719" i="2" s="1"/>
  <c r="AB720" i="2" s="1"/>
  <c r="B721" i="2" l="1"/>
  <c r="G720" i="2"/>
  <c r="H720" i="2" s="1"/>
  <c r="F720" i="2"/>
  <c r="AE720" i="2"/>
  <c r="AC720" i="2"/>
  <c r="U720" i="2"/>
  <c r="C721" i="2" l="1"/>
  <c r="AF721" i="2"/>
  <c r="AD720" i="2"/>
  <c r="L720" i="2" s="1"/>
  <c r="J720" i="2"/>
  <c r="W720" i="2"/>
  <c r="X720" i="2" s="1"/>
  <c r="I720" i="2" l="1"/>
  <c r="K720" i="2"/>
  <c r="D721" i="2"/>
  <c r="E721" i="2" s="1"/>
  <c r="T721" i="2" s="1"/>
  <c r="N720" i="2" l="1"/>
  <c r="M720" i="2" s="1"/>
  <c r="P720" i="2" s="1"/>
  <c r="V721" i="2"/>
  <c r="AG720" i="2" l="1"/>
  <c r="O720" i="2"/>
  <c r="R720" i="2" s="1"/>
  <c r="Q720" i="2" l="1"/>
  <c r="S720" i="2" s="1"/>
  <c r="Z720" i="2" s="1"/>
  <c r="Y720" i="2" l="1"/>
  <c r="AA720" i="2" s="1"/>
  <c r="AB721" i="2" s="1"/>
  <c r="B722" i="2" l="1"/>
  <c r="G721" i="2"/>
  <c r="H721" i="2" s="1"/>
  <c r="F721" i="2"/>
  <c r="AE721" i="2"/>
  <c r="AC721" i="2"/>
  <c r="U721" i="2"/>
  <c r="J721" i="2" l="1"/>
  <c r="W721" i="2"/>
  <c r="X721" i="2" s="1"/>
  <c r="AF722" i="2"/>
  <c r="C722" i="2"/>
  <c r="AD721" i="2"/>
  <c r="L721" i="2" s="1"/>
  <c r="K721" i="2" l="1"/>
  <c r="D722" i="2"/>
  <c r="E722" i="2" s="1"/>
  <c r="T722" i="2" s="1"/>
  <c r="I721" i="2"/>
  <c r="N721" i="2" l="1"/>
  <c r="M721" i="2" s="1"/>
  <c r="V722" i="2"/>
  <c r="P721" i="2" l="1"/>
  <c r="AG721" i="2" s="1"/>
  <c r="O721" i="2"/>
  <c r="R721" i="2" s="1"/>
  <c r="Q721" i="2" l="1"/>
  <c r="S721" i="2" s="1"/>
  <c r="Y721" i="2" s="1"/>
  <c r="AA721" i="2" s="1"/>
  <c r="Z721" i="2" l="1"/>
  <c r="AB722" i="2"/>
  <c r="B723" i="2" l="1"/>
  <c r="G722" i="2"/>
  <c r="H722" i="2" s="1"/>
  <c r="F722" i="2"/>
  <c r="AC722" i="2"/>
  <c r="AE722" i="2"/>
  <c r="U722" i="2"/>
  <c r="J722" i="2" l="1"/>
  <c r="W722" i="2"/>
  <c r="X722" i="2" s="1"/>
  <c r="AF723" i="2"/>
  <c r="C723" i="2"/>
  <c r="AD722" i="2"/>
  <c r="L722" i="2" s="1"/>
  <c r="D723" i="2" l="1"/>
  <c r="E723" i="2" s="1"/>
  <c r="T723" i="2" s="1"/>
  <c r="K722" i="2"/>
  <c r="I722" i="2"/>
  <c r="N722" i="2" l="1"/>
  <c r="M722" i="2" s="1"/>
  <c r="P722" i="2" s="1"/>
  <c r="V723" i="2"/>
  <c r="AG722" i="2" l="1"/>
  <c r="O722" i="2"/>
  <c r="Q722" i="2" s="1"/>
  <c r="R722" i="2" l="1"/>
  <c r="S722" i="2" s="1"/>
  <c r="Y722" i="2" l="1"/>
  <c r="AA722" i="2" s="1"/>
  <c r="AB723" i="2" s="1"/>
  <c r="Z722" i="2"/>
  <c r="B724" i="2" l="1"/>
  <c r="G723" i="2"/>
  <c r="H723" i="2" s="1"/>
  <c r="F723" i="2"/>
  <c r="AC723" i="2"/>
  <c r="AE723" i="2"/>
  <c r="U723" i="2"/>
  <c r="J723" i="2" l="1"/>
  <c r="W723" i="2"/>
  <c r="X723" i="2" s="1"/>
  <c r="AD723" i="2"/>
  <c r="L723" i="2" s="1"/>
  <c r="AF724" i="2"/>
  <c r="C724" i="2"/>
  <c r="K723" i="2" l="1"/>
  <c r="D724" i="2"/>
  <c r="E724" i="2" s="1"/>
  <c r="T724" i="2" s="1"/>
  <c r="I723" i="2"/>
  <c r="N723" i="2" s="1"/>
  <c r="M723" i="2" s="1"/>
  <c r="P723" i="2" s="1"/>
  <c r="AG723" i="2" l="1"/>
  <c r="V724" i="2"/>
  <c r="O723" i="2"/>
  <c r="Q723" i="2" l="1"/>
  <c r="R723" i="2"/>
  <c r="S723" i="2" l="1"/>
  <c r="Y723" i="2" l="1"/>
  <c r="AA723" i="2" s="1"/>
  <c r="AB724" i="2" s="1"/>
  <c r="Z723" i="2"/>
  <c r="B725" i="2" l="1"/>
  <c r="G724" i="2"/>
  <c r="H724" i="2" s="1"/>
  <c r="F724" i="2"/>
  <c r="AE724" i="2"/>
  <c r="AC724" i="2"/>
  <c r="U724" i="2"/>
  <c r="AF725" i="2" l="1"/>
  <c r="C725" i="2"/>
  <c r="AD724" i="2"/>
  <c r="L724" i="2" s="1"/>
  <c r="J724" i="2"/>
  <c r="W724" i="2"/>
  <c r="X724" i="2" s="1"/>
  <c r="I724" i="2" l="1"/>
  <c r="K724" i="2"/>
  <c r="D725" i="2"/>
  <c r="E725" i="2" s="1"/>
  <c r="T725" i="2" s="1"/>
  <c r="N724" i="2" l="1"/>
  <c r="M724" i="2" s="1"/>
  <c r="P724" i="2" s="1"/>
  <c r="V725" i="2"/>
  <c r="AG724" i="2" l="1"/>
  <c r="O724" i="2"/>
  <c r="R724" i="2" s="1"/>
  <c r="Q724" i="2" l="1"/>
  <c r="S724" i="2" s="1"/>
  <c r="Y724" i="2" s="1"/>
  <c r="AA724" i="2" s="1"/>
  <c r="Z724" i="2" l="1"/>
  <c r="AB725" i="2"/>
  <c r="B726" i="2" l="1"/>
  <c r="G725" i="2"/>
  <c r="H725" i="2" s="1"/>
  <c r="F725" i="2"/>
  <c r="AC725" i="2"/>
  <c r="AE725" i="2"/>
  <c r="U725" i="2"/>
  <c r="J725" i="2" l="1"/>
  <c r="W725" i="2"/>
  <c r="X725" i="2" s="1"/>
  <c r="AF726" i="2"/>
  <c r="C726" i="2"/>
  <c r="AD725" i="2"/>
  <c r="L725" i="2" s="1"/>
  <c r="I725" i="2" l="1"/>
  <c r="D726" i="2"/>
  <c r="E726" i="2" s="1"/>
  <c r="T726" i="2" s="1"/>
  <c r="K725" i="2"/>
  <c r="V726" i="2" l="1"/>
  <c r="N725" i="2"/>
  <c r="M725" i="2" s="1"/>
  <c r="P725" i="2" s="1"/>
  <c r="AG725" i="2" l="1"/>
  <c r="O725" i="2"/>
  <c r="R725" i="2" l="1"/>
  <c r="Q725" i="2"/>
  <c r="S725" i="2" l="1"/>
  <c r="Z725" i="2" s="1"/>
  <c r="Y725" i="2" l="1"/>
  <c r="AA725" i="2" s="1"/>
  <c r="AB726" i="2" s="1"/>
  <c r="B727" i="2" l="1"/>
  <c r="G726" i="2"/>
  <c r="H726" i="2" s="1"/>
  <c r="F726" i="2"/>
  <c r="AC726" i="2"/>
  <c r="AE726" i="2"/>
  <c r="U726" i="2"/>
  <c r="J726" i="2" l="1"/>
  <c r="W726" i="2"/>
  <c r="X726" i="2" s="1"/>
  <c r="AD726" i="2"/>
  <c r="L726" i="2" s="1"/>
  <c r="C727" i="2"/>
  <c r="AF727" i="2"/>
  <c r="D727" i="2" l="1"/>
  <c r="E727" i="2" s="1"/>
  <c r="T727" i="2" s="1"/>
  <c r="K726" i="2"/>
  <c r="I726" i="2"/>
  <c r="N726" i="2" l="1"/>
  <c r="M726" i="2" s="1"/>
  <c r="P726" i="2" s="1"/>
  <c r="V727" i="2"/>
  <c r="AG726" i="2" l="1"/>
  <c r="O726" i="2"/>
  <c r="R726" i="2" s="1"/>
  <c r="Q726" i="2" l="1"/>
  <c r="S726" i="2" s="1"/>
  <c r="Z726" i="2" s="1"/>
  <c r="Y726" i="2" l="1"/>
  <c r="AA726" i="2" s="1"/>
  <c r="AB727" i="2" s="1"/>
  <c r="B728" i="2" l="1"/>
  <c r="G727" i="2"/>
  <c r="H727" i="2" s="1"/>
  <c r="F727" i="2"/>
  <c r="AC727" i="2"/>
  <c r="AE727" i="2"/>
  <c r="U727" i="2"/>
  <c r="J727" i="2" l="1"/>
  <c r="W727" i="2"/>
  <c r="X727" i="2" s="1"/>
  <c r="AF728" i="2"/>
  <c r="C728" i="2"/>
  <c r="AD727" i="2"/>
  <c r="L727" i="2" s="1"/>
  <c r="K727" i="2" l="1"/>
  <c r="D728" i="2"/>
  <c r="E728" i="2" s="1"/>
  <c r="T728" i="2" s="1"/>
  <c r="I727" i="2"/>
  <c r="N727" i="2" l="1"/>
  <c r="M727" i="2" s="1"/>
  <c r="P727" i="2" s="1"/>
  <c r="V728" i="2"/>
  <c r="AG727" i="2" l="1"/>
  <c r="O727" i="2"/>
  <c r="R727" i="2" s="1"/>
  <c r="Q727" i="2" l="1"/>
  <c r="S727" i="2" s="1"/>
  <c r="Z727" i="2" s="1"/>
  <c r="Y727" i="2" l="1"/>
  <c r="AA727" i="2" s="1"/>
  <c r="AB728" i="2" s="1"/>
  <c r="B729" i="2" l="1"/>
  <c r="G728" i="2"/>
  <c r="H728" i="2" s="1"/>
  <c r="F728" i="2"/>
  <c r="AC728" i="2"/>
  <c r="AE728" i="2"/>
  <c r="U728" i="2"/>
  <c r="AD728" i="2" l="1"/>
  <c r="L728" i="2" s="1"/>
  <c r="AF729" i="2"/>
  <c r="C729" i="2"/>
  <c r="J728" i="2"/>
  <c r="W728" i="2"/>
  <c r="X728" i="2" s="1"/>
  <c r="I728" i="2" l="1"/>
  <c r="K728" i="2"/>
  <c r="D729" i="2"/>
  <c r="E729" i="2" s="1"/>
  <c r="T729" i="2" s="1"/>
  <c r="V729" i="2" l="1"/>
  <c r="N728" i="2"/>
  <c r="M728" i="2" s="1"/>
  <c r="P728" i="2" s="1"/>
  <c r="AG728" i="2" l="1"/>
  <c r="O728" i="2"/>
  <c r="R728" i="2" l="1"/>
  <c r="Q728" i="2"/>
  <c r="S728" i="2" l="1"/>
  <c r="Z728" i="2" s="1"/>
  <c r="Y728" i="2" l="1"/>
  <c r="AA728" i="2" s="1"/>
  <c r="AB729" i="2" s="1"/>
  <c r="B730" i="2" l="1"/>
  <c r="G729" i="2"/>
  <c r="H729" i="2" s="1"/>
  <c r="F729" i="2"/>
  <c r="AE729" i="2"/>
  <c r="AC729" i="2"/>
  <c r="U729" i="2"/>
  <c r="AD729" i="2" l="1"/>
  <c r="L729" i="2" s="1"/>
  <c r="C730" i="2"/>
  <c r="AF730" i="2"/>
  <c r="J729" i="2"/>
  <c r="W729" i="2"/>
  <c r="X729" i="2" s="1"/>
  <c r="I729" i="2" l="1"/>
  <c r="K729" i="2"/>
  <c r="D730" i="2"/>
  <c r="E730" i="2" s="1"/>
  <c r="T730" i="2" s="1"/>
  <c r="V730" i="2" l="1"/>
  <c r="N729" i="2"/>
  <c r="M729" i="2" s="1"/>
  <c r="P729" i="2" s="1"/>
  <c r="AG729" i="2" l="1"/>
  <c r="O729" i="2"/>
  <c r="R729" i="2" l="1"/>
  <c r="Q729" i="2"/>
  <c r="S729" i="2" l="1"/>
  <c r="Y729" i="2" s="1"/>
  <c r="AA729" i="2" s="1"/>
  <c r="Z729" i="2" l="1"/>
  <c r="AB730" i="2"/>
  <c r="B731" i="2" l="1"/>
  <c r="G730" i="2"/>
  <c r="H730" i="2" s="1"/>
  <c r="F730" i="2"/>
  <c r="AC730" i="2"/>
  <c r="AE730" i="2"/>
  <c r="U730" i="2"/>
  <c r="AD730" i="2" l="1"/>
  <c r="L730" i="2" s="1"/>
  <c r="AF731" i="2"/>
  <c r="C731" i="2"/>
  <c r="J730" i="2"/>
  <c r="W730" i="2"/>
  <c r="X730" i="2" s="1"/>
  <c r="K730" i="2" l="1"/>
  <c r="I730" i="2"/>
  <c r="D731" i="2"/>
  <c r="E731" i="2" s="1"/>
  <c r="T731" i="2" s="1"/>
  <c r="N730" i="2" l="1"/>
  <c r="M730" i="2" s="1"/>
  <c r="P730" i="2" s="1"/>
  <c r="V731" i="2"/>
  <c r="AG730" i="2" l="1"/>
  <c r="O730" i="2"/>
  <c r="Q730" i="2" s="1"/>
  <c r="R730" i="2" l="1"/>
  <c r="S730" i="2" s="1"/>
  <c r="Z730" i="2" s="1"/>
  <c r="Y730" i="2" l="1"/>
  <c r="AA730" i="2" s="1"/>
  <c r="AB731" i="2" s="1"/>
  <c r="B732" i="2" l="1"/>
  <c r="G731" i="2"/>
  <c r="H731" i="2" s="1"/>
  <c r="F731" i="2"/>
  <c r="AE731" i="2"/>
  <c r="AC731" i="2"/>
  <c r="U731" i="2"/>
  <c r="AF732" i="2" l="1"/>
  <c r="C732" i="2"/>
  <c r="J731" i="2"/>
  <c r="W731" i="2"/>
  <c r="X731" i="2" s="1"/>
  <c r="AD731" i="2"/>
  <c r="L731" i="2" s="1"/>
  <c r="D732" i="2" l="1"/>
  <c r="E732" i="2" s="1"/>
  <c r="T732" i="2" s="1"/>
  <c r="K731" i="2"/>
  <c r="I731" i="2"/>
  <c r="N731" i="2" l="1"/>
  <c r="M731" i="2" s="1"/>
  <c r="P731" i="2" s="1"/>
  <c r="V732" i="2"/>
  <c r="AG731" i="2" l="1"/>
  <c r="O731" i="2"/>
  <c r="R731" i="2" s="1"/>
  <c r="Q731" i="2" l="1"/>
  <c r="S731" i="2" s="1"/>
  <c r="Y731" i="2" s="1"/>
  <c r="AA731" i="2" s="1"/>
  <c r="Z731" i="2" l="1"/>
  <c r="AB732" i="2"/>
  <c r="B733" i="2" l="1"/>
  <c r="G732" i="2"/>
  <c r="H732" i="2" s="1"/>
  <c r="F732" i="2"/>
  <c r="AC732" i="2"/>
  <c r="AE732" i="2"/>
  <c r="U732" i="2"/>
  <c r="J732" i="2" l="1"/>
  <c r="W732" i="2"/>
  <c r="X732" i="2" s="1"/>
  <c r="AD732" i="2"/>
  <c r="L732" i="2" s="1"/>
  <c r="AF733" i="2"/>
  <c r="C733" i="2"/>
  <c r="D733" i="2" l="1"/>
  <c r="E733" i="2" s="1"/>
  <c r="T733" i="2" s="1"/>
  <c r="K732" i="2"/>
  <c r="I732" i="2"/>
  <c r="N732" i="2" l="1"/>
  <c r="M732" i="2" s="1"/>
  <c r="P732" i="2" s="1"/>
  <c r="V733" i="2"/>
  <c r="AG732" i="2" l="1"/>
  <c r="O732" i="2"/>
  <c r="Q732" i="2" s="1"/>
  <c r="R732" i="2" l="1"/>
  <c r="S732" i="2" s="1"/>
  <c r="Z732" i="2" s="1"/>
  <c r="Y732" i="2" l="1"/>
  <c r="AA732" i="2" s="1"/>
  <c r="AB733" i="2" s="1"/>
  <c r="B734" i="2" l="1"/>
  <c r="G733" i="2"/>
  <c r="H733" i="2" s="1"/>
  <c r="F733" i="2"/>
  <c r="AE733" i="2"/>
  <c r="AC733" i="2"/>
  <c r="U733" i="2"/>
  <c r="J733" i="2" l="1"/>
  <c r="W733" i="2"/>
  <c r="X733" i="2" s="1"/>
  <c r="AF734" i="2"/>
  <c r="C734" i="2"/>
  <c r="AD733" i="2"/>
  <c r="L733" i="2" s="1"/>
  <c r="K733" i="2" l="1"/>
  <c r="D734" i="2"/>
  <c r="E734" i="2" s="1"/>
  <c r="T734" i="2" s="1"/>
  <c r="I733" i="2"/>
  <c r="N733" i="2" l="1"/>
  <c r="M733" i="2" s="1"/>
  <c r="P733" i="2" s="1"/>
  <c r="V734" i="2"/>
  <c r="AG733" i="2" l="1"/>
  <c r="O733" i="2"/>
  <c r="R733" i="2" s="1"/>
  <c r="Q733" i="2" l="1"/>
  <c r="S733" i="2" s="1"/>
  <c r="Z733" i="2" s="1"/>
  <c r="Y733" i="2" l="1"/>
  <c r="AA733" i="2" s="1"/>
  <c r="AB734" i="2" s="1"/>
  <c r="B735" i="2" l="1"/>
  <c r="G734" i="2"/>
  <c r="H734" i="2" s="1"/>
  <c r="F734" i="2"/>
  <c r="AE734" i="2"/>
  <c r="AC734" i="2"/>
  <c r="U734" i="2"/>
  <c r="J734" i="2" l="1"/>
  <c r="W734" i="2"/>
  <c r="X734" i="2" s="1"/>
  <c r="AF735" i="2"/>
  <c r="C735" i="2"/>
  <c r="AD734" i="2"/>
  <c r="L734" i="2" s="1"/>
  <c r="I734" i="2" l="1"/>
  <c r="D735" i="2"/>
  <c r="E735" i="2" s="1"/>
  <c r="T735" i="2" s="1"/>
  <c r="K734" i="2"/>
  <c r="V735" i="2" l="1"/>
  <c r="N734" i="2"/>
  <c r="M734" i="2" s="1"/>
  <c r="P734" i="2" s="1"/>
  <c r="AG734" i="2" l="1"/>
  <c r="O734" i="2"/>
  <c r="R734" i="2" l="1"/>
  <c r="Q734" i="2"/>
  <c r="S734" i="2" l="1"/>
  <c r="Y734" i="2" s="1"/>
  <c r="AA734" i="2" s="1"/>
  <c r="Z734" i="2" l="1"/>
  <c r="AB735" i="2"/>
  <c r="B736" i="2" l="1"/>
  <c r="G735" i="2"/>
  <c r="H735" i="2" s="1"/>
  <c r="F735" i="2"/>
  <c r="AE735" i="2"/>
  <c r="AC735" i="2"/>
  <c r="U735" i="2"/>
  <c r="AF736" i="2" l="1"/>
  <c r="C736" i="2"/>
  <c r="J735" i="2"/>
  <c r="W735" i="2"/>
  <c r="X735" i="2" s="1"/>
  <c r="AD735" i="2"/>
  <c r="L735" i="2" s="1"/>
  <c r="I735" i="2" l="1"/>
  <c r="D736" i="2"/>
  <c r="E736" i="2" s="1"/>
  <c r="T736" i="2" s="1"/>
  <c r="K735" i="2"/>
  <c r="V736" i="2" l="1"/>
  <c r="N735" i="2"/>
  <c r="O735" i="2" l="1"/>
  <c r="R735" i="2" s="1"/>
  <c r="M735" i="2"/>
  <c r="P735" i="2" s="1"/>
  <c r="AG735" i="2" l="1"/>
  <c r="Q735" i="2"/>
  <c r="S735" i="2" s="1"/>
  <c r="Z735" i="2" s="1"/>
  <c r="Y735" i="2" l="1"/>
  <c r="AA735" i="2" s="1"/>
  <c r="AB736" i="2" l="1"/>
  <c r="B737" i="2" l="1"/>
  <c r="G736" i="2"/>
  <c r="H736" i="2" s="1"/>
  <c r="AC736" i="2"/>
  <c r="F736" i="2"/>
  <c r="U736" i="2"/>
  <c r="AE736" i="2"/>
  <c r="AD736" i="2" s="1"/>
  <c r="L736" i="2" s="1"/>
  <c r="W736" i="2" l="1"/>
  <c r="X736" i="2" s="1"/>
  <c r="J736" i="2"/>
  <c r="C737" i="2"/>
  <c r="D737" i="2" s="1"/>
  <c r="E737" i="2" s="1"/>
  <c r="T737" i="2" s="1"/>
  <c r="AF737" i="2"/>
  <c r="I736" i="2" l="1"/>
  <c r="K736" i="2"/>
  <c r="V737" i="2"/>
  <c r="N736" i="2" l="1"/>
  <c r="O736" i="2" s="1"/>
  <c r="Q736" i="2" s="1"/>
  <c r="M736" i="2" l="1"/>
  <c r="R736" i="2"/>
  <c r="S736" i="2" s="1"/>
  <c r="Y736" i="2" s="1"/>
  <c r="AA736" i="2" s="1"/>
  <c r="P736" i="2" l="1"/>
  <c r="AG736" i="2" s="1"/>
  <c r="Z736" i="2"/>
  <c r="AB737" i="2"/>
  <c r="B738" i="2" l="1"/>
  <c r="G737" i="2"/>
  <c r="H737" i="2" s="1"/>
  <c r="F737" i="2"/>
  <c r="AE737" i="2"/>
  <c r="AC737" i="2"/>
  <c r="U737" i="2"/>
  <c r="J737" i="2" l="1"/>
  <c r="W737" i="2"/>
  <c r="X737" i="2" s="1"/>
  <c r="AF738" i="2"/>
  <c r="C738" i="2"/>
  <c r="AD737" i="2"/>
  <c r="L737" i="2" s="1"/>
  <c r="I737" i="2" l="1"/>
  <c r="D738" i="2"/>
  <c r="E738" i="2" s="1"/>
  <c r="T738" i="2" s="1"/>
  <c r="K737" i="2"/>
  <c r="N737" i="2" l="1"/>
  <c r="M737" i="2" s="1"/>
  <c r="P737" i="2" s="1"/>
  <c r="V738" i="2"/>
  <c r="AG737" i="2" l="1"/>
  <c r="O737" i="2"/>
  <c r="R737" i="2" s="1"/>
  <c r="Q737" i="2" l="1"/>
  <c r="S737" i="2" s="1"/>
  <c r="Y737" i="2" s="1"/>
  <c r="AA737" i="2" s="1"/>
  <c r="Z737" i="2" l="1"/>
  <c r="AB738" i="2"/>
  <c r="B739" i="2" l="1"/>
  <c r="G738" i="2"/>
  <c r="H738" i="2" s="1"/>
  <c r="F738" i="2"/>
  <c r="AC738" i="2"/>
  <c r="AE738" i="2"/>
  <c r="U738" i="2"/>
  <c r="J738" i="2" l="1"/>
  <c r="W738" i="2"/>
  <c r="X738" i="2" s="1"/>
  <c r="AD738" i="2"/>
  <c r="L738" i="2" s="1"/>
  <c r="C739" i="2"/>
  <c r="AF739" i="2"/>
  <c r="K738" i="2" l="1"/>
  <c r="D739" i="2"/>
  <c r="E739" i="2" s="1"/>
  <c r="T739" i="2" s="1"/>
  <c r="I738" i="2"/>
  <c r="N738" i="2" l="1"/>
  <c r="V739" i="2"/>
  <c r="O738" i="2" l="1"/>
  <c r="R738" i="2" s="1"/>
  <c r="M738" i="2"/>
  <c r="P738" i="2" s="1"/>
  <c r="AG738" i="2" l="1"/>
  <c r="Q738" i="2"/>
  <c r="S738" i="2" s="1"/>
  <c r="Z738" i="2" s="1"/>
  <c r="Y738" i="2" l="1"/>
  <c r="AA738" i="2" s="1"/>
  <c r="AB739" i="2" s="1"/>
  <c r="B740" i="2" l="1"/>
  <c r="G739" i="2"/>
  <c r="H739" i="2" s="1"/>
  <c r="F739" i="2"/>
  <c r="AE739" i="2"/>
  <c r="AC739" i="2"/>
  <c r="U739" i="2"/>
  <c r="AD739" i="2" l="1"/>
  <c r="L739" i="2" s="1"/>
  <c r="AF740" i="2"/>
  <c r="C740" i="2"/>
  <c r="J739" i="2"/>
  <c r="W739" i="2"/>
  <c r="X739" i="2" s="1"/>
  <c r="I739" i="2" l="1"/>
  <c r="K739" i="2"/>
  <c r="D740" i="2"/>
  <c r="E740" i="2" s="1"/>
  <c r="T740" i="2" s="1"/>
  <c r="V740" i="2" l="1"/>
  <c r="N739" i="2"/>
  <c r="O739" i="2" l="1"/>
  <c r="R739" i="2" s="1"/>
  <c r="M739" i="2"/>
  <c r="P739" i="2" s="1"/>
  <c r="AG739" i="2" l="1"/>
  <c r="Q739" i="2"/>
  <c r="S739" i="2" s="1"/>
  <c r="Y739" i="2" s="1"/>
  <c r="AA739" i="2" s="1"/>
  <c r="Z739" i="2" l="1"/>
  <c r="AB740" i="2"/>
  <c r="B741" i="2" l="1"/>
  <c r="G740" i="2"/>
  <c r="H740" i="2" s="1"/>
  <c r="F740" i="2"/>
  <c r="AE740" i="2"/>
  <c r="AC740" i="2"/>
  <c r="U740" i="2"/>
  <c r="J740" i="2" l="1"/>
  <c r="W740" i="2"/>
  <c r="X740" i="2" s="1"/>
  <c r="AF741" i="2"/>
  <c r="C741" i="2"/>
  <c r="AD740" i="2"/>
  <c r="L740" i="2" s="1"/>
  <c r="K740" i="2" l="1"/>
  <c r="I740" i="2"/>
  <c r="D741" i="2"/>
  <c r="E741" i="2" s="1"/>
  <c r="T741" i="2" s="1"/>
  <c r="N740" i="2" l="1"/>
  <c r="V741" i="2"/>
  <c r="O740" i="2" l="1"/>
  <c r="Q740" i="2" s="1"/>
  <c r="M740" i="2"/>
  <c r="P740" i="2" s="1"/>
  <c r="AG740" i="2" l="1"/>
  <c r="R740" i="2"/>
  <c r="S740" i="2" s="1"/>
  <c r="Y740" i="2" l="1"/>
  <c r="AA740" i="2" s="1"/>
  <c r="Z740" i="2"/>
  <c r="AB741" i="2" l="1"/>
  <c r="B742" i="2" l="1"/>
  <c r="G741" i="2"/>
  <c r="H741" i="2" s="1"/>
  <c r="AE741" i="2"/>
  <c r="AD741" i="2" s="1"/>
  <c r="L741" i="2" s="1"/>
  <c r="AC741" i="2"/>
  <c r="U741" i="2"/>
  <c r="F741" i="2"/>
  <c r="J741" i="2" s="1"/>
  <c r="AF742" i="2" l="1"/>
  <c r="C742" i="2"/>
  <c r="D742" i="2" s="1"/>
  <c r="E742" i="2" s="1"/>
  <c r="T742" i="2" s="1"/>
  <c r="W741" i="2"/>
  <c r="X741" i="2" s="1"/>
  <c r="K741" i="2"/>
  <c r="I741" i="2"/>
  <c r="N741" i="2" l="1"/>
  <c r="V742" i="2"/>
  <c r="O741" i="2" l="1"/>
  <c r="Q741" i="2" s="1"/>
  <c r="M741" i="2"/>
  <c r="P741" i="2" s="1"/>
  <c r="AG741" i="2" l="1"/>
  <c r="R741" i="2"/>
  <c r="S741" i="2" s="1"/>
  <c r="Y741" i="2" s="1"/>
  <c r="AA741" i="2" s="1"/>
  <c r="Z741" i="2" l="1"/>
  <c r="AB742" i="2"/>
  <c r="B743" i="2" l="1"/>
  <c r="G742" i="2"/>
  <c r="H742" i="2" s="1"/>
  <c r="F742" i="2"/>
  <c r="AE742" i="2"/>
  <c r="AC742" i="2"/>
  <c r="U742" i="2"/>
  <c r="J742" i="2" l="1"/>
  <c r="W742" i="2"/>
  <c r="X742" i="2" s="1"/>
  <c r="AF743" i="2"/>
  <c r="C743" i="2"/>
  <c r="AD742" i="2"/>
  <c r="L742" i="2" s="1"/>
  <c r="K742" i="2" l="1"/>
  <c r="I742" i="2"/>
  <c r="D743" i="2"/>
  <c r="E743" i="2" s="1"/>
  <c r="T743" i="2" s="1"/>
  <c r="N742" i="2" l="1"/>
  <c r="M742" i="2" s="1"/>
  <c r="P742" i="2" s="1"/>
  <c r="V743" i="2"/>
  <c r="AG742" i="2" l="1"/>
  <c r="O742" i="2"/>
  <c r="R742" i="2" s="1"/>
  <c r="Q742" i="2" l="1"/>
  <c r="S742" i="2" s="1"/>
  <c r="Y742" i="2" s="1"/>
  <c r="AA742" i="2" s="1"/>
  <c r="Z742" i="2" l="1"/>
  <c r="AB743" i="2"/>
  <c r="B744" i="2" l="1"/>
  <c r="G743" i="2"/>
  <c r="H743" i="2" s="1"/>
  <c r="F743" i="2"/>
  <c r="AC743" i="2"/>
  <c r="AE743" i="2"/>
  <c r="U743" i="2"/>
  <c r="AD743" i="2" l="1"/>
  <c r="L743" i="2" s="1"/>
  <c r="AF744" i="2"/>
  <c r="C744" i="2"/>
  <c r="J743" i="2"/>
  <c r="W743" i="2"/>
  <c r="X743" i="2" s="1"/>
  <c r="D744" i="2" l="1"/>
  <c r="E744" i="2" s="1"/>
  <c r="T744" i="2" s="1"/>
  <c r="K743" i="2"/>
  <c r="I743" i="2"/>
  <c r="N743" i="2" l="1"/>
  <c r="V744" i="2"/>
  <c r="O743" i="2" l="1"/>
  <c r="R743" i="2" s="1"/>
  <c r="M743" i="2"/>
  <c r="P743" i="2" s="1"/>
  <c r="AG743" i="2" l="1"/>
  <c r="Q743" i="2"/>
  <c r="S743" i="2" s="1"/>
  <c r="Z743" i="2" s="1"/>
  <c r="Y743" i="2" l="1"/>
  <c r="AA743" i="2" s="1"/>
  <c r="AB744" i="2" s="1"/>
  <c r="B745" i="2" l="1"/>
  <c r="G744" i="2"/>
  <c r="H744" i="2" s="1"/>
  <c r="F744" i="2"/>
  <c r="AC744" i="2"/>
  <c r="AE744" i="2"/>
  <c r="U744" i="2"/>
  <c r="AD744" i="2" l="1"/>
  <c r="L744" i="2" s="1"/>
  <c r="AF745" i="2"/>
  <c r="C745" i="2"/>
  <c r="J744" i="2"/>
  <c r="W744" i="2"/>
  <c r="X744" i="2" s="1"/>
  <c r="I744" i="2" l="1"/>
  <c r="K744" i="2"/>
  <c r="D745" i="2"/>
  <c r="E745" i="2" s="1"/>
  <c r="T745" i="2" s="1"/>
  <c r="N744" i="2" l="1"/>
  <c r="M744" i="2" s="1"/>
  <c r="P744" i="2" s="1"/>
  <c r="V745" i="2"/>
  <c r="AG744" i="2" l="1"/>
  <c r="O744" i="2"/>
  <c r="R744" i="2" s="1"/>
  <c r="Q744" i="2" l="1"/>
  <c r="S744" i="2" s="1"/>
  <c r="Y744" i="2" s="1"/>
  <c r="AA744" i="2" s="1"/>
  <c r="Z744" i="2" l="1"/>
  <c r="AB745" i="2"/>
  <c r="B746" i="2" l="1"/>
  <c r="G745" i="2"/>
  <c r="H745" i="2" s="1"/>
  <c r="F745" i="2"/>
  <c r="AE745" i="2"/>
  <c r="AC745" i="2"/>
  <c r="U745" i="2"/>
  <c r="J745" i="2" l="1"/>
  <c r="W745" i="2"/>
  <c r="X745" i="2" s="1"/>
  <c r="AD745" i="2"/>
  <c r="L745" i="2" s="1"/>
  <c r="AF746" i="2"/>
  <c r="C746" i="2"/>
  <c r="I745" i="2" l="1"/>
  <c r="D746" i="2"/>
  <c r="E746" i="2" s="1"/>
  <c r="T746" i="2" s="1"/>
  <c r="K745" i="2"/>
  <c r="V746" i="2" l="1"/>
  <c r="N745" i="2"/>
  <c r="O745" i="2" l="1"/>
  <c r="R745" i="2" s="1"/>
  <c r="M745" i="2"/>
  <c r="P745" i="2" s="1"/>
  <c r="AG745" i="2" l="1"/>
  <c r="Q745" i="2"/>
  <c r="S745" i="2" s="1"/>
  <c r="Y745" i="2" s="1"/>
  <c r="AA745" i="2" s="1"/>
  <c r="Z745" i="2" l="1"/>
  <c r="AB746" i="2"/>
  <c r="B747" i="2" l="1"/>
  <c r="G746" i="2"/>
  <c r="H746" i="2" s="1"/>
  <c r="F746" i="2"/>
  <c r="AE746" i="2"/>
  <c r="AC746" i="2"/>
  <c r="U746" i="2"/>
  <c r="J746" i="2" l="1"/>
  <c r="W746" i="2"/>
  <c r="X746" i="2" s="1"/>
  <c r="AF747" i="2"/>
  <c r="C747" i="2"/>
  <c r="AD746" i="2"/>
  <c r="L746" i="2" s="1"/>
  <c r="K746" i="2" l="1"/>
  <c r="I746" i="2"/>
  <c r="D747" i="2"/>
  <c r="E747" i="2" s="1"/>
  <c r="T747" i="2" s="1"/>
  <c r="N746" i="2" l="1"/>
  <c r="V747" i="2"/>
  <c r="O746" i="2" l="1"/>
  <c r="R746" i="2" s="1"/>
  <c r="M746" i="2"/>
  <c r="P746" i="2" s="1"/>
  <c r="AG746" i="2" l="1"/>
  <c r="Q746" i="2"/>
  <c r="S746" i="2" s="1"/>
  <c r="Y746" i="2" s="1"/>
  <c r="AA746" i="2" s="1"/>
  <c r="Z746" i="2" l="1"/>
  <c r="AB747" i="2"/>
  <c r="B748" i="2" l="1"/>
  <c r="G747" i="2"/>
  <c r="H747" i="2" s="1"/>
  <c r="F747" i="2"/>
  <c r="AC747" i="2"/>
  <c r="AE747" i="2"/>
  <c r="U747" i="2"/>
  <c r="AD747" i="2" l="1"/>
  <c r="L747" i="2" s="1"/>
  <c r="AF748" i="2"/>
  <c r="C748" i="2"/>
  <c r="J747" i="2"/>
  <c r="W747" i="2"/>
  <c r="X747" i="2" s="1"/>
  <c r="I747" i="2" l="1"/>
  <c r="K747" i="2"/>
  <c r="D748" i="2"/>
  <c r="E748" i="2" s="1"/>
  <c r="T748" i="2" s="1"/>
  <c r="V748" i="2" l="1"/>
  <c r="N747" i="2"/>
  <c r="O747" i="2" l="1"/>
  <c r="R747" i="2" s="1"/>
  <c r="M747" i="2"/>
  <c r="P747" i="2" s="1"/>
  <c r="AG747" i="2" l="1"/>
  <c r="Q747" i="2"/>
  <c r="S747" i="2" s="1"/>
  <c r="Y747" i="2" s="1"/>
  <c r="AA747" i="2" s="1"/>
  <c r="Z747" i="2" l="1"/>
  <c r="AB748" i="2"/>
  <c r="B749" i="2" l="1"/>
  <c r="G748" i="2"/>
  <c r="H748" i="2" s="1"/>
  <c r="F748" i="2"/>
  <c r="AE748" i="2"/>
  <c r="AC748" i="2"/>
  <c r="U748" i="2"/>
  <c r="J748" i="2" l="1"/>
  <c r="W748" i="2"/>
  <c r="X748" i="2" s="1"/>
  <c r="AF749" i="2"/>
  <c r="C749" i="2"/>
  <c r="AD748" i="2"/>
  <c r="L748" i="2" s="1"/>
  <c r="K748" i="2" l="1"/>
  <c r="I748" i="2"/>
  <c r="D749" i="2"/>
  <c r="E749" i="2" s="1"/>
  <c r="T749" i="2" s="1"/>
  <c r="N748" i="2" l="1"/>
  <c r="V749" i="2"/>
  <c r="O748" i="2" l="1"/>
  <c r="Q748" i="2" s="1"/>
  <c r="M748" i="2"/>
  <c r="P748" i="2" s="1"/>
  <c r="AG748" i="2" l="1"/>
  <c r="R748" i="2"/>
  <c r="S748" i="2" s="1"/>
  <c r="Z748" i="2" s="1"/>
  <c r="Y748" i="2" l="1"/>
  <c r="AA748" i="2" s="1"/>
  <c r="AB749" i="2" l="1"/>
  <c r="B750" i="2" l="1"/>
  <c r="G749" i="2"/>
  <c r="H749" i="2" s="1"/>
  <c r="AC749" i="2"/>
  <c r="F749" i="2"/>
  <c r="U749" i="2"/>
  <c r="AE749" i="2"/>
  <c r="AD749" i="2" s="1"/>
  <c r="L749" i="2" s="1"/>
  <c r="W749" i="2" l="1"/>
  <c r="X749" i="2" s="1"/>
  <c r="J749" i="2"/>
  <c r="C750" i="2"/>
  <c r="D750" i="2" s="1"/>
  <c r="E750" i="2" s="1"/>
  <c r="T750" i="2" s="1"/>
  <c r="AF750" i="2"/>
  <c r="I749" i="2" l="1"/>
  <c r="K749" i="2"/>
  <c r="V750" i="2"/>
  <c r="N749" i="2" l="1"/>
  <c r="O749" i="2" s="1"/>
  <c r="R749" i="2" s="1"/>
  <c r="M749" i="2" l="1"/>
  <c r="Q749" i="2"/>
  <c r="S749" i="2" s="1"/>
  <c r="Y749" i="2" s="1"/>
  <c r="AA749" i="2" s="1"/>
  <c r="P749" i="2" l="1"/>
  <c r="AG749" i="2" s="1"/>
  <c r="Z749" i="2"/>
  <c r="AB750" i="2"/>
  <c r="B751" i="2" l="1"/>
  <c r="G750" i="2"/>
  <c r="H750" i="2" s="1"/>
  <c r="F750" i="2"/>
  <c r="AC750" i="2"/>
  <c r="AE750" i="2"/>
  <c r="U750" i="2"/>
  <c r="J750" i="2" l="1"/>
  <c r="W750" i="2"/>
  <c r="X750" i="2" s="1"/>
  <c r="AD750" i="2"/>
  <c r="L750" i="2" s="1"/>
  <c r="C751" i="2"/>
  <c r="AF751" i="2"/>
  <c r="D751" i="2" l="1"/>
  <c r="E751" i="2" s="1"/>
  <c r="T751" i="2" s="1"/>
  <c r="K750" i="2"/>
  <c r="I750" i="2"/>
  <c r="N750" i="2" l="1"/>
  <c r="M750" i="2" s="1"/>
  <c r="P750" i="2" s="1"/>
  <c r="V751" i="2"/>
  <c r="AG750" i="2" l="1"/>
  <c r="O750" i="2"/>
  <c r="R750" i="2" s="1"/>
  <c r="Q750" i="2" l="1"/>
  <c r="S750" i="2" s="1"/>
  <c r="Y750" i="2" s="1"/>
  <c r="AA750" i="2" s="1"/>
  <c r="Z750" i="2" l="1"/>
  <c r="AB751" i="2"/>
  <c r="B752" i="2" l="1"/>
  <c r="G751" i="2"/>
  <c r="H751" i="2" s="1"/>
  <c r="F751" i="2"/>
  <c r="AE751" i="2"/>
  <c r="AC751" i="2"/>
  <c r="U751" i="2"/>
  <c r="J751" i="2" l="1"/>
  <c r="W751" i="2"/>
  <c r="X751" i="2" s="1"/>
  <c r="AF752" i="2"/>
  <c r="C752" i="2"/>
  <c r="AD751" i="2"/>
  <c r="L751" i="2" s="1"/>
  <c r="K751" i="2" l="1"/>
  <c r="D752" i="2"/>
  <c r="E752" i="2" s="1"/>
  <c r="T752" i="2" s="1"/>
  <c r="I751" i="2"/>
  <c r="N751" i="2" l="1"/>
  <c r="V752" i="2"/>
  <c r="O751" i="2" l="1"/>
  <c r="Q751" i="2" s="1"/>
  <c r="M751" i="2"/>
  <c r="P751" i="2" s="1"/>
  <c r="AG751" i="2" l="1"/>
  <c r="R751" i="2"/>
  <c r="S751" i="2" s="1"/>
  <c r="Z751" i="2" s="1"/>
  <c r="Y751" i="2" l="1"/>
  <c r="AA751" i="2" s="1"/>
  <c r="AB752" i="2" l="1"/>
  <c r="B753" i="2" l="1"/>
  <c r="G752" i="2"/>
  <c r="H752" i="2" s="1"/>
  <c r="F752" i="2"/>
  <c r="J752" i="2" s="1"/>
  <c r="AE752" i="2"/>
  <c r="AD752" i="2" s="1"/>
  <c r="L752" i="2" s="1"/>
  <c r="U752" i="2"/>
  <c r="AC752" i="2"/>
  <c r="I752" i="2" l="1"/>
  <c r="W752" i="2"/>
  <c r="X752" i="2" s="1"/>
  <c r="AF753" i="2"/>
  <c r="C753" i="2"/>
  <c r="D753" i="2" s="1"/>
  <c r="E753" i="2" s="1"/>
  <c r="T753" i="2" s="1"/>
  <c r="K752" i="2"/>
  <c r="N752" i="2" l="1"/>
  <c r="M752" i="2" s="1"/>
  <c r="P752" i="2" s="1"/>
  <c r="V753" i="2"/>
  <c r="AG752" i="2" l="1"/>
  <c r="O752" i="2"/>
  <c r="Q752" i="2" s="1"/>
  <c r="R752" i="2" l="1"/>
  <c r="S752" i="2" s="1"/>
  <c r="Y752" i="2" s="1"/>
  <c r="AA752" i="2" s="1"/>
  <c r="Z752" i="2" l="1"/>
  <c r="AB753" i="2"/>
  <c r="B754" i="2" l="1"/>
  <c r="G753" i="2"/>
  <c r="H753" i="2" s="1"/>
  <c r="F753" i="2"/>
  <c r="AC753" i="2"/>
  <c r="AE753" i="2"/>
  <c r="U753" i="2"/>
  <c r="AD753" i="2" l="1"/>
  <c r="L753" i="2" s="1"/>
  <c r="J753" i="2"/>
  <c r="W753" i="2"/>
  <c r="X753" i="2" s="1"/>
  <c r="AF754" i="2"/>
  <c r="C754" i="2"/>
  <c r="I753" i="2" l="1"/>
  <c r="K753" i="2"/>
  <c r="D754" i="2"/>
  <c r="E754" i="2" s="1"/>
  <c r="T754" i="2" s="1"/>
  <c r="N753" i="2" l="1"/>
  <c r="M753" i="2" s="1"/>
  <c r="P753" i="2" s="1"/>
  <c r="V754" i="2"/>
  <c r="AG753" i="2" l="1"/>
  <c r="O753" i="2"/>
  <c r="Q753" i="2" s="1"/>
  <c r="R753" i="2" l="1"/>
  <c r="S753" i="2" s="1"/>
  <c r="Y753" i="2" l="1"/>
  <c r="AA753" i="2" s="1"/>
  <c r="Z753" i="2"/>
  <c r="AB754" i="2" l="1"/>
  <c r="B755" i="2" l="1"/>
  <c r="G754" i="2"/>
  <c r="H754" i="2" s="1"/>
  <c r="AE754" i="2"/>
  <c r="AD754" i="2" s="1"/>
  <c r="L754" i="2" s="1"/>
  <c r="AC754" i="2"/>
  <c r="F754" i="2"/>
  <c r="J754" i="2" s="1"/>
  <c r="U754" i="2"/>
  <c r="W754" i="2" l="1"/>
  <c r="X754" i="2" s="1"/>
  <c r="AF755" i="2"/>
  <c r="C755" i="2"/>
  <c r="D755" i="2" s="1"/>
  <c r="E755" i="2" s="1"/>
  <c r="T755" i="2" s="1"/>
  <c r="K754" i="2"/>
  <c r="I754" i="2"/>
  <c r="N754" i="2" l="1"/>
  <c r="V755" i="2"/>
  <c r="O754" i="2" l="1"/>
  <c r="R754" i="2" s="1"/>
  <c r="M754" i="2"/>
  <c r="P754" i="2" s="1"/>
  <c r="AG754" i="2" l="1"/>
  <c r="Q754" i="2"/>
  <c r="S754" i="2" s="1"/>
  <c r="Z754" i="2" s="1"/>
  <c r="Y754" i="2" l="1"/>
  <c r="AA754" i="2" s="1"/>
  <c r="AB755" i="2" s="1"/>
  <c r="B756" i="2" l="1"/>
  <c r="G755" i="2"/>
  <c r="H755" i="2" s="1"/>
  <c r="F755" i="2"/>
  <c r="AC755" i="2"/>
  <c r="AE755" i="2"/>
  <c r="U755" i="2"/>
  <c r="J755" i="2" l="1"/>
  <c r="W755" i="2"/>
  <c r="X755" i="2" s="1"/>
  <c r="AD755" i="2"/>
  <c r="L755" i="2" s="1"/>
  <c r="C756" i="2"/>
  <c r="AF756" i="2"/>
  <c r="I755" i="2" l="1"/>
  <c r="D756" i="2"/>
  <c r="E756" i="2" s="1"/>
  <c r="T756" i="2" s="1"/>
  <c r="K755" i="2"/>
  <c r="V756" i="2" l="1"/>
  <c r="N755" i="2"/>
  <c r="O755" i="2" l="1"/>
  <c r="R755" i="2" s="1"/>
  <c r="M755" i="2"/>
  <c r="P755" i="2" s="1"/>
  <c r="AG755" i="2" l="1"/>
  <c r="Q755" i="2"/>
  <c r="S755" i="2" s="1"/>
  <c r="Y755" i="2" s="1"/>
  <c r="AA755" i="2" s="1"/>
  <c r="Z755" i="2" l="1"/>
  <c r="AB756" i="2"/>
  <c r="B757" i="2" l="1"/>
  <c r="G756" i="2"/>
  <c r="H756" i="2" s="1"/>
  <c r="F756" i="2"/>
  <c r="AC756" i="2"/>
  <c r="AE756" i="2"/>
  <c r="U756" i="2"/>
  <c r="AD756" i="2" l="1"/>
  <c r="L756" i="2" s="1"/>
  <c r="AF757" i="2"/>
  <c r="C757" i="2"/>
  <c r="J756" i="2"/>
  <c r="W756" i="2"/>
  <c r="X756" i="2" s="1"/>
  <c r="K756" i="2" l="1"/>
  <c r="I756" i="2"/>
  <c r="D757" i="2"/>
  <c r="E757" i="2" s="1"/>
  <c r="T757" i="2" s="1"/>
  <c r="N756" i="2" l="1"/>
  <c r="V757" i="2"/>
  <c r="O756" i="2" l="1"/>
  <c r="R756" i="2" s="1"/>
  <c r="M756" i="2"/>
  <c r="P756" i="2" s="1"/>
  <c r="AG756" i="2" l="1"/>
  <c r="Q756" i="2"/>
  <c r="S756" i="2" s="1"/>
  <c r="Y756" i="2" s="1"/>
  <c r="AA756" i="2" s="1"/>
  <c r="Z756" i="2" l="1"/>
  <c r="AB757" i="2"/>
  <c r="B758" i="2" l="1"/>
  <c r="G757" i="2"/>
  <c r="H757" i="2" s="1"/>
  <c r="F757" i="2"/>
  <c r="AE757" i="2"/>
  <c r="AC757" i="2"/>
  <c r="U757" i="2"/>
  <c r="AF758" i="2" l="1"/>
  <c r="C758" i="2"/>
  <c r="AD757" i="2"/>
  <c r="L757" i="2" s="1"/>
  <c r="J757" i="2"/>
  <c r="W757" i="2"/>
  <c r="X757" i="2" s="1"/>
  <c r="I757" i="2" l="1"/>
  <c r="K757" i="2"/>
  <c r="D758" i="2"/>
  <c r="E758" i="2" s="1"/>
  <c r="T758" i="2" s="1"/>
  <c r="V758" i="2" l="1"/>
  <c r="N757" i="2"/>
  <c r="O757" i="2" l="1"/>
  <c r="R757" i="2" s="1"/>
  <c r="M757" i="2"/>
  <c r="P757" i="2" s="1"/>
  <c r="AG757" i="2" l="1"/>
  <c r="Q757" i="2"/>
  <c r="S757" i="2" s="1"/>
  <c r="Y757" i="2" s="1"/>
  <c r="AA757" i="2" s="1"/>
  <c r="Z757" i="2" l="1"/>
  <c r="AB758" i="2"/>
  <c r="B759" i="2" l="1"/>
  <c r="G758" i="2"/>
  <c r="H758" i="2" s="1"/>
  <c r="F758" i="2"/>
  <c r="AC758" i="2"/>
  <c r="AE758" i="2"/>
  <c r="U758" i="2"/>
  <c r="AF759" i="2" l="1"/>
  <c r="C759" i="2"/>
  <c r="AD758" i="2"/>
  <c r="L758" i="2" s="1"/>
  <c r="J758" i="2"/>
  <c r="W758" i="2"/>
  <c r="X758" i="2" s="1"/>
  <c r="I758" i="2" l="1"/>
  <c r="K758" i="2"/>
  <c r="D759" i="2"/>
  <c r="E759" i="2" s="1"/>
  <c r="T759" i="2" s="1"/>
  <c r="V759" i="2" l="1"/>
  <c r="N758" i="2"/>
  <c r="O758" i="2" l="1"/>
  <c r="R758" i="2" s="1"/>
  <c r="M758" i="2"/>
  <c r="P758" i="2" s="1"/>
  <c r="AG758" i="2" l="1"/>
  <c r="Q758" i="2"/>
  <c r="S758" i="2" s="1"/>
  <c r="Y758" i="2" s="1"/>
  <c r="AA758" i="2" s="1"/>
  <c r="Z758" i="2" l="1"/>
  <c r="AB759" i="2"/>
  <c r="B760" i="2" l="1"/>
  <c r="G759" i="2"/>
  <c r="H759" i="2" s="1"/>
  <c r="F759" i="2"/>
  <c r="AE759" i="2"/>
  <c r="AC759" i="2"/>
  <c r="U759" i="2"/>
  <c r="C760" i="2" l="1"/>
  <c r="AF760" i="2"/>
  <c r="AD759" i="2"/>
  <c r="L759" i="2" s="1"/>
  <c r="J759" i="2"/>
  <c r="W759" i="2"/>
  <c r="X759" i="2" s="1"/>
  <c r="K759" i="2" l="1"/>
  <c r="I759" i="2"/>
  <c r="D760" i="2"/>
  <c r="E760" i="2" s="1"/>
  <c r="T760" i="2" s="1"/>
  <c r="N759" i="2" l="1"/>
  <c r="V760" i="2"/>
  <c r="O759" i="2" l="1"/>
  <c r="R759" i="2" s="1"/>
  <c r="M759" i="2"/>
  <c r="P759" i="2" s="1"/>
  <c r="AG759" i="2" l="1"/>
  <c r="Q759" i="2"/>
  <c r="S759" i="2" s="1"/>
  <c r="Z759" i="2" s="1"/>
  <c r="Y759" i="2" l="1"/>
  <c r="AA759" i="2" s="1"/>
  <c r="AB760" i="2" s="1"/>
  <c r="B761" i="2" l="1"/>
  <c r="G760" i="2"/>
  <c r="H760" i="2" s="1"/>
  <c r="F760" i="2"/>
  <c r="AE760" i="2"/>
  <c r="AC760" i="2"/>
  <c r="U760" i="2"/>
  <c r="J760" i="2" l="1"/>
  <c r="W760" i="2"/>
  <c r="X760" i="2" s="1"/>
  <c r="AD760" i="2"/>
  <c r="L760" i="2" s="1"/>
  <c r="AF761" i="2"/>
  <c r="C761" i="2"/>
  <c r="D761" i="2" l="1"/>
  <c r="E761" i="2" s="1"/>
  <c r="T761" i="2" s="1"/>
  <c r="K760" i="2"/>
  <c r="I760" i="2"/>
  <c r="N760" i="2" l="1"/>
  <c r="M760" i="2" s="1"/>
  <c r="P760" i="2" s="1"/>
  <c r="V761" i="2"/>
  <c r="AG760" i="2" l="1"/>
  <c r="O760" i="2"/>
  <c r="R760" i="2" s="1"/>
  <c r="Q760" i="2" l="1"/>
  <c r="S760" i="2" s="1"/>
  <c r="Y760" i="2" s="1"/>
  <c r="AA760" i="2" s="1"/>
  <c r="Z760" i="2" l="1"/>
  <c r="AB761" i="2"/>
  <c r="B762" i="2" l="1"/>
  <c r="G761" i="2"/>
  <c r="H761" i="2" s="1"/>
  <c r="F761" i="2"/>
  <c r="AC761" i="2"/>
  <c r="AE761" i="2"/>
  <c r="U761" i="2"/>
  <c r="AD761" i="2" l="1"/>
  <c r="L761" i="2" s="1"/>
  <c r="J761" i="2"/>
  <c r="W761" i="2"/>
  <c r="X761" i="2" s="1"/>
  <c r="AF762" i="2"/>
  <c r="C762" i="2"/>
  <c r="K761" i="2" l="1"/>
  <c r="I761" i="2"/>
  <c r="D762" i="2"/>
  <c r="E762" i="2" s="1"/>
  <c r="T762" i="2" s="1"/>
  <c r="N761" i="2" l="1"/>
  <c r="V762" i="2"/>
  <c r="O761" i="2" l="1"/>
  <c r="R761" i="2" s="1"/>
  <c r="M761" i="2"/>
  <c r="P761" i="2" s="1"/>
  <c r="AG761" i="2" l="1"/>
  <c r="Q761" i="2"/>
  <c r="S761" i="2" s="1"/>
  <c r="Y761" i="2" s="1"/>
  <c r="AA761" i="2" s="1"/>
  <c r="Z761" i="2" l="1"/>
  <c r="AB762" i="2"/>
  <c r="B763" i="2" l="1"/>
  <c r="G762" i="2"/>
  <c r="H762" i="2" s="1"/>
  <c r="F762" i="2"/>
  <c r="AE762" i="2"/>
  <c r="AC762" i="2"/>
  <c r="U762" i="2"/>
  <c r="J762" i="2" l="1"/>
  <c r="W762" i="2"/>
  <c r="X762" i="2" s="1"/>
  <c r="AF763" i="2"/>
  <c r="C763" i="2"/>
  <c r="AD762" i="2"/>
  <c r="L762" i="2" s="1"/>
  <c r="K762" i="2" l="1"/>
  <c r="D763" i="2"/>
  <c r="E763" i="2" s="1"/>
  <c r="T763" i="2" s="1"/>
  <c r="I762" i="2"/>
  <c r="N762" i="2" l="1"/>
  <c r="M762" i="2" s="1"/>
  <c r="P762" i="2" s="1"/>
  <c r="V763" i="2"/>
  <c r="AG762" i="2" l="1"/>
  <c r="O762" i="2"/>
  <c r="R762" i="2" s="1"/>
  <c r="Q762" i="2" l="1"/>
  <c r="S762" i="2" s="1"/>
  <c r="Y762" i="2" s="1"/>
  <c r="AA762" i="2" s="1"/>
  <c r="Z762" i="2" l="1"/>
  <c r="AB763" i="2"/>
  <c r="B764" i="2" l="1"/>
  <c r="G763" i="2"/>
  <c r="H763" i="2" s="1"/>
  <c r="F763" i="2"/>
  <c r="AC763" i="2"/>
  <c r="AE763" i="2"/>
  <c r="U763" i="2"/>
  <c r="AD763" i="2" l="1"/>
  <c r="L763" i="2" s="1"/>
  <c r="AF764" i="2"/>
  <c r="C764" i="2"/>
  <c r="J763" i="2"/>
  <c r="W763" i="2"/>
  <c r="X763" i="2" s="1"/>
  <c r="K763" i="2" l="1"/>
  <c r="I763" i="2"/>
  <c r="D764" i="2"/>
  <c r="E764" i="2" s="1"/>
  <c r="T764" i="2" s="1"/>
  <c r="N763" i="2" l="1"/>
  <c r="V764" i="2"/>
  <c r="O763" i="2" l="1"/>
  <c r="R763" i="2" s="1"/>
  <c r="M763" i="2"/>
  <c r="P763" i="2" s="1"/>
  <c r="AG763" i="2" l="1"/>
  <c r="Q763" i="2"/>
  <c r="S763" i="2" s="1"/>
  <c r="Z763" i="2" s="1"/>
  <c r="Y763" i="2" l="1"/>
  <c r="AA763" i="2" s="1"/>
  <c r="AB764" i="2" s="1"/>
  <c r="B765" i="2" l="1"/>
  <c r="G764" i="2"/>
  <c r="H764" i="2" s="1"/>
  <c r="F764" i="2"/>
  <c r="AC764" i="2"/>
  <c r="AE764" i="2"/>
  <c r="U764" i="2"/>
  <c r="AD764" i="2" l="1"/>
  <c r="L764" i="2" s="1"/>
  <c r="C765" i="2"/>
  <c r="AF765" i="2"/>
  <c r="J764" i="2"/>
  <c r="W764" i="2"/>
  <c r="X764" i="2" s="1"/>
  <c r="K764" i="2" l="1"/>
  <c r="I764" i="2"/>
  <c r="D765" i="2"/>
  <c r="E765" i="2" s="1"/>
  <c r="T765" i="2" s="1"/>
  <c r="N764" i="2" l="1"/>
  <c r="V765" i="2"/>
  <c r="O764" i="2" l="1"/>
  <c r="R764" i="2" s="1"/>
  <c r="M764" i="2"/>
  <c r="P764" i="2" s="1"/>
  <c r="AG764" i="2" l="1"/>
  <c r="Q764" i="2"/>
  <c r="S764" i="2" s="1"/>
  <c r="Y764" i="2" s="1"/>
  <c r="AA764" i="2" s="1"/>
  <c r="Z764" i="2" l="1"/>
  <c r="AB765" i="2"/>
  <c r="B766" i="2" l="1"/>
  <c r="G765" i="2"/>
  <c r="H765" i="2" s="1"/>
  <c r="F765" i="2"/>
  <c r="AE765" i="2"/>
  <c r="AC765" i="2"/>
  <c r="U765" i="2"/>
  <c r="J765" i="2" l="1"/>
  <c r="W765" i="2"/>
  <c r="X765" i="2" s="1"/>
  <c r="AD765" i="2"/>
  <c r="L765" i="2" s="1"/>
  <c r="C766" i="2"/>
  <c r="AF766" i="2"/>
  <c r="K765" i="2" l="1"/>
  <c r="D766" i="2"/>
  <c r="E766" i="2" s="1"/>
  <c r="T766" i="2" s="1"/>
  <c r="I765" i="2"/>
  <c r="N765" i="2" l="1"/>
  <c r="M765" i="2" s="1"/>
  <c r="P765" i="2" s="1"/>
  <c r="V766" i="2"/>
  <c r="AG765" i="2" l="1"/>
  <c r="O765" i="2"/>
  <c r="R765" i="2" s="1"/>
  <c r="Q765" i="2" l="1"/>
  <c r="S765" i="2" s="1"/>
  <c r="Y765" i="2" l="1"/>
  <c r="AA765" i="2" s="1"/>
  <c r="Z765" i="2"/>
  <c r="AB766" i="2" l="1"/>
  <c r="B767" i="2" l="1"/>
  <c r="G766" i="2"/>
  <c r="H766" i="2" s="1"/>
  <c r="U766" i="2"/>
  <c r="AE766" i="2"/>
  <c r="AD766" i="2" s="1"/>
  <c r="L766" i="2" s="1"/>
  <c r="F766" i="2"/>
  <c r="J766" i="2" s="1"/>
  <c r="AC766" i="2"/>
  <c r="I766" i="2" l="1"/>
  <c r="AF767" i="2"/>
  <c r="C767" i="2"/>
  <c r="D767" i="2" s="1"/>
  <c r="E767" i="2" s="1"/>
  <c r="T767" i="2" s="1"/>
  <c r="W766" i="2"/>
  <c r="X766" i="2" s="1"/>
  <c r="K766" i="2"/>
  <c r="N766" i="2" l="1"/>
  <c r="M766" i="2" s="1"/>
  <c r="P766" i="2" s="1"/>
  <c r="V767" i="2"/>
  <c r="AG766" i="2" l="1"/>
  <c r="O766" i="2"/>
  <c r="Q766" i="2" s="1"/>
  <c r="R766" i="2" l="1"/>
  <c r="S766" i="2" s="1"/>
  <c r="Z766" i="2" l="1"/>
  <c r="Y766" i="2"/>
  <c r="AA766" i="2" s="1"/>
  <c r="AB767" i="2" s="1"/>
  <c r="B768" i="2" l="1"/>
  <c r="G767" i="2"/>
  <c r="H767" i="2" s="1"/>
  <c r="F767" i="2"/>
  <c r="AE767" i="2"/>
  <c r="AC767" i="2"/>
  <c r="U767" i="2"/>
  <c r="J767" i="2" l="1"/>
  <c r="W767" i="2"/>
  <c r="X767" i="2" s="1"/>
  <c r="AD767" i="2"/>
  <c r="L767" i="2" s="1"/>
  <c r="AF768" i="2"/>
  <c r="C768" i="2"/>
  <c r="K767" i="2" l="1"/>
  <c r="D768" i="2"/>
  <c r="E768" i="2" s="1"/>
  <c r="T768" i="2" s="1"/>
  <c r="I767" i="2"/>
  <c r="N767" i="2" l="1"/>
  <c r="V768" i="2"/>
  <c r="O767" i="2" l="1"/>
  <c r="R767" i="2" s="1"/>
  <c r="M767" i="2"/>
  <c r="P767" i="2" s="1"/>
  <c r="AG767" i="2" l="1"/>
  <c r="Q767" i="2"/>
  <c r="S767" i="2" s="1"/>
  <c r="Z767" i="2" s="1"/>
  <c r="Y767" i="2" l="1"/>
  <c r="AA767" i="2" s="1"/>
  <c r="AB768" i="2" s="1"/>
  <c r="B769" i="2" l="1"/>
  <c r="G768" i="2"/>
  <c r="H768" i="2" s="1"/>
  <c r="F768" i="2"/>
  <c r="AE768" i="2"/>
  <c r="AC768" i="2"/>
  <c r="U768" i="2"/>
  <c r="C769" i="2" l="1"/>
  <c r="AF769" i="2"/>
  <c r="AD768" i="2"/>
  <c r="L768" i="2" s="1"/>
  <c r="J768" i="2"/>
  <c r="W768" i="2"/>
  <c r="X768" i="2" s="1"/>
  <c r="I768" i="2" l="1"/>
  <c r="K768" i="2"/>
  <c r="D769" i="2"/>
  <c r="E769" i="2" s="1"/>
  <c r="T769" i="2" s="1"/>
  <c r="V769" i="2" l="1"/>
  <c r="N768" i="2"/>
  <c r="O768" i="2" l="1"/>
  <c r="Q768" i="2" s="1"/>
  <c r="M768" i="2"/>
  <c r="P768" i="2" s="1"/>
  <c r="AG768" i="2" l="1"/>
  <c r="R768" i="2"/>
  <c r="S768" i="2" s="1"/>
  <c r="Y768" i="2" l="1"/>
  <c r="AA768" i="2" s="1"/>
  <c r="Z768" i="2"/>
  <c r="AB769" i="2" l="1"/>
  <c r="B770" i="2" l="1"/>
  <c r="G769" i="2"/>
  <c r="H769" i="2" s="1"/>
  <c r="AE769" i="2"/>
  <c r="AD769" i="2" s="1"/>
  <c r="L769" i="2" s="1"/>
  <c r="AC769" i="2"/>
  <c r="F769" i="2"/>
  <c r="U769" i="2"/>
  <c r="W769" i="2" l="1"/>
  <c r="X769" i="2" s="1"/>
  <c r="C770" i="2"/>
  <c r="D770" i="2" s="1"/>
  <c r="E770" i="2" s="1"/>
  <c r="T770" i="2" s="1"/>
  <c r="AF770" i="2"/>
  <c r="J769" i="2"/>
  <c r="I769" i="2" l="1"/>
  <c r="K769" i="2"/>
  <c r="V770" i="2"/>
  <c r="N769" i="2" l="1"/>
  <c r="O769" i="2" l="1"/>
  <c r="R769" i="2" s="1"/>
  <c r="M769" i="2"/>
  <c r="P769" i="2" s="1"/>
  <c r="AG769" i="2" l="1"/>
  <c r="Q769" i="2"/>
  <c r="S769" i="2" s="1"/>
  <c r="Y769" i="2" s="1"/>
  <c r="AA769" i="2" s="1"/>
  <c r="AB770" i="2" s="1"/>
  <c r="B771" i="2" l="1"/>
  <c r="G770" i="2"/>
  <c r="H770" i="2" s="1"/>
  <c r="Z769" i="2"/>
  <c r="F770" i="2"/>
  <c r="AC770" i="2"/>
  <c r="AE770" i="2"/>
  <c r="U770" i="2"/>
  <c r="AD770" i="2" l="1"/>
  <c r="L770" i="2" s="1"/>
  <c r="AF771" i="2"/>
  <c r="C771" i="2"/>
  <c r="J770" i="2"/>
  <c r="W770" i="2"/>
  <c r="X770" i="2" s="1"/>
  <c r="I770" i="2" l="1"/>
  <c r="K770" i="2"/>
  <c r="D771" i="2"/>
  <c r="E771" i="2" s="1"/>
  <c r="T771" i="2" s="1"/>
  <c r="V771" i="2" l="1"/>
  <c r="N770" i="2"/>
  <c r="O770" i="2" l="1"/>
  <c r="Q770" i="2" s="1"/>
  <c r="M770" i="2"/>
  <c r="P770" i="2" s="1"/>
  <c r="AG770" i="2" l="1"/>
  <c r="R770" i="2"/>
  <c r="S770" i="2" s="1"/>
  <c r="Z770" i="2" s="1"/>
  <c r="Y770" i="2" l="1"/>
  <c r="AA770" i="2" s="1"/>
  <c r="AB771" i="2" l="1"/>
  <c r="B772" i="2" l="1"/>
  <c r="G771" i="2"/>
  <c r="H771" i="2" s="1"/>
  <c r="AC771" i="2"/>
  <c r="F771" i="2"/>
  <c r="J771" i="2" s="1"/>
  <c r="U771" i="2"/>
  <c r="AE771" i="2"/>
  <c r="AD771" i="2" s="1"/>
  <c r="L771" i="2" s="1"/>
  <c r="W771" i="2" l="1"/>
  <c r="X771" i="2" s="1"/>
  <c r="C772" i="2"/>
  <c r="D772" i="2" s="1"/>
  <c r="E772" i="2" s="1"/>
  <c r="T772" i="2" s="1"/>
  <c r="AF772" i="2"/>
  <c r="K771" i="2"/>
  <c r="I771" i="2"/>
  <c r="N771" i="2" l="1"/>
  <c r="V772" i="2"/>
  <c r="O771" i="2" l="1"/>
  <c r="Q771" i="2" s="1"/>
  <c r="M771" i="2"/>
  <c r="P771" i="2" s="1"/>
  <c r="AG771" i="2" l="1"/>
  <c r="R771" i="2"/>
  <c r="S771" i="2" s="1"/>
  <c r="Z771" i="2" s="1"/>
  <c r="Y771" i="2" l="1"/>
  <c r="AA771" i="2" s="1"/>
  <c r="AB772" i="2" l="1"/>
  <c r="B773" i="2" l="1"/>
  <c r="G772" i="2"/>
  <c r="H772" i="2" s="1"/>
  <c r="U772" i="2"/>
  <c r="AE772" i="2"/>
  <c r="AD772" i="2" s="1"/>
  <c r="L772" i="2" s="1"/>
  <c r="F772" i="2"/>
  <c r="AC772" i="2"/>
  <c r="W772" i="2" l="1"/>
  <c r="X772" i="2" s="1"/>
  <c r="J772" i="2"/>
  <c r="AF773" i="2"/>
  <c r="C773" i="2"/>
  <c r="D773" i="2" s="1"/>
  <c r="E773" i="2" s="1"/>
  <c r="T773" i="2" s="1"/>
  <c r="I772" i="2" l="1"/>
  <c r="K772" i="2"/>
  <c r="V773" i="2"/>
  <c r="N772" i="2" l="1"/>
  <c r="O772" i="2" s="1"/>
  <c r="R772" i="2" s="1"/>
  <c r="M772" i="2" l="1"/>
  <c r="Q772" i="2"/>
  <c r="S772" i="2" s="1"/>
  <c r="Y772" i="2" s="1"/>
  <c r="AA772" i="2" s="1"/>
  <c r="P772" i="2" l="1"/>
  <c r="AG772" i="2" s="1"/>
  <c r="Z772" i="2"/>
  <c r="AB773" i="2"/>
  <c r="B774" i="2" l="1"/>
  <c r="G773" i="2"/>
  <c r="H773" i="2" s="1"/>
  <c r="F773" i="2"/>
  <c r="AC773" i="2"/>
  <c r="AE773" i="2"/>
  <c r="U773" i="2"/>
  <c r="J773" i="2" l="1"/>
  <c r="W773" i="2"/>
  <c r="X773" i="2" s="1"/>
  <c r="AD773" i="2"/>
  <c r="L773" i="2" s="1"/>
  <c r="AF774" i="2"/>
  <c r="C774" i="2"/>
  <c r="D774" i="2" l="1"/>
  <c r="E774" i="2" s="1"/>
  <c r="T774" i="2" s="1"/>
  <c r="K773" i="2"/>
  <c r="I773" i="2"/>
  <c r="N773" i="2" l="1"/>
  <c r="M773" i="2" s="1"/>
  <c r="P773" i="2" s="1"/>
  <c r="V774" i="2"/>
  <c r="AG773" i="2" l="1"/>
  <c r="O773" i="2"/>
  <c r="R773" i="2" s="1"/>
  <c r="Q773" i="2" l="1"/>
  <c r="S773" i="2" s="1"/>
  <c r="Y773" i="2" s="1"/>
  <c r="AA773" i="2" s="1"/>
  <c r="Z773" i="2" l="1"/>
  <c r="AB774" i="2"/>
  <c r="B775" i="2" l="1"/>
  <c r="G774" i="2"/>
  <c r="H774" i="2" s="1"/>
  <c r="F774" i="2"/>
  <c r="AE774" i="2"/>
  <c r="AC774" i="2"/>
  <c r="U774" i="2"/>
  <c r="J774" i="2" l="1"/>
  <c r="W774" i="2"/>
  <c r="X774" i="2" s="1"/>
  <c r="AD774" i="2"/>
  <c r="L774" i="2" s="1"/>
  <c r="AF775" i="2"/>
  <c r="C775" i="2"/>
  <c r="I774" i="2" l="1"/>
  <c r="K774" i="2"/>
  <c r="D775" i="2"/>
  <c r="E775" i="2" s="1"/>
  <c r="T775" i="2" s="1"/>
  <c r="N774" i="2" l="1"/>
  <c r="M774" i="2" s="1"/>
  <c r="P774" i="2" s="1"/>
  <c r="V775" i="2"/>
  <c r="AG774" i="2" l="1"/>
  <c r="O774" i="2"/>
  <c r="R774" i="2" s="1"/>
  <c r="Q774" i="2" l="1"/>
  <c r="S774" i="2" s="1"/>
  <c r="Y774" i="2" s="1"/>
  <c r="AA774" i="2" s="1"/>
  <c r="Z774" i="2" l="1"/>
  <c r="AB775" i="2"/>
  <c r="B776" i="2" l="1"/>
  <c r="G775" i="2"/>
  <c r="H775" i="2" s="1"/>
  <c r="F775" i="2"/>
  <c r="AC775" i="2"/>
  <c r="AE775" i="2"/>
  <c r="U775" i="2"/>
  <c r="J775" i="2" l="1"/>
  <c r="W775" i="2"/>
  <c r="X775" i="2" s="1"/>
  <c r="AF776" i="2"/>
  <c r="C776" i="2"/>
  <c r="AD775" i="2"/>
  <c r="L775" i="2" s="1"/>
  <c r="I775" i="2" l="1"/>
  <c r="D776" i="2"/>
  <c r="E776" i="2" s="1"/>
  <c r="T776" i="2" s="1"/>
  <c r="K775" i="2"/>
  <c r="V776" i="2" l="1"/>
  <c r="N775" i="2"/>
  <c r="O775" i="2" l="1"/>
  <c r="R775" i="2" s="1"/>
  <c r="M775" i="2"/>
  <c r="P775" i="2" s="1"/>
  <c r="AG775" i="2" l="1"/>
  <c r="Q775" i="2"/>
  <c r="S775" i="2" s="1"/>
  <c r="Y775" i="2" s="1"/>
  <c r="AA775" i="2" s="1"/>
  <c r="Z775" i="2" l="1"/>
  <c r="AB776" i="2"/>
  <c r="B777" i="2" l="1"/>
  <c r="G776" i="2"/>
  <c r="H776" i="2" s="1"/>
  <c r="F776" i="2"/>
  <c r="AC776" i="2"/>
  <c r="AE776" i="2"/>
  <c r="U776" i="2"/>
  <c r="AD776" i="2" l="1"/>
  <c r="L776" i="2" s="1"/>
  <c r="C777" i="2"/>
  <c r="AF777" i="2"/>
  <c r="J776" i="2"/>
  <c r="W776" i="2"/>
  <c r="X776" i="2" s="1"/>
  <c r="K776" i="2" l="1"/>
  <c r="D777" i="2"/>
  <c r="E777" i="2" s="1"/>
  <c r="T777" i="2" s="1"/>
  <c r="I776" i="2"/>
  <c r="N776" i="2" l="1"/>
  <c r="M776" i="2" s="1"/>
  <c r="P776" i="2" s="1"/>
  <c r="V777" i="2"/>
  <c r="AG776" i="2" l="1"/>
  <c r="O776" i="2"/>
  <c r="R776" i="2" s="1"/>
  <c r="Q776" i="2" l="1"/>
  <c r="S776" i="2" s="1"/>
  <c r="Y776" i="2" s="1"/>
  <c r="AA776" i="2" s="1"/>
  <c r="Z776" i="2" l="1"/>
  <c r="AB777" i="2"/>
  <c r="B778" i="2" l="1"/>
  <c r="G777" i="2"/>
  <c r="H777" i="2" s="1"/>
  <c r="F777" i="2"/>
  <c r="AC777" i="2"/>
  <c r="AE777" i="2"/>
  <c r="U777" i="2"/>
  <c r="AD777" i="2" l="1"/>
  <c r="L777" i="2" s="1"/>
  <c r="AF778" i="2"/>
  <c r="C778" i="2"/>
  <c r="J777" i="2"/>
  <c r="W777" i="2"/>
  <c r="X777" i="2" s="1"/>
  <c r="K777" i="2" l="1"/>
  <c r="I777" i="2"/>
  <c r="D778" i="2"/>
  <c r="E778" i="2" s="1"/>
  <c r="T778" i="2" s="1"/>
  <c r="N777" i="2" l="1"/>
  <c r="V778" i="2"/>
  <c r="O777" i="2" l="1"/>
  <c r="R777" i="2" s="1"/>
  <c r="M777" i="2"/>
  <c r="P777" i="2" s="1"/>
  <c r="AG777" i="2" l="1"/>
  <c r="Q777" i="2"/>
  <c r="S777" i="2" s="1"/>
  <c r="Z777" i="2" s="1"/>
  <c r="Y777" i="2" l="1"/>
  <c r="AA777" i="2" s="1"/>
  <c r="AB778" i="2" s="1"/>
  <c r="B779" i="2" l="1"/>
  <c r="G778" i="2"/>
  <c r="H778" i="2" s="1"/>
  <c r="F778" i="2"/>
  <c r="AE778" i="2"/>
  <c r="AC778" i="2"/>
  <c r="U778" i="2"/>
  <c r="AF779" i="2" l="1"/>
  <c r="C779" i="2"/>
  <c r="AD778" i="2"/>
  <c r="L778" i="2" s="1"/>
  <c r="J778" i="2"/>
  <c r="W778" i="2"/>
  <c r="X778" i="2" s="1"/>
  <c r="K778" i="2" l="1"/>
  <c r="D779" i="2"/>
  <c r="E779" i="2" s="1"/>
  <c r="T779" i="2" s="1"/>
  <c r="I778" i="2"/>
  <c r="N778" i="2" l="1"/>
  <c r="M778" i="2" s="1"/>
  <c r="P778" i="2" s="1"/>
  <c r="V779" i="2"/>
  <c r="AG778" i="2" l="1"/>
  <c r="O778" i="2"/>
  <c r="R778" i="2" s="1"/>
  <c r="Q778" i="2" l="1"/>
  <c r="S778" i="2" s="1"/>
  <c r="Y778" i="2" s="1"/>
  <c r="AA778" i="2" s="1"/>
  <c r="Z778" i="2" l="1"/>
  <c r="AB779" i="2"/>
  <c r="B780" i="2" l="1"/>
  <c r="G779" i="2"/>
  <c r="H779" i="2" s="1"/>
  <c r="F779" i="2"/>
  <c r="AC779" i="2"/>
  <c r="AE779" i="2"/>
  <c r="U779" i="2"/>
  <c r="J779" i="2" l="1"/>
  <c r="W779" i="2"/>
  <c r="X779" i="2" s="1"/>
  <c r="AD779" i="2"/>
  <c r="L779" i="2" s="1"/>
  <c r="AF780" i="2"/>
  <c r="C780" i="2"/>
  <c r="K779" i="2" l="1"/>
  <c r="D780" i="2"/>
  <c r="E780" i="2" s="1"/>
  <c r="T780" i="2" s="1"/>
  <c r="I779" i="2"/>
  <c r="N779" i="2" l="1"/>
  <c r="V780" i="2"/>
  <c r="O779" i="2" l="1"/>
  <c r="R779" i="2" s="1"/>
  <c r="M779" i="2"/>
  <c r="P779" i="2" s="1"/>
  <c r="AG779" i="2" l="1"/>
  <c r="Q779" i="2"/>
  <c r="S779" i="2" s="1"/>
  <c r="Y779" i="2" s="1"/>
  <c r="AA779" i="2" s="1"/>
  <c r="Z779" i="2" l="1"/>
  <c r="AB780" i="2"/>
  <c r="B781" i="2" l="1"/>
  <c r="G780" i="2"/>
  <c r="H780" i="2" s="1"/>
  <c r="F780" i="2"/>
  <c r="AE780" i="2"/>
  <c r="AC780" i="2"/>
  <c r="U780" i="2"/>
  <c r="AF781" i="2" l="1"/>
  <c r="C781" i="2"/>
  <c r="AD780" i="2"/>
  <c r="L780" i="2" s="1"/>
  <c r="J780" i="2"/>
  <c r="W780" i="2"/>
  <c r="X780" i="2" s="1"/>
  <c r="K780" i="2" l="1"/>
  <c r="D781" i="2"/>
  <c r="E781" i="2" s="1"/>
  <c r="T781" i="2" s="1"/>
  <c r="I780" i="2"/>
  <c r="N780" i="2" l="1"/>
  <c r="M780" i="2" s="1"/>
  <c r="P780" i="2" s="1"/>
  <c r="V781" i="2"/>
  <c r="AG780" i="2" l="1"/>
  <c r="O780" i="2"/>
  <c r="Q780" i="2" s="1"/>
  <c r="R780" i="2" l="1"/>
  <c r="S780" i="2" s="1"/>
  <c r="Y780" i="2" s="1"/>
  <c r="AA780" i="2" s="1"/>
  <c r="Z780" i="2" l="1"/>
  <c r="AB781" i="2"/>
  <c r="B782" i="2" l="1"/>
  <c r="G781" i="2"/>
  <c r="H781" i="2" s="1"/>
  <c r="F781" i="2"/>
  <c r="AC781" i="2"/>
  <c r="AE781" i="2"/>
  <c r="U781" i="2"/>
  <c r="AD781" i="2" l="1"/>
  <c r="L781" i="2" s="1"/>
  <c r="AF782" i="2"/>
  <c r="C782" i="2"/>
  <c r="J781" i="2"/>
  <c r="W781" i="2"/>
  <c r="X781" i="2" s="1"/>
  <c r="D782" i="2" l="1"/>
  <c r="E782" i="2" s="1"/>
  <c r="T782" i="2" s="1"/>
  <c r="K781" i="2"/>
  <c r="I781" i="2"/>
  <c r="N781" i="2" l="1"/>
  <c r="V782" i="2"/>
  <c r="O781" i="2" l="1"/>
  <c r="R781" i="2" s="1"/>
  <c r="M781" i="2"/>
  <c r="P781" i="2" s="1"/>
  <c r="AG781" i="2" l="1"/>
  <c r="Q781" i="2"/>
  <c r="S781" i="2" s="1"/>
  <c r="Y781" i="2" s="1"/>
  <c r="AA781" i="2" s="1"/>
  <c r="Z781" i="2" l="1"/>
  <c r="AB782" i="2"/>
  <c r="B783" i="2" l="1"/>
  <c r="G782" i="2"/>
  <c r="H782" i="2" s="1"/>
  <c r="F782" i="2"/>
  <c r="AC782" i="2"/>
  <c r="AE782" i="2"/>
  <c r="U782" i="2"/>
  <c r="C783" i="2" l="1"/>
  <c r="AF783" i="2"/>
  <c r="AD782" i="2"/>
  <c r="L782" i="2" s="1"/>
  <c r="J782" i="2"/>
  <c r="W782" i="2"/>
  <c r="X782" i="2" s="1"/>
  <c r="K782" i="2" l="1"/>
  <c r="I782" i="2"/>
  <c r="D783" i="2"/>
  <c r="E783" i="2" s="1"/>
  <c r="T783" i="2" s="1"/>
  <c r="N782" i="2" l="1"/>
  <c r="M782" i="2" s="1"/>
  <c r="P782" i="2" s="1"/>
  <c r="V783" i="2"/>
  <c r="AG782" i="2" l="1"/>
  <c r="O782" i="2"/>
  <c r="R782" i="2" s="1"/>
  <c r="Q782" i="2" l="1"/>
  <c r="S782" i="2" s="1"/>
  <c r="Z782" i="2" s="1"/>
  <c r="Y782" i="2" l="1"/>
  <c r="AA782" i="2" s="1"/>
  <c r="AB783" i="2" l="1"/>
  <c r="B784" i="2" l="1"/>
  <c r="AF784" i="2" s="1"/>
  <c r="G783" i="2"/>
  <c r="H783" i="2" s="1"/>
  <c r="AC783" i="2"/>
  <c r="AE783" i="2"/>
  <c r="AD783" i="2" s="1"/>
  <c r="L783" i="2" s="1"/>
  <c r="F783" i="2"/>
  <c r="J783" i="2" s="1"/>
  <c r="U783" i="2"/>
  <c r="C784" i="2"/>
  <c r="W783" i="2" l="1"/>
  <c r="X783" i="2" s="1"/>
  <c r="K783" i="2"/>
  <c r="D784" i="2"/>
  <c r="E784" i="2" s="1"/>
  <c r="T784" i="2" s="1"/>
  <c r="I783" i="2"/>
  <c r="N783" i="2" l="1"/>
  <c r="V784" i="2"/>
  <c r="O783" i="2" l="1"/>
  <c r="R783" i="2" s="1"/>
  <c r="M783" i="2"/>
  <c r="P783" i="2" s="1"/>
  <c r="AG783" i="2" l="1"/>
  <c r="Q783" i="2"/>
  <c r="S783" i="2" s="1"/>
  <c r="Y783" i="2" s="1"/>
  <c r="AA783" i="2" s="1"/>
  <c r="Z783" i="2" l="1"/>
  <c r="AB784" i="2"/>
  <c r="B785" i="2" l="1"/>
  <c r="G784" i="2"/>
  <c r="H784" i="2" s="1"/>
  <c r="F784" i="2"/>
  <c r="AE784" i="2"/>
  <c r="AC784" i="2"/>
  <c r="U784" i="2"/>
  <c r="AD784" i="2" l="1"/>
  <c r="L784" i="2" s="1"/>
  <c r="AF785" i="2"/>
  <c r="C785" i="2"/>
  <c r="J784" i="2"/>
  <c r="W784" i="2"/>
  <c r="X784" i="2" s="1"/>
  <c r="I784" i="2" l="1"/>
  <c r="K784" i="2"/>
  <c r="D785" i="2"/>
  <c r="E785" i="2" s="1"/>
  <c r="T785" i="2" s="1"/>
  <c r="V785" i="2" l="1"/>
  <c r="N784" i="2"/>
  <c r="O784" i="2" l="1"/>
  <c r="R784" i="2" s="1"/>
  <c r="M784" i="2"/>
  <c r="P784" i="2" s="1"/>
  <c r="AG784" i="2" l="1"/>
  <c r="Q784" i="2"/>
  <c r="S784" i="2" s="1"/>
  <c r="Y784" i="2" s="1"/>
  <c r="AA784" i="2" s="1"/>
  <c r="Z784" i="2" l="1"/>
  <c r="AB785" i="2"/>
  <c r="B786" i="2" l="1"/>
  <c r="G785" i="2"/>
  <c r="H785" i="2" s="1"/>
  <c r="F785" i="2"/>
  <c r="AE785" i="2"/>
  <c r="AC785" i="2"/>
  <c r="U785" i="2"/>
  <c r="AF786" i="2" l="1"/>
  <c r="C786" i="2"/>
  <c r="J785" i="2"/>
  <c r="W785" i="2"/>
  <c r="X785" i="2" s="1"/>
  <c r="AD785" i="2"/>
  <c r="L785" i="2" s="1"/>
  <c r="D786" i="2" l="1"/>
  <c r="E786" i="2" s="1"/>
  <c r="T786" i="2" s="1"/>
  <c r="K785" i="2"/>
  <c r="I785" i="2"/>
  <c r="N785" i="2" l="1"/>
  <c r="V786" i="2"/>
  <c r="O785" i="2" l="1"/>
  <c r="R785" i="2" s="1"/>
  <c r="M785" i="2"/>
  <c r="P785" i="2" s="1"/>
  <c r="AG785" i="2" l="1"/>
  <c r="Q785" i="2"/>
  <c r="S785" i="2" s="1"/>
  <c r="Y785" i="2" s="1"/>
  <c r="AA785" i="2" s="1"/>
  <c r="Z785" i="2" l="1"/>
  <c r="AB786" i="2"/>
  <c r="B787" i="2" l="1"/>
  <c r="G786" i="2"/>
  <c r="H786" i="2" s="1"/>
  <c r="F786" i="2"/>
  <c r="AC786" i="2"/>
  <c r="AE786" i="2"/>
  <c r="U786" i="2"/>
  <c r="AD786" i="2" l="1"/>
  <c r="L786" i="2" s="1"/>
  <c r="J786" i="2"/>
  <c r="W786" i="2"/>
  <c r="X786" i="2" s="1"/>
  <c r="AF787" i="2"/>
  <c r="C787" i="2"/>
  <c r="I786" i="2" l="1"/>
  <c r="D787" i="2"/>
  <c r="E787" i="2" s="1"/>
  <c r="T787" i="2" s="1"/>
  <c r="K786" i="2"/>
  <c r="V787" i="2" l="1"/>
  <c r="N786" i="2"/>
  <c r="O786" i="2" l="1"/>
  <c r="R786" i="2" s="1"/>
  <c r="M786" i="2"/>
  <c r="P786" i="2" s="1"/>
  <c r="AG786" i="2" l="1"/>
  <c r="Q786" i="2"/>
  <c r="S786" i="2" s="1"/>
  <c r="Y786" i="2" s="1"/>
  <c r="AA786" i="2" s="1"/>
  <c r="Z786" i="2" l="1"/>
  <c r="AB787" i="2"/>
  <c r="B788" i="2" l="1"/>
  <c r="G787" i="2"/>
  <c r="H787" i="2" s="1"/>
  <c r="F787" i="2"/>
  <c r="AE787" i="2"/>
  <c r="AC787" i="2"/>
  <c r="U787" i="2"/>
  <c r="AD787" i="2" l="1"/>
  <c r="L787" i="2" s="1"/>
  <c r="AF788" i="2"/>
  <c r="C788" i="2"/>
  <c r="J787" i="2"/>
  <c r="W787" i="2"/>
  <c r="X787" i="2" s="1"/>
  <c r="K787" i="2" l="1"/>
  <c r="I787" i="2"/>
  <c r="D788" i="2"/>
  <c r="E788" i="2" s="1"/>
  <c r="T788" i="2" s="1"/>
  <c r="N787" i="2" l="1"/>
  <c r="V788" i="2"/>
  <c r="O787" i="2" l="1"/>
  <c r="R787" i="2" s="1"/>
  <c r="M787" i="2"/>
  <c r="P787" i="2" s="1"/>
  <c r="AG787" i="2" l="1"/>
  <c r="Q787" i="2"/>
  <c r="S787" i="2" s="1"/>
  <c r="Y787" i="2" s="1"/>
  <c r="AA787" i="2" s="1"/>
  <c r="Z787" i="2" l="1"/>
  <c r="AB788" i="2"/>
  <c r="B789" i="2" l="1"/>
  <c r="G788" i="2"/>
  <c r="H788" i="2" s="1"/>
  <c r="F788" i="2"/>
  <c r="AC788" i="2"/>
  <c r="AE788" i="2"/>
  <c r="U788" i="2"/>
  <c r="J788" i="2" l="1"/>
  <c r="W788" i="2"/>
  <c r="X788" i="2" s="1"/>
  <c r="AD788" i="2"/>
  <c r="L788" i="2" s="1"/>
  <c r="C789" i="2"/>
  <c r="AF789" i="2"/>
  <c r="K788" i="2" l="1"/>
  <c r="D789" i="2"/>
  <c r="E789" i="2" s="1"/>
  <c r="T789" i="2" s="1"/>
  <c r="I788" i="2"/>
  <c r="N788" i="2" l="1"/>
  <c r="V789" i="2"/>
  <c r="O788" i="2" l="1"/>
  <c r="R788" i="2" s="1"/>
  <c r="M788" i="2"/>
  <c r="P788" i="2" s="1"/>
  <c r="AG788" i="2" l="1"/>
  <c r="Q788" i="2"/>
  <c r="S788" i="2" s="1"/>
  <c r="Z788" i="2" s="1"/>
  <c r="Y788" i="2" l="1"/>
  <c r="AA788" i="2" s="1"/>
  <c r="AB789" i="2" s="1"/>
  <c r="B790" i="2" l="1"/>
  <c r="G789" i="2"/>
  <c r="H789" i="2" s="1"/>
  <c r="F789" i="2"/>
  <c r="AC789" i="2"/>
  <c r="AE789" i="2"/>
  <c r="U789" i="2"/>
  <c r="AF790" i="2" l="1"/>
  <c r="C790" i="2"/>
  <c r="J789" i="2"/>
  <c r="W789" i="2"/>
  <c r="X789" i="2" s="1"/>
  <c r="AD789" i="2"/>
  <c r="L789" i="2" s="1"/>
  <c r="K789" i="2" l="1"/>
  <c r="D790" i="2"/>
  <c r="E790" i="2" s="1"/>
  <c r="T790" i="2" s="1"/>
  <c r="I789" i="2"/>
  <c r="N789" i="2" l="1"/>
  <c r="V790" i="2"/>
  <c r="O789" i="2" l="1"/>
  <c r="R789" i="2" s="1"/>
  <c r="M789" i="2"/>
  <c r="P789" i="2" s="1"/>
  <c r="AG789" i="2" l="1"/>
  <c r="Q789" i="2"/>
  <c r="S789" i="2" s="1"/>
  <c r="Y789" i="2" s="1"/>
  <c r="AA789" i="2" s="1"/>
  <c r="Z789" i="2" l="1"/>
  <c r="AB790" i="2"/>
  <c r="B791" i="2" l="1"/>
  <c r="G790" i="2"/>
  <c r="H790" i="2" s="1"/>
  <c r="F790" i="2"/>
  <c r="AE790" i="2"/>
  <c r="AC790" i="2"/>
  <c r="U790" i="2"/>
  <c r="C791" i="2" l="1"/>
  <c r="AF791" i="2"/>
  <c r="AD790" i="2"/>
  <c r="L790" i="2" s="1"/>
  <c r="J790" i="2"/>
  <c r="W790" i="2"/>
  <c r="X790" i="2" s="1"/>
  <c r="I790" i="2" l="1"/>
  <c r="K790" i="2"/>
  <c r="D791" i="2"/>
  <c r="E791" i="2" s="1"/>
  <c r="T791" i="2" s="1"/>
  <c r="V791" i="2" l="1"/>
  <c r="N790" i="2"/>
  <c r="O790" i="2" l="1"/>
  <c r="R790" i="2" s="1"/>
  <c r="M790" i="2"/>
  <c r="P790" i="2" s="1"/>
  <c r="AG790" i="2" l="1"/>
  <c r="Q790" i="2"/>
  <c r="S790" i="2" s="1"/>
  <c r="Y790" i="2" s="1"/>
  <c r="AA790" i="2" s="1"/>
  <c r="Z790" i="2" l="1"/>
  <c r="AB791" i="2"/>
  <c r="B792" i="2" l="1"/>
  <c r="G791" i="2"/>
  <c r="H791" i="2" s="1"/>
  <c r="F791" i="2"/>
  <c r="AE791" i="2"/>
  <c r="AC791" i="2"/>
  <c r="U791" i="2"/>
  <c r="J791" i="2" l="1"/>
  <c r="W791" i="2"/>
  <c r="X791" i="2" s="1"/>
  <c r="C792" i="2"/>
  <c r="AF792" i="2"/>
  <c r="AD791" i="2"/>
  <c r="L791" i="2" s="1"/>
  <c r="I791" i="2" l="1"/>
  <c r="K791" i="2"/>
  <c r="D792" i="2"/>
  <c r="E792" i="2" s="1"/>
  <c r="T792" i="2" s="1"/>
  <c r="V792" i="2" l="1"/>
  <c r="N791" i="2"/>
  <c r="O791" i="2" l="1"/>
  <c r="R791" i="2" s="1"/>
  <c r="M791" i="2"/>
  <c r="P791" i="2" s="1"/>
  <c r="AG791" i="2" l="1"/>
  <c r="Q791" i="2"/>
  <c r="S791" i="2" s="1"/>
  <c r="Y791" i="2" s="1"/>
  <c r="AA791" i="2" s="1"/>
  <c r="Z791" i="2" l="1"/>
  <c r="AB792" i="2"/>
  <c r="B793" i="2" l="1"/>
  <c r="G792" i="2"/>
  <c r="H792" i="2" s="1"/>
  <c r="F792" i="2"/>
  <c r="AC792" i="2"/>
  <c r="AE792" i="2"/>
  <c r="U792" i="2"/>
  <c r="AD792" i="2" l="1"/>
  <c r="L792" i="2" s="1"/>
  <c r="AF793" i="2"/>
  <c r="C793" i="2"/>
  <c r="J792" i="2"/>
  <c r="W792" i="2"/>
  <c r="X792" i="2" s="1"/>
  <c r="K792" i="2" l="1"/>
  <c r="I792" i="2"/>
  <c r="D793" i="2"/>
  <c r="E793" i="2" s="1"/>
  <c r="T793" i="2" s="1"/>
  <c r="N792" i="2" l="1"/>
  <c r="M792" i="2" s="1"/>
  <c r="P792" i="2" s="1"/>
  <c r="V793" i="2"/>
  <c r="AG792" i="2" l="1"/>
  <c r="O792" i="2"/>
  <c r="R792" i="2" s="1"/>
  <c r="Q792" i="2" l="1"/>
  <c r="S792" i="2" s="1"/>
  <c r="Z792" i="2" s="1"/>
  <c r="Y792" i="2" l="1"/>
  <c r="AA792" i="2" s="1"/>
  <c r="AB793" i="2" s="1"/>
  <c r="B794" i="2" l="1"/>
  <c r="G793" i="2"/>
  <c r="H793" i="2" s="1"/>
  <c r="F793" i="2"/>
  <c r="AE793" i="2"/>
  <c r="AC793" i="2"/>
  <c r="U793" i="2"/>
  <c r="J793" i="2" l="1"/>
  <c r="W793" i="2"/>
  <c r="X793" i="2" s="1"/>
  <c r="AD793" i="2"/>
  <c r="L793" i="2" s="1"/>
  <c r="AF794" i="2"/>
  <c r="C794" i="2"/>
  <c r="K793" i="2" l="1"/>
  <c r="D794" i="2"/>
  <c r="E794" i="2" s="1"/>
  <c r="T794" i="2" s="1"/>
  <c r="I793" i="2"/>
  <c r="N793" i="2" l="1"/>
  <c r="V794" i="2"/>
  <c r="O793" i="2" l="1"/>
  <c r="R793" i="2" s="1"/>
  <c r="M793" i="2"/>
  <c r="P793" i="2" s="1"/>
  <c r="AG793" i="2" l="1"/>
  <c r="Q793" i="2"/>
  <c r="S793" i="2" s="1"/>
  <c r="Y793" i="2" s="1"/>
  <c r="AA793" i="2" s="1"/>
  <c r="Z793" i="2" l="1"/>
  <c r="AB794" i="2"/>
  <c r="B795" i="2" l="1"/>
  <c r="G794" i="2"/>
  <c r="H794" i="2" s="1"/>
  <c r="F794" i="2"/>
  <c r="AE794" i="2"/>
  <c r="AC794" i="2"/>
  <c r="U794" i="2"/>
  <c r="J794" i="2" l="1"/>
  <c r="W794" i="2"/>
  <c r="X794" i="2" s="1"/>
  <c r="AD794" i="2"/>
  <c r="L794" i="2" s="1"/>
  <c r="AF795" i="2"/>
  <c r="C795" i="2"/>
  <c r="D795" i="2" l="1"/>
  <c r="E795" i="2" s="1"/>
  <c r="T795" i="2" s="1"/>
  <c r="K794" i="2"/>
  <c r="I794" i="2"/>
  <c r="N794" i="2" l="1"/>
  <c r="V795" i="2"/>
  <c r="O794" i="2" l="1"/>
  <c r="R794" i="2" s="1"/>
  <c r="M794" i="2"/>
  <c r="P794" i="2" s="1"/>
  <c r="AG794" i="2" l="1"/>
  <c r="Q794" i="2"/>
  <c r="S794" i="2" s="1"/>
  <c r="Y794" i="2" s="1"/>
  <c r="AA794" i="2" s="1"/>
  <c r="Z794" i="2" l="1"/>
  <c r="AB795" i="2"/>
  <c r="B796" i="2" l="1"/>
  <c r="G795" i="2"/>
  <c r="H795" i="2" s="1"/>
  <c r="F795" i="2"/>
  <c r="AE795" i="2"/>
  <c r="AC795" i="2"/>
  <c r="U795" i="2"/>
  <c r="J795" i="2" l="1"/>
  <c r="W795" i="2"/>
  <c r="X795" i="2" s="1"/>
  <c r="AD795" i="2"/>
  <c r="L795" i="2" s="1"/>
  <c r="AF796" i="2"/>
  <c r="C796" i="2"/>
  <c r="D796" i="2" l="1"/>
  <c r="E796" i="2" s="1"/>
  <c r="T796" i="2" s="1"/>
  <c r="K795" i="2"/>
  <c r="I795" i="2"/>
  <c r="N795" i="2" l="1"/>
  <c r="V796" i="2"/>
  <c r="O795" i="2" l="1"/>
  <c r="Q795" i="2" s="1"/>
  <c r="M795" i="2"/>
  <c r="P795" i="2" s="1"/>
  <c r="AG795" i="2" l="1"/>
  <c r="R795" i="2"/>
  <c r="S795" i="2" s="1"/>
  <c r="Z795" i="2" s="1"/>
  <c r="Y795" i="2" l="1"/>
  <c r="AA795" i="2" s="1"/>
  <c r="AB796" i="2" l="1"/>
  <c r="B797" i="2" l="1"/>
  <c r="G796" i="2"/>
  <c r="H796" i="2" s="1"/>
  <c r="AE796" i="2"/>
  <c r="AD796" i="2" s="1"/>
  <c r="L796" i="2" s="1"/>
  <c r="F796" i="2"/>
  <c r="U796" i="2"/>
  <c r="AC796" i="2"/>
  <c r="W796" i="2" l="1"/>
  <c r="X796" i="2" s="1"/>
  <c r="J796" i="2"/>
  <c r="AF797" i="2"/>
  <c r="C797" i="2"/>
  <c r="D797" i="2" s="1"/>
  <c r="E797" i="2" s="1"/>
  <c r="T797" i="2" s="1"/>
  <c r="I796" i="2" l="1"/>
  <c r="K796" i="2"/>
  <c r="V797" i="2"/>
  <c r="N796" i="2" l="1"/>
  <c r="O796" i="2" s="1"/>
  <c r="R796" i="2" s="1"/>
  <c r="M796" i="2" l="1"/>
  <c r="P796" i="2" s="1"/>
  <c r="Q796" i="2"/>
  <c r="S796" i="2" s="1"/>
  <c r="Y796" i="2" s="1"/>
  <c r="AA796" i="2" s="1"/>
  <c r="AG796" i="2" l="1"/>
  <c r="Z796" i="2"/>
  <c r="AB797" i="2"/>
  <c r="B798" i="2" l="1"/>
  <c r="G797" i="2"/>
  <c r="H797" i="2" s="1"/>
  <c r="F797" i="2"/>
  <c r="AE797" i="2"/>
  <c r="AC797" i="2"/>
  <c r="U797" i="2"/>
  <c r="AD797" i="2" l="1"/>
  <c r="L797" i="2" s="1"/>
  <c r="AF798" i="2"/>
  <c r="C798" i="2"/>
  <c r="J797" i="2"/>
  <c r="W797" i="2"/>
  <c r="X797" i="2" s="1"/>
  <c r="K797" i="2" l="1"/>
  <c r="I797" i="2"/>
  <c r="D798" i="2"/>
  <c r="E798" i="2" s="1"/>
  <c r="T798" i="2" s="1"/>
  <c r="N797" i="2" l="1"/>
  <c r="V798" i="2"/>
  <c r="O797" i="2" l="1"/>
  <c r="R797" i="2" s="1"/>
  <c r="M797" i="2"/>
  <c r="P797" i="2" s="1"/>
  <c r="AG797" i="2" l="1"/>
  <c r="Q797" i="2"/>
  <c r="S797" i="2" s="1"/>
  <c r="Z797" i="2" s="1"/>
  <c r="Y797" i="2" l="1"/>
  <c r="AA797" i="2" s="1"/>
  <c r="AB798" i="2" s="1"/>
  <c r="B799" i="2" l="1"/>
  <c r="G798" i="2"/>
  <c r="H798" i="2" s="1"/>
  <c r="F798" i="2"/>
  <c r="AC798" i="2"/>
  <c r="AE798" i="2"/>
  <c r="U798" i="2"/>
  <c r="AF799" i="2" l="1"/>
  <c r="C799" i="2"/>
  <c r="AD798" i="2"/>
  <c r="L798" i="2" s="1"/>
  <c r="J798" i="2"/>
  <c r="W798" i="2"/>
  <c r="X798" i="2" s="1"/>
  <c r="I798" i="2" l="1"/>
  <c r="D799" i="2"/>
  <c r="E799" i="2" s="1"/>
  <c r="T799" i="2" s="1"/>
  <c r="K798" i="2"/>
  <c r="V799" i="2" l="1"/>
  <c r="N798" i="2"/>
  <c r="O798" i="2" l="1"/>
  <c r="R798" i="2" s="1"/>
  <c r="M798" i="2"/>
  <c r="P798" i="2" s="1"/>
  <c r="AG798" i="2" l="1"/>
  <c r="Q798" i="2"/>
  <c r="S798" i="2" s="1"/>
  <c r="Y798" i="2" s="1"/>
  <c r="AA798" i="2" s="1"/>
  <c r="Z798" i="2" l="1"/>
  <c r="AB799" i="2"/>
  <c r="B800" i="2" l="1"/>
  <c r="G799" i="2"/>
  <c r="H799" i="2" s="1"/>
  <c r="F799" i="2"/>
  <c r="AC799" i="2"/>
  <c r="AE799" i="2"/>
  <c r="U799" i="2"/>
  <c r="AF800" i="2" l="1"/>
  <c r="C800" i="2"/>
  <c r="J799" i="2"/>
  <c r="W799" i="2"/>
  <c r="X799" i="2" s="1"/>
  <c r="AD799" i="2"/>
  <c r="L799" i="2" s="1"/>
  <c r="I799" i="2" l="1"/>
  <c r="K799" i="2"/>
  <c r="D800" i="2"/>
  <c r="E800" i="2" s="1"/>
  <c r="T800" i="2" s="1"/>
  <c r="N799" i="2" l="1"/>
  <c r="M799" i="2" s="1"/>
  <c r="P799" i="2" s="1"/>
  <c r="V800" i="2"/>
  <c r="AG799" i="2" l="1"/>
  <c r="O799" i="2"/>
  <c r="Q799" i="2" s="1"/>
  <c r="R799" i="2" l="1"/>
  <c r="S799" i="2" s="1"/>
  <c r="Z799" i="2" s="1"/>
  <c r="Y799" i="2" l="1"/>
  <c r="AA799" i="2" s="1"/>
  <c r="AB800" i="2" l="1"/>
  <c r="B801" i="2" l="1"/>
  <c r="AF801" i="2" s="1"/>
  <c r="G800" i="2"/>
  <c r="H800" i="2" s="1"/>
  <c r="F800" i="2"/>
  <c r="J800" i="2" s="1"/>
  <c r="U800" i="2"/>
  <c r="AC800" i="2"/>
  <c r="AE800" i="2"/>
  <c r="AD800" i="2" s="1"/>
  <c r="L800" i="2" s="1"/>
  <c r="W800" i="2" l="1"/>
  <c r="X800" i="2" s="1"/>
  <c r="C801" i="2"/>
  <c r="D801" i="2" s="1"/>
  <c r="E801" i="2" s="1"/>
  <c r="T801" i="2" s="1"/>
  <c r="K800" i="2"/>
  <c r="I800" i="2"/>
  <c r="N800" i="2" l="1"/>
  <c r="V801" i="2"/>
  <c r="O800" i="2" l="1"/>
  <c r="R800" i="2" s="1"/>
  <c r="M800" i="2"/>
  <c r="P800" i="2" s="1"/>
  <c r="AG800" i="2" l="1"/>
  <c r="Q800" i="2"/>
  <c r="S800" i="2" s="1"/>
  <c r="Y800" i="2" s="1"/>
  <c r="AA800" i="2" s="1"/>
  <c r="Z800" i="2" l="1"/>
  <c r="AB801" i="2"/>
  <c r="B802" i="2" l="1"/>
  <c r="G801" i="2"/>
  <c r="H801" i="2" s="1"/>
  <c r="F801" i="2"/>
  <c r="AC801" i="2"/>
  <c r="AE801" i="2"/>
  <c r="U801" i="2"/>
  <c r="AF802" i="2" l="1"/>
  <c r="C802" i="2"/>
  <c r="AD801" i="2"/>
  <c r="L801" i="2" s="1"/>
  <c r="J801" i="2"/>
  <c r="W801" i="2"/>
  <c r="X801" i="2" s="1"/>
  <c r="I801" i="2" l="1"/>
  <c r="K801" i="2"/>
  <c r="D802" i="2"/>
  <c r="E802" i="2" s="1"/>
  <c r="T802" i="2" s="1"/>
  <c r="V802" i="2" l="1"/>
  <c r="N801" i="2"/>
  <c r="O801" i="2" l="1"/>
  <c r="R801" i="2" s="1"/>
  <c r="M801" i="2"/>
  <c r="P801" i="2" s="1"/>
  <c r="AG801" i="2" l="1"/>
  <c r="Q801" i="2"/>
  <c r="S801" i="2" s="1"/>
  <c r="Y801" i="2" s="1"/>
  <c r="AA801" i="2" s="1"/>
  <c r="Z801" i="2" l="1"/>
  <c r="AB802" i="2"/>
  <c r="B803" i="2" l="1"/>
  <c r="G802" i="2"/>
  <c r="H802" i="2" s="1"/>
  <c r="F802" i="2"/>
  <c r="AC802" i="2"/>
  <c r="AE802" i="2"/>
  <c r="U802" i="2"/>
  <c r="J802" i="2" l="1"/>
  <c r="W802" i="2"/>
  <c r="X802" i="2" s="1"/>
  <c r="AD802" i="2"/>
  <c r="L802" i="2" s="1"/>
  <c r="C803" i="2"/>
  <c r="AF803" i="2"/>
  <c r="K802" i="2" l="1"/>
  <c r="D803" i="2"/>
  <c r="E803" i="2" s="1"/>
  <c r="T803" i="2" s="1"/>
  <c r="I802" i="2"/>
  <c r="N802" i="2" l="1"/>
  <c r="V803" i="2"/>
  <c r="O802" i="2" l="1"/>
  <c r="R802" i="2" s="1"/>
  <c r="M802" i="2"/>
  <c r="P802" i="2" s="1"/>
  <c r="AG802" i="2" l="1"/>
  <c r="Q802" i="2"/>
  <c r="S802" i="2" s="1"/>
  <c r="Y802" i="2" s="1"/>
  <c r="AA802" i="2" s="1"/>
  <c r="Z802" i="2" l="1"/>
  <c r="AB803" i="2"/>
  <c r="B804" i="2" l="1"/>
  <c r="G803" i="2"/>
  <c r="H803" i="2" s="1"/>
  <c r="F803" i="2"/>
  <c r="AE803" i="2"/>
  <c r="AC803" i="2"/>
  <c r="U803" i="2"/>
  <c r="J803" i="2" l="1"/>
  <c r="W803" i="2"/>
  <c r="X803" i="2" s="1"/>
  <c r="AF804" i="2"/>
  <c r="C804" i="2"/>
  <c r="AD803" i="2"/>
  <c r="L803" i="2" s="1"/>
  <c r="K803" i="2" l="1"/>
  <c r="I803" i="2"/>
  <c r="D804" i="2"/>
  <c r="E804" i="2" s="1"/>
  <c r="T804" i="2" s="1"/>
  <c r="V804" i="2" l="1"/>
  <c r="N803" i="2"/>
  <c r="O803" i="2" l="1"/>
  <c r="R803" i="2" s="1"/>
  <c r="M803" i="2"/>
  <c r="P803" i="2" s="1"/>
  <c r="AG803" i="2" l="1"/>
  <c r="Q803" i="2"/>
  <c r="S803" i="2" s="1"/>
  <c r="Y803" i="2" s="1"/>
  <c r="AA803" i="2" s="1"/>
  <c r="Z803" i="2" l="1"/>
  <c r="AB804" i="2"/>
  <c r="B805" i="2" l="1"/>
  <c r="G804" i="2"/>
  <c r="H804" i="2" s="1"/>
  <c r="F804" i="2"/>
  <c r="AC804" i="2"/>
  <c r="AE804" i="2"/>
  <c r="U804" i="2"/>
  <c r="AD804" i="2" l="1"/>
  <c r="L804" i="2" s="1"/>
  <c r="AF805" i="2"/>
  <c r="C805" i="2"/>
  <c r="J804" i="2"/>
  <c r="W804" i="2"/>
  <c r="X804" i="2" s="1"/>
  <c r="I804" i="2" l="1"/>
  <c r="K804" i="2"/>
  <c r="D805" i="2"/>
  <c r="E805" i="2" s="1"/>
  <c r="T805" i="2" s="1"/>
  <c r="V805" i="2" l="1"/>
  <c r="N804" i="2"/>
  <c r="O804" i="2" l="1"/>
  <c r="R804" i="2" s="1"/>
  <c r="M804" i="2"/>
  <c r="P804" i="2" s="1"/>
  <c r="AG804" i="2" l="1"/>
  <c r="Q804" i="2"/>
  <c r="S804" i="2" s="1"/>
  <c r="Z804" i="2" s="1"/>
  <c r="Y804" i="2" l="1"/>
  <c r="AA804" i="2" s="1"/>
  <c r="AB805" i="2" s="1"/>
  <c r="B806" i="2" l="1"/>
  <c r="G805" i="2"/>
  <c r="H805" i="2" s="1"/>
  <c r="F805" i="2"/>
  <c r="AE805" i="2"/>
  <c r="AC805" i="2"/>
  <c r="U805" i="2"/>
  <c r="J805" i="2" l="1"/>
  <c r="W805" i="2"/>
  <c r="X805" i="2" s="1"/>
  <c r="C806" i="2"/>
  <c r="AF806" i="2"/>
  <c r="AD805" i="2"/>
  <c r="L805" i="2" s="1"/>
  <c r="D806" i="2" l="1"/>
  <c r="E806" i="2" s="1"/>
  <c r="T806" i="2" s="1"/>
  <c r="K805" i="2"/>
  <c r="I805" i="2"/>
  <c r="N805" i="2" l="1"/>
  <c r="V806" i="2"/>
  <c r="O805" i="2" l="1"/>
  <c r="R805" i="2" s="1"/>
  <c r="M805" i="2"/>
  <c r="P805" i="2" s="1"/>
  <c r="AG805" i="2" l="1"/>
  <c r="Q805" i="2"/>
  <c r="S805" i="2" s="1"/>
  <c r="Y805" i="2" s="1"/>
  <c r="AA805" i="2" s="1"/>
  <c r="Z805" i="2" l="1"/>
  <c r="AB806" i="2"/>
  <c r="B807" i="2" l="1"/>
  <c r="G806" i="2"/>
  <c r="H806" i="2" s="1"/>
  <c r="F806" i="2"/>
  <c r="AE806" i="2"/>
  <c r="AC806" i="2"/>
  <c r="U806" i="2"/>
  <c r="AD806" i="2" l="1"/>
  <c r="L806" i="2" s="1"/>
  <c r="AF807" i="2"/>
  <c r="C807" i="2"/>
  <c r="J806" i="2"/>
  <c r="W806" i="2"/>
  <c r="X806" i="2" s="1"/>
  <c r="K806" i="2" l="1"/>
  <c r="D807" i="2"/>
  <c r="E807" i="2" s="1"/>
  <c r="T807" i="2" s="1"/>
  <c r="I806" i="2"/>
  <c r="N806" i="2" l="1"/>
  <c r="M806" i="2" s="1"/>
  <c r="P806" i="2" s="1"/>
  <c r="V807" i="2"/>
  <c r="AG806" i="2" l="1"/>
  <c r="O806" i="2"/>
  <c r="R806" i="2" s="1"/>
  <c r="Q806" i="2" l="1"/>
  <c r="S806" i="2" s="1"/>
  <c r="Z806" i="2" s="1"/>
  <c r="Y806" i="2" l="1"/>
  <c r="AA806" i="2" s="1"/>
  <c r="AB807" i="2" s="1"/>
  <c r="B808" i="2" l="1"/>
  <c r="G807" i="2"/>
  <c r="H807" i="2" s="1"/>
  <c r="F807" i="2"/>
  <c r="AE807" i="2"/>
  <c r="AC807" i="2"/>
  <c r="U807" i="2"/>
  <c r="J807" i="2" l="1"/>
  <c r="W807" i="2"/>
  <c r="X807" i="2" s="1"/>
  <c r="C808" i="2"/>
  <c r="AF808" i="2"/>
  <c r="AD807" i="2"/>
  <c r="L807" i="2" s="1"/>
  <c r="D808" i="2" l="1"/>
  <c r="E808" i="2" s="1"/>
  <c r="T808" i="2" s="1"/>
  <c r="K807" i="2"/>
  <c r="I807" i="2"/>
  <c r="N807" i="2" l="1"/>
  <c r="V808" i="2"/>
  <c r="O807" i="2" l="1"/>
  <c r="R807" i="2" s="1"/>
  <c r="M807" i="2"/>
  <c r="P807" i="2" s="1"/>
  <c r="AG807" i="2" l="1"/>
  <c r="Q807" i="2"/>
  <c r="S807" i="2" s="1"/>
  <c r="Z807" i="2" s="1"/>
  <c r="Y807" i="2" l="1"/>
  <c r="AA807" i="2" s="1"/>
  <c r="AB808" i="2" s="1"/>
  <c r="B809" i="2" l="1"/>
  <c r="G808" i="2"/>
  <c r="H808" i="2" s="1"/>
  <c r="F808" i="2"/>
  <c r="AC808" i="2"/>
  <c r="AE808" i="2"/>
  <c r="U808" i="2"/>
  <c r="AD808" i="2" l="1"/>
  <c r="L808" i="2" s="1"/>
  <c r="AF809" i="2"/>
  <c r="C809" i="2"/>
  <c r="J808" i="2"/>
  <c r="W808" i="2"/>
  <c r="X808" i="2" s="1"/>
  <c r="I808" i="2" l="1"/>
  <c r="K808" i="2"/>
  <c r="D809" i="2"/>
  <c r="E809" i="2" s="1"/>
  <c r="T809" i="2" s="1"/>
  <c r="V809" i="2" l="1"/>
  <c r="N808" i="2"/>
  <c r="O808" i="2" l="1"/>
  <c r="R808" i="2" s="1"/>
  <c r="M808" i="2"/>
  <c r="P808" i="2" s="1"/>
  <c r="AG808" i="2" l="1"/>
  <c r="Q808" i="2"/>
  <c r="S808" i="2" s="1"/>
  <c r="Y808" i="2" s="1"/>
  <c r="AA808" i="2" s="1"/>
  <c r="Z808" i="2" l="1"/>
  <c r="AB809" i="2"/>
  <c r="B810" i="2" l="1"/>
  <c r="G809" i="2"/>
  <c r="H809" i="2" s="1"/>
  <c r="F809" i="2"/>
  <c r="AE809" i="2"/>
  <c r="AC809" i="2"/>
  <c r="U809" i="2"/>
  <c r="J809" i="2" l="1"/>
  <c r="W809" i="2"/>
  <c r="X809" i="2" s="1"/>
  <c r="AF810" i="2"/>
  <c r="C810" i="2"/>
  <c r="AD809" i="2"/>
  <c r="L809" i="2" s="1"/>
  <c r="D810" i="2" l="1"/>
  <c r="E810" i="2" s="1"/>
  <c r="T810" i="2" s="1"/>
  <c r="K809" i="2"/>
  <c r="I809" i="2"/>
  <c r="N809" i="2" l="1"/>
  <c r="M809" i="2" s="1"/>
  <c r="P809" i="2" s="1"/>
  <c r="V810" i="2"/>
  <c r="AG809" i="2" l="1"/>
  <c r="O809" i="2"/>
  <c r="R809" i="2" s="1"/>
  <c r="Q809" i="2" l="1"/>
  <c r="S809" i="2" s="1"/>
  <c r="Y809" i="2" s="1"/>
  <c r="AA809" i="2" s="1"/>
  <c r="Z809" i="2" l="1"/>
  <c r="AB810" i="2"/>
  <c r="B811" i="2" l="1"/>
  <c r="G810" i="2"/>
  <c r="H810" i="2" s="1"/>
  <c r="F810" i="2"/>
  <c r="AE810" i="2"/>
  <c r="AC810" i="2"/>
  <c r="U810" i="2"/>
  <c r="J810" i="2" l="1"/>
  <c r="W810" i="2"/>
  <c r="X810" i="2" s="1"/>
  <c r="AD810" i="2"/>
  <c r="L810" i="2" s="1"/>
  <c r="C811" i="2"/>
  <c r="AF811" i="2"/>
  <c r="D811" i="2" l="1"/>
  <c r="E811" i="2" s="1"/>
  <c r="T811" i="2" s="1"/>
  <c r="K810" i="2"/>
  <c r="I810" i="2"/>
  <c r="N810" i="2" l="1"/>
  <c r="M810" i="2" s="1"/>
  <c r="P810" i="2" s="1"/>
  <c r="V811" i="2"/>
  <c r="AG810" i="2" l="1"/>
  <c r="O810" i="2"/>
  <c r="R810" i="2" s="1"/>
  <c r="Q810" i="2" l="1"/>
  <c r="S810" i="2" s="1"/>
  <c r="Y810" i="2" s="1"/>
  <c r="AA810" i="2" s="1"/>
  <c r="Z810" i="2" l="1"/>
  <c r="AB811" i="2"/>
  <c r="B812" i="2" l="1"/>
  <c r="G811" i="2"/>
  <c r="H811" i="2" s="1"/>
  <c r="F811" i="2"/>
  <c r="AE811" i="2"/>
  <c r="AC811" i="2"/>
  <c r="U811" i="2"/>
  <c r="AF812" i="2" l="1"/>
  <c r="C812" i="2"/>
  <c r="J811" i="2"/>
  <c r="W811" i="2"/>
  <c r="X811" i="2" s="1"/>
  <c r="AD811" i="2"/>
  <c r="L811" i="2" s="1"/>
  <c r="D812" i="2" l="1"/>
  <c r="E812" i="2" s="1"/>
  <c r="T812" i="2" s="1"/>
  <c r="K811" i="2"/>
  <c r="I811" i="2"/>
  <c r="N811" i="2" l="1"/>
  <c r="M811" i="2" s="1"/>
  <c r="P811" i="2" s="1"/>
  <c r="V812" i="2"/>
  <c r="AG811" i="2" l="1"/>
  <c r="O811" i="2"/>
  <c r="R811" i="2" s="1"/>
  <c r="Q811" i="2" l="1"/>
  <c r="S811" i="2" s="1"/>
  <c r="Z811" i="2" s="1"/>
  <c r="Y811" i="2" l="1"/>
  <c r="AA811" i="2" s="1"/>
  <c r="AB812" i="2" s="1"/>
  <c r="B813" i="2" l="1"/>
  <c r="G812" i="2"/>
  <c r="H812" i="2" s="1"/>
  <c r="F812" i="2"/>
  <c r="AC812" i="2"/>
  <c r="AE812" i="2"/>
  <c r="U812" i="2"/>
  <c r="AD812" i="2" l="1"/>
  <c r="L812" i="2" s="1"/>
  <c r="C813" i="2"/>
  <c r="AF813" i="2"/>
  <c r="J812" i="2"/>
  <c r="W812" i="2"/>
  <c r="X812" i="2" s="1"/>
  <c r="I812" i="2" l="1"/>
  <c r="K812" i="2"/>
  <c r="D813" i="2"/>
  <c r="E813" i="2" s="1"/>
  <c r="T813" i="2" s="1"/>
  <c r="V813" i="2" l="1"/>
  <c r="N812" i="2"/>
  <c r="O812" i="2" l="1"/>
  <c r="R812" i="2" s="1"/>
  <c r="M812" i="2"/>
  <c r="P812" i="2" s="1"/>
  <c r="AG812" i="2" l="1"/>
  <c r="Q812" i="2"/>
  <c r="S812" i="2" s="1"/>
  <c r="Y812" i="2" s="1"/>
  <c r="AA812" i="2" s="1"/>
  <c r="Z812" i="2" l="1"/>
  <c r="AB813" i="2"/>
  <c r="B814" i="2" l="1"/>
  <c r="G813" i="2"/>
  <c r="H813" i="2" s="1"/>
  <c r="F813" i="2"/>
  <c r="AE813" i="2"/>
  <c r="AC813" i="2"/>
  <c r="U813" i="2"/>
  <c r="AF814" i="2" l="1"/>
  <c r="C814" i="2"/>
  <c r="J813" i="2"/>
  <c r="W813" i="2"/>
  <c r="X813" i="2" s="1"/>
  <c r="AD813" i="2"/>
  <c r="L813" i="2" s="1"/>
  <c r="D814" i="2" l="1"/>
  <c r="E814" i="2" s="1"/>
  <c r="T814" i="2" s="1"/>
  <c r="K813" i="2"/>
  <c r="I813" i="2"/>
  <c r="N813" i="2" l="1"/>
  <c r="M813" i="2" s="1"/>
  <c r="P813" i="2" s="1"/>
  <c r="V814" i="2"/>
  <c r="AG813" i="2" l="1"/>
  <c r="O813" i="2"/>
  <c r="Q813" i="2" s="1"/>
  <c r="R813" i="2" l="1"/>
  <c r="S813" i="2" s="1"/>
  <c r="Y813" i="2" l="1"/>
  <c r="AA813" i="2" s="1"/>
  <c r="Z813" i="2"/>
  <c r="AB814" i="2" l="1"/>
  <c r="B815" i="2" l="1"/>
  <c r="G814" i="2"/>
  <c r="H814" i="2" s="1"/>
  <c r="F814" i="2"/>
  <c r="AC814" i="2"/>
  <c r="AE814" i="2"/>
  <c r="U814" i="2"/>
  <c r="AF815" i="2" l="1"/>
  <c r="C815" i="2"/>
  <c r="AD814" i="2"/>
  <c r="L814" i="2" s="1"/>
  <c r="J814" i="2"/>
  <c r="W814" i="2"/>
  <c r="X814" i="2" s="1"/>
  <c r="K814" i="2" l="1"/>
  <c r="D815" i="2"/>
  <c r="E815" i="2" s="1"/>
  <c r="T815" i="2" s="1"/>
  <c r="I814" i="2"/>
  <c r="N814" i="2" l="1"/>
  <c r="V815" i="2"/>
  <c r="O814" i="2" l="1"/>
  <c r="R814" i="2" s="1"/>
  <c r="M814" i="2"/>
  <c r="P814" i="2" s="1"/>
  <c r="AG814" i="2" l="1"/>
  <c r="Q814" i="2"/>
  <c r="S814" i="2" s="1"/>
  <c r="Z814" i="2" s="1"/>
  <c r="Y814" i="2" l="1"/>
  <c r="AA814" i="2" s="1"/>
  <c r="AB815" i="2" s="1"/>
  <c r="B816" i="2" l="1"/>
  <c r="G815" i="2"/>
  <c r="H815" i="2" s="1"/>
  <c r="F815" i="2"/>
  <c r="AE815" i="2"/>
  <c r="AC815" i="2"/>
  <c r="U815" i="2"/>
  <c r="AF816" i="2" l="1"/>
  <c r="C816" i="2"/>
  <c r="J815" i="2"/>
  <c r="W815" i="2"/>
  <c r="X815" i="2" s="1"/>
  <c r="AD815" i="2"/>
  <c r="L815" i="2" s="1"/>
  <c r="D816" i="2" l="1"/>
  <c r="E816" i="2" s="1"/>
  <c r="T816" i="2" s="1"/>
  <c r="K815" i="2"/>
  <c r="I815" i="2"/>
  <c r="N815" i="2" l="1"/>
  <c r="V816" i="2"/>
  <c r="O815" i="2" l="1"/>
  <c r="R815" i="2" s="1"/>
  <c r="M815" i="2"/>
  <c r="P815" i="2" s="1"/>
  <c r="AG815" i="2" l="1"/>
  <c r="Q815" i="2"/>
  <c r="S815" i="2" s="1"/>
  <c r="Z815" i="2" s="1"/>
  <c r="Y815" i="2" l="1"/>
  <c r="AA815" i="2" s="1"/>
  <c r="AB816" i="2" s="1"/>
  <c r="B817" i="2" l="1"/>
  <c r="G816" i="2"/>
  <c r="H816" i="2" s="1"/>
  <c r="F816" i="2"/>
  <c r="AC816" i="2"/>
  <c r="AE816" i="2"/>
  <c r="U816" i="2"/>
  <c r="J816" i="2" l="1"/>
  <c r="W816" i="2"/>
  <c r="X816" i="2" s="1"/>
  <c r="AD816" i="2"/>
  <c r="L816" i="2" s="1"/>
  <c r="C817" i="2"/>
  <c r="AF817" i="2"/>
  <c r="D817" i="2" l="1"/>
  <c r="E817" i="2" s="1"/>
  <c r="T817" i="2" s="1"/>
  <c r="K816" i="2"/>
  <c r="I816" i="2"/>
  <c r="N816" i="2" l="1"/>
  <c r="M816" i="2" s="1"/>
  <c r="P816" i="2" s="1"/>
  <c r="V817" i="2"/>
  <c r="AG816" i="2" l="1"/>
  <c r="O816" i="2"/>
  <c r="Q816" i="2" s="1"/>
  <c r="R816" i="2" l="1"/>
  <c r="S816" i="2" s="1"/>
  <c r="Y816" i="2" s="1"/>
  <c r="AA816" i="2" s="1"/>
  <c r="Z816" i="2" l="1"/>
  <c r="AB817" i="2"/>
  <c r="B818" i="2" l="1"/>
  <c r="G817" i="2"/>
  <c r="H817" i="2" s="1"/>
  <c r="F817" i="2"/>
  <c r="AE817" i="2"/>
  <c r="AC817" i="2"/>
  <c r="U817" i="2"/>
  <c r="J817" i="2" l="1"/>
  <c r="W817" i="2"/>
  <c r="X817" i="2" s="1"/>
  <c r="AF818" i="2"/>
  <c r="C818" i="2"/>
  <c r="AD817" i="2"/>
  <c r="L817" i="2" s="1"/>
  <c r="I817" i="2" l="1"/>
  <c r="D818" i="2"/>
  <c r="E818" i="2" s="1"/>
  <c r="T818" i="2" s="1"/>
  <c r="K817" i="2"/>
  <c r="V818" i="2" l="1"/>
  <c r="N817" i="2"/>
  <c r="O817" i="2" l="1"/>
  <c r="R817" i="2" s="1"/>
  <c r="M817" i="2"/>
  <c r="P817" i="2" s="1"/>
  <c r="AG817" i="2" l="1"/>
  <c r="Q817" i="2"/>
  <c r="S817" i="2" s="1"/>
  <c r="Y817" i="2" s="1"/>
  <c r="AA817" i="2" s="1"/>
  <c r="Z817" i="2" l="1"/>
  <c r="AB818" i="2"/>
  <c r="B819" i="2" l="1"/>
  <c r="G818" i="2"/>
  <c r="H818" i="2" s="1"/>
  <c r="F818" i="2"/>
  <c r="AE818" i="2"/>
  <c r="AC818" i="2"/>
  <c r="U818" i="2"/>
  <c r="AF819" i="2" l="1"/>
  <c r="C819" i="2"/>
  <c r="AD818" i="2"/>
  <c r="L818" i="2" s="1"/>
  <c r="J818" i="2"/>
  <c r="W818" i="2"/>
  <c r="X818" i="2" s="1"/>
  <c r="K818" i="2" l="1"/>
  <c r="I818" i="2"/>
  <c r="D819" i="2"/>
  <c r="E819" i="2" s="1"/>
  <c r="T819" i="2" s="1"/>
  <c r="N818" i="2" l="1"/>
  <c r="V819" i="2"/>
  <c r="O818" i="2" l="1"/>
  <c r="R818" i="2" s="1"/>
  <c r="M818" i="2"/>
  <c r="P818" i="2" s="1"/>
  <c r="AG818" i="2" l="1"/>
  <c r="Q818" i="2"/>
  <c r="S818" i="2" s="1"/>
  <c r="Y818" i="2" s="1"/>
  <c r="AA818" i="2" s="1"/>
  <c r="Z818" i="2" l="1"/>
  <c r="AB819" i="2"/>
  <c r="B820" i="2" l="1"/>
  <c r="G819" i="2"/>
  <c r="H819" i="2" s="1"/>
  <c r="F819" i="2"/>
  <c r="AE819" i="2"/>
  <c r="AC819" i="2"/>
  <c r="U819" i="2"/>
  <c r="AF820" i="2" l="1"/>
  <c r="C820" i="2"/>
  <c r="AD819" i="2"/>
  <c r="L819" i="2" s="1"/>
  <c r="J819" i="2"/>
  <c r="W819" i="2"/>
  <c r="X819" i="2" s="1"/>
  <c r="K819" i="2" l="1"/>
  <c r="D820" i="2"/>
  <c r="E820" i="2" s="1"/>
  <c r="T820" i="2" s="1"/>
  <c r="I819" i="2"/>
  <c r="N819" i="2" l="1"/>
  <c r="M819" i="2" s="1"/>
  <c r="P819" i="2" s="1"/>
  <c r="V820" i="2"/>
  <c r="AG819" i="2" l="1"/>
  <c r="O819" i="2"/>
  <c r="Q819" i="2" s="1"/>
  <c r="R819" i="2" l="1"/>
  <c r="S819" i="2" s="1"/>
  <c r="Y819" i="2" l="1"/>
  <c r="AA819" i="2" s="1"/>
  <c r="AB820" i="2" s="1"/>
  <c r="Z819" i="2"/>
  <c r="B821" i="2" l="1"/>
  <c r="G820" i="2"/>
  <c r="H820" i="2" s="1"/>
  <c r="F820" i="2"/>
  <c r="AC820" i="2"/>
  <c r="AE820" i="2"/>
  <c r="U820" i="2"/>
  <c r="AF821" i="2" l="1"/>
  <c r="C821" i="2"/>
  <c r="AD820" i="2"/>
  <c r="L820" i="2" s="1"/>
  <c r="J820" i="2"/>
  <c r="W820" i="2"/>
  <c r="X820" i="2" s="1"/>
  <c r="K820" i="2" l="1"/>
  <c r="I820" i="2"/>
  <c r="D821" i="2"/>
  <c r="E821" i="2" s="1"/>
  <c r="T821" i="2" s="1"/>
  <c r="N820" i="2" l="1"/>
  <c r="V821" i="2"/>
  <c r="O820" i="2" l="1"/>
  <c r="R820" i="2" s="1"/>
  <c r="M820" i="2"/>
  <c r="P820" i="2" s="1"/>
  <c r="AG820" i="2" l="1"/>
  <c r="Q820" i="2"/>
  <c r="S820" i="2" s="1"/>
  <c r="Z820" i="2" s="1"/>
  <c r="Y820" i="2" l="1"/>
  <c r="AA820" i="2" s="1"/>
  <c r="AB821" i="2" s="1"/>
  <c r="B822" i="2" l="1"/>
  <c r="G821" i="2"/>
  <c r="H821" i="2" s="1"/>
  <c r="F821" i="2"/>
  <c r="AE821" i="2"/>
  <c r="AC821" i="2"/>
  <c r="U821" i="2"/>
  <c r="AF822" i="2" l="1"/>
  <c r="C822" i="2"/>
  <c r="AD821" i="2"/>
  <c r="L821" i="2" s="1"/>
  <c r="J821" i="2"/>
  <c r="W821" i="2"/>
  <c r="X821" i="2" s="1"/>
  <c r="I821" i="2" l="1"/>
  <c r="D822" i="2"/>
  <c r="E822" i="2" s="1"/>
  <c r="T822" i="2" s="1"/>
  <c r="K821" i="2"/>
  <c r="V822" i="2" l="1"/>
  <c r="N821" i="2"/>
  <c r="O821" i="2" l="1"/>
  <c r="R821" i="2" s="1"/>
  <c r="M821" i="2"/>
  <c r="P821" i="2" s="1"/>
  <c r="AG821" i="2" l="1"/>
  <c r="Q821" i="2"/>
  <c r="S821" i="2" s="1"/>
  <c r="Y821" i="2" s="1"/>
  <c r="AA821" i="2" s="1"/>
  <c r="Z821" i="2" l="1"/>
  <c r="AB822" i="2"/>
  <c r="B823" i="2" l="1"/>
  <c r="G822" i="2"/>
  <c r="H822" i="2" s="1"/>
  <c r="F822" i="2"/>
  <c r="AE822" i="2"/>
  <c r="AC822" i="2"/>
  <c r="U822" i="2"/>
  <c r="AD822" i="2" l="1"/>
  <c r="L822" i="2" s="1"/>
  <c r="AF823" i="2"/>
  <c r="C823" i="2"/>
  <c r="J822" i="2"/>
  <c r="W822" i="2"/>
  <c r="X822" i="2" s="1"/>
  <c r="K822" i="2" l="1"/>
  <c r="I822" i="2"/>
  <c r="D823" i="2"/>
  <c r="E823" i="2" s="1"/>
  <c r="T823" i="2" s="1"/>
  <c r="N822" i="2" l="1"/>
  <c r="V823" i="2"/>
  <c r="O822" i="2" l="1"/>
  <c r="R822" i="2" s="1"/>
  <c r="M822" i="2"/>
  <c r="P822" i="2" s="1"/>
  <c r="AG822" i="2" l="1"/>
  <c r="Q822" i="2"/>
  <c r="S822" i="2" s="1"/>
  <c r="Z822" i="2" s="1"/>
  <c r="Y822" i="2" l="1"/>
  <c r="AA822" i="2" s="1"/>
  <c r="AB823" i="2" s="1"/>
  <c r="B824" i="2" l="1"/>
  <c r="G823" i="2"/>
  <c r="H823" i="2" s="1"/>
  <c r="F823" i="2"/>
  <c r="AE823" i="2"/>
  <c r="AC823" i="2"/>
  <c r="U823" i="2"/>
  <c r="J823" i="2" l="1"/>
  <c r="W823" i="2"/>
  <c r="X823" i="2" s="1"/>
  <c r="AD823" i="2"/>
  <c r="L823" i="2" s="1"/>
  <c r="AF824" i="2"/>
  <c r="C824" i="2"/>
  <c r="K823" i="2" l="1"/>
  <c r="D824" i="2"/>
  <c r="E824" i="2" s="1"/>
  <c r="T824" i="2" s="1"/>
  <c r="I823" i="2"/>
  <c r="N823" i="2" l="1"/>
  <c r="V824" i="2"/>
  <c r="O823" i="2" l="1"/>
  <c r="R823" i="2" s="1"/>
  <c r="M823" i="2"/>
  <c r="P823" i="2" s="1"/>
  <c r="AG823" i="2" l="1"/>
  <c r="Q823" i="2"/>
  <c r="S823" i="2" s="1"/>
  <c r="Z823" i="2" s="1"/>
  <c r="Y823" i="2" l="1"/>
  <c r="AA823" i="2" s="1"/>
  <c r="AB824" i="2" s="1"/>
  <c r="B825" i="2" l="1"/>
  <c r="G824" i="2"/>
  <c r="H824" i="2" s="1"/>
  <c r="F824" i="2"/>
  <c r="AE824" i="2"/>
  <c r="AC824" i="2"/>
  <c r="U824" i="2"/>
  <c r="AD824" i="2" l="1"/>
  <c r="L824" i="2" s="1"/>
  <c r="J824" i="2"/>
  <c r="W824" i="2"/>
  <c r="X824" i="2" s="1"/>
  <c r="C825" i="2"/>
  <c r="AF825" i="2"/>
  <c r="I824" i="2" l="1"/>
  <c r="D825" i="2"/>
  <c r="E825" i="2" s="1"/>
  <c r="T825" i="2" s="1"/>
  <c r="K824" i="2"/>
  <c r="V825" i="2" l="1"/>
  <c r="N824" i="2"/>
  <c r="O824" i="2" l="1"/>
  <c r="Q824" i="2" s="1"/>
  <c r="M824" i="2"/>
  <c r="P824" i="2" s="1"/>
  <c r="AG824" i="2" l="1"/>
  <c r="R824" i="2"/>
  <c r="S824" i="2" s="1"/>
  <c r="Y824" i="2" l="1"/>
  <c r="AA824" i="2" s="1"/>
  <c r="Z824" i="2"/>
  <c r="AB825" i="2" l="1"/>
  <c r="B826" i="2" l="1"/>
  <c r="G825" i="2"/>
  <c r="H825" i="2" s="1"/>
  <c r="AC825" i="2"/>
  <c r="AE825" i="2"/>
  <c r="AD825" i="2" s="1"/>
  <c r="L825" i="2" s="1"/>
  <c r="U825" i="2"/>
  <c r="F825" i="2"/>
  <c r="J825" i="2" s="1"/>
  <c r="I825" i="2" l="1"/>
  <c r="W825" i="2"/>
  <c r="X825" i="2" s="1"/>
  <c r="AF826" i="2"/>
  <c r="C826" i="2"/>
  <c r="D826" i="2" s="1"/>
  <c r="E826" i="2" s="1"/>
  <c r="T826" i="2" s="1"/>
  <c r="K825" i="2"/>
  <c r="V826" i="2" l="1"/>
  <c r="N825" i="2"/>
  <c r="O825" i="2" l="1"/>
  <c r="R825" i="2" s="1"/>
  <c r="M825" i="2"/>
  <c r="P825" i="2" s="1"/>
  <c r="AG825" i="2" l="1"/>
  <c r="Q825" i="2"/>
  <c r="S825" i="2" s="1"/>
  <c r="Y825" i="2" s="1"/>
  <c r="AA825" i="2" s="1"/>
  <c r="Z825" i="2" l="1"/>
  <c r="AB826" i="2"/>
  <c r="B827" i="2" l="1"/>
  <c r="G826" i="2"/>
  <c r="H826" i="2" s="1"/>
  <c r="F826" i="2"/>
  <c r="AE826" i="2"/>
  <c r="AC826" i="2"/>
  <c r="U826" i="2"/>
  <c r="J826" i="2" l="1"/>
  <c r="W826" i="2"/>
  <c r="X826" i="2" s="1"/>
  <c r="AD826" i="2"/>
  <c r="L826" i="2" s="1"/>
  <c r="AF827" i="2"/>
  <c r="C827" i="2"/>
  <c r="K826" i="2" l="1"/>
  <c r="D827" i="2"/>
  <c r="E827" i="2" s="1"/>
  <c r="T827" i="2" s="1"/>
  <c r="I826" i="2"/>
  <c r="N826" i="2" l="1"/>
  <c r="V827" i="2"/>
  <c r="O826" i="2" l="1"/>
  <c r="R826" i="2" s="1"/>
  <c r="M826" i="2"/>
  <c r="P826" i="2" s="1"/>
  <c r="AG826" i="2" l="1"/>
  <c r="Q826" i="2"/>
  <c r="S826" i="2" s="1"/>
  <c r="Z826" i="2" s="1"/>
  <c r="Y826" i="2" l="1"/>
  <c r="AA826" i="2" s="1"/>
  <c r="AB827" i="2" s="1"/>
  <c r="B828" i="2" l="1"/>
  <c r="G827" i="2"/>
  <c r="H827" i="2" s="1"/>
  <c r="F827" i="2"/>
  <c r="AE827" i="2"/>
  <c r="AC827" i="2"/>
  <c r="U827" i="2"/>
  <c r="C828" i="2" l="1"/>
  <c r="AF828" i="2"/>
  <c r="AD827" i="2"/>
  <c r="L827" i="2" s="1"/>
  <c r="J827" i="2"/>
  <c r="W827" i="2"/>
  <c r="X827" i="2" s="1"/>
  <c r="K827" i="2" l="1"/>
  <c r="I827" i="2"/>
  <c r="D828" i="2"/>
  <c r="E828" i="2" s="1"/>
  <c r="T828" i="2" s="1"/>
  <c r="N827" i="2" l="1"/>
  <c r="V828" i="2"/>
  <c r="O827" i="2" l="1"/>
  <c r="R827" i="2" s="1"/>
  <c r="M827" i="2"/>
  <c r="P827" i="2" s="1"/>
  <c r="AG827" i="2" l="1"/>
  <c r="Q827" i="2"/>
  <c r="S827" i="2" s="1"/>
  <c r="Y827" i="2" s="1"/>
  <c r="AA827" i="2" s="1"/>
  <c r="Z827" i="2" l="1"/>
  <c r="AB828" i="2"/>
  <c r="B829" i="2" l="1"/>
  <c r="G828" i="2"/>
  <c r="H828" i="2" s="1"/>
  <c r="F828" i="2"/>
  <c r="AC828" i="2"/>
  <c r="AE828" i="2"/>
  <c r="U828" i="2"/>
  <c r="AD828" i="2" l="1"/>
  <c r="L828" i="2" s="1"/>
  <c r="J828" i="2"/>
  <c r="W828" i="2"/>
  <c r="X828" i="2" s="1"/>
  <c r="AF829" i="2"/>
  <c r="C829" i="2"/>
  <c r="I828" i="2" l="1"/>
  <c r="K828" i="2"/>
  <c r="D829" i="2"/>
  <c r="E829" i="2" s="1"/>
  <c r="T829" i="2" s="1"/>
  <c r="V829" i="2" l="1"/>
  <c r="N828" i="2"/>
  <c r="O828" i="2" l="1"/>
  <c r="R828" i="2" s="1"/>
  <c r="M828" i="2"/>
  <c r="P828" i="2" s="1"/>
  <c r="AG828" i="2" l="1"/>
  <c r="Q828" i="2"/>
  <c r="S828" i="2" s="1"/>
  <c r="Y828" i="2" s="1"/>
  <c r="AA828" i="2" s="1"/>
  <c r="Z828" i="2" l="1"/>
  <c r="AB829" i="2"/>
  <c r="B830" i="2" l="1"/>
  <c r="G829" i="2"/>
  <c r="H829" i="2" s="1"/>
  <c r="F829" i="2"/>
  <c r="AE829" i="2"/>
  <c r="AC829" i="2"/>
  <c r="U829" i="2"/>
  <c r="AD829" i="2" l="1"/>
  <c r="L829" i="2" s="1"/>
  <c r="AF830" i="2"/>
  <c r="C830" i="2"/>
  <c r="J829" i="2"/>
  <c r="W829" i="2"/>
  <c r="X829" i="2" s="1"/>
  <c r="K829" i="2" l="1"/>
  <c r="I829" i="2"/>
  <c r="D830" i="2"/>
  <c r="E830" i="2" s="1"/>
  <c r="T830" i="2" s="1"/>
  <c r="N829" i="2" l="1"/>
  <c r="V830" i="2"/>
  <c r="O829" i="2" l="1"/>
  <c r="Q829" i="2" s="1"/>
  <c r="M829" i="2"/>
  <c r="P829" i="2" s="1"/>
  <c r="AG829" i="2" l="1"/>
  <c r="R829" i="2"/>
  <c r="S829" i="2" s="1"/>
  <c r="Z829" i="2" s="1"/>
  <c r="Y829" i="2" l="1"/>
  <c r="AA829" i="2" s="1"/>
  <c r="AB830" i="2" s="1"/>
  <c r="B831" i="2" l="1"/>
  <c r="G830" i="2"/>
  <c r="H830" i="2" s="1"/>
  <c r="F830" i="2"/>
  <c r="AC830" i="2"/>
  <c r="AE830" i="2"/>
  <c r="U830" i="2"/>
  <c r="AD830" i="2" l="1"/>
  <c r="L830" i="2" s="1"/>
  <c r="AF831" i="2"/>
  <c r="C831" i="2"/>
  <c r="J830" i="2"/>
  <c r="W830" i="2"/>
  <c r="X830" i="2" s="1"/>
  <c r="I830" i="2" l="1"/>
  <c r="K830" i="2"/>
  <c r="D831" i="2"/>
  <c r="E831" i="2" s="1"/>
  <c r="T831" i="2" s="1"/>
  <c r="V831" i="2" l="1"/>
  <c r="N830" i="2"/>
  <c r="O830" i="2" l="1"/>
  <c r="Q830" i="2" s="1"/>
  <c r="M830" i="2"/>
  <c r="P830" i="2" s="1"/>
  <c r="AG830" i="2" l="1"/>
  <c r="R830" i="2"/>
  <c r="S830" i="2" s="1"/>
  <c r="Y830" i="2" l="1"/>
  <c r="AA830" i="2" s="1"/>
  <c r="AB831" i="2" s="1"/>
  <c r="Z830" i="2"/>
  <c r="B832" i="2" l="1"/>
  <c r="G831" i="2"/>
  <c r="H831" i="2" s="1"/>
  <c r="F831" i="2"/>
  <c r="AE831" i="2"/>
  <c r="AC831" i="2"/>
  <c r="U831" i="2"/>
  <c r="C832" i="2" l="1"/>
  <c r="AF832" i="2"/>
  <c r="AD831" i="2"/>
  <c r="L831" i="2" s="1"/>
  <c r="J831" i="2"/>
  <c r="W831" i="2"/>
  <c r="X831" i="2" s="1"/>
  <c r="I831" i="2" l="1"/>
  <c r="K831" i="2"/>
  <c r="D832" i="2"/>
  <c r="E832" i="2" s="1"/>
  <c r="T832" i="2" s="1"/>
  <c r="N831" i="2" l="1"/>
  <c r="M831" i="2" s="1"/>
  <c r="P831" i="2" s="1"/>
  <c r="V832" i="2"/>
  <c r="AG831" i="2" l="1"/>
  <c r="O831" i="2"/>
  <c r="Q831" i="2" s="1"/>
  <c r="R831" i="2" l="1"/>
  <c r="S831" i="2" s="1"/>
  <c r="Z831" i="2" s="1"/>
  <c r="Y831" i="2" l="1"/>
  <c r="AA831" i="2" s="1"/>
  <c r="AB832" i="2" l="1"/>
  <c r="B833" i="2" l="1"/>
  <c r="G832" i="2"/>
  <c r="H832" i="2" s="1"/>
  <c r="F832" i="2"/>
  <c r="AE832" i="2"/>
  <c r="AD832" i="2" s="1"/>
  <c r="L832" i="2" s="1"/>
  <c r="U832" i="2"/>
  <c r="AC832" i="2"/>
  <c r="W832" i="2" l="1"/>
  <c r="X832" i="2" s="1"/>
  <c r="J832" i="2"/>
  <c r="AF833" i="2"/>
  <c r="C833" i="2"/>
  <c r="D833" i="2" s="1"/>
  <c r="E833" i="2" s="1"/>
  <c r="T833" i="2" s="1"/>
  <c r="K832" i="2" l="1"/>
  <c r="I832" i="2"/>
  <c r="N832" i="2" s="1"/>
  <c r="V833" i="2"/>
  <c r="O832" i="2" l="1"/>
  <c r="R832" i="2" s="1"/>
  <c r="M832" i="2"/>
  <c r="P832" i="2" s="1"/>
  <c r="AG832" i="2" l="1"/>
  <c r="Q832" i="2"/>
  <c r="S832" i="2" s="1"/>
  <c r="Y832" i="2" s="1"/>
  <c r="AA832" i="2" s="1"/>
  <c r="Z832" i="2" l="1"/>
  <c r="AB833" i="2"/>
  <c r="B834" i="2" l="1"/>
  <c r="H834" i="2" s="1"/>
  <c r="G833" i="2"/>
  <c r="H833" i="2" s="1"/>
  <c r="F833" i="2"/>
  <c r="AC833" i="2"/>
  <c r="AE833" i="2"/>
  <c r="U833" i="2"/>
  <c r="J833" i="2" l="1"/>
  <c r="W833" i="2"/>
  <c r="X833" i="2" s="1"/>
  <c r="AF834" i="2"/>
  <c r="C834" i="2"/>
  <c r="AD833" i="2"/>
  <c r="L833" i="2" s="1"/>
  <c r="K833" i="2" l="1"/>
  <c r="D834" i="2"/>
  <c r="E834" i="2" s="1"/>
  <c r="T834" i="2" s="1"/>
  <c r="I833" i="2"/>
  <c r="N833" i="2" l="1"/>
  <c r="V834" i="2"/>
  <c r="O833" i="2" l="1"/>
  <c r="R833" i="2" s="1"/>
  <c r="M833" i="2"/>
  <c r="P833" i="2" s="1"/>
  <c r="AG833" i="2" l="1"/>
  <c r="Q833" i="2"/>
  <c r="S833" i="2" s="1"/>
  <c r="Z833" i="2" s="1"/>
  <c r="Y833" i="2" l="1"/>
  <c r="AA833" i="2" s="1"/>
  <c r="AB834" i="2" s="1"/>
  <c r="B835" i="2" l="1"/>
  <c r="H835" i="2" s="1"/>
  <c r="G834" i="2"/>
  <c r="F834" i="2"/>
  <c r="AE834" i="2"/>
  <c r="AC834" i="2"/>
  <c r="U834" i="2"/>
  <c r="J834" i="2" l="1"/>
  <c r="W834" i="2"/>
  <c r="X834" i="2" s="1"/>
  <c r="AD834" i="2"/>
  <c r="L834" i="2" s="1"/>
  <c r="AF835" i="2"/>
  <c r="C835" i="2"/>
  <c r="K834" i="2" l="1"/>
  <c r="D835" i="2"/>
  <c r="E835" i="2" s="1"/>
  <c r="T835" i="2" s="1"/>
  <c r="I834" i="2"/>
  <c r="N834" i="2" l="1"/>
  <c r="V835" i="2"/>
  <c r="O834" i="2" l="1"/>
  <c r="R834" i="2" s="1"/>
  <c r="M834" i="2"/>
  <c r="P834" i="2" s="1"/>
  <c r="AG834" i="2" l="1"/>
  <c r="Q834" i="2"/>
  <c r="S834" i="2" s="1"/>
  <c r="Z834" i="2" s="1"/>
  <c r="Y834" i="2" l="1"/>
  <c r="AA834" i="2" s="1"/>
  <c r="AB835" i="2" s="1"/>
  <c r="B836" i="2" l="1"/>
  <c r="H836" i="2" s="1"/>
  <c r="G835" i="2"/>
  <c r="F835" i="2"/>
  <c r="AC835" i="2"/>
  <c r="AE835" i="2"/>
  <c r="U835" i="2"/>
  <c r="J835" i="2" l="1"/>
  <c r="W835" i="2"/>
  <c r="X835" i="2" s="1"/>
  <c r="AF836" i="2"/>
  <c r="C836" i="2"/>
  <c r="AD835" i="2"/>
  <c r="L835" i="2" s="1"/>
  <c r="K835" i="2" l="1"/>
  <c r="D836" i="2"/>
  <c r="E836" i="2" s="1"/>
  <c r="T836" i="2" s="1"/>
  <c r="I835" i="2"/>
  <c r="N835" i="2" l="1"/>
  <c r="V836" i="2"/>
  <c r="O835" i="2" l="1"/>
  <c r="R835" i="2" s="1"/>
  <c r="M835" i="2"/>
  <c r="P835" i="2" s="1"/>
  <c r="AG835" i="2" l="1"/>
  <c r="Q835" i="2"/>
  <c r="S835" i="2" s="1"/>
  <c r="Y835" i="2" s="1"/>
  <c r="AA835" i="2" s="1"/>
  <c r="Z835" i="2" l="1"/>
  <c r="AB836" i="2"/>
  <c r="B837" i="2" l="1"/>
  <c r="H837" i="2" s="1"/>
  <c r="G836" i="2"/>
  <c r="F836" i="2"/>
  <c r="AE836" i="2"/>
  <c r="AC836" i="2"/>
  <c r="U836" i="2"/>
  <c r="AD836" i="2" l="1"/>
  <c r="L836" i="2" s="1"/>
  <c r="J836" i="2"/>
  <c r="W836" i="2"/>
  <c r="X836" i="2" s="1"/>
  <c r="C837" i="2"/>
  <c r="AF837" i="2"/>
  <c r="I836" i="2" l="1"/>
  <c r="D837" i="2"/>
  <c r="E837" i="2" s="1"/>
  <c r="T837" i="2" s="1"/>
  <c r="K836" i="2"/>
  <c r="V837" i="2" l="1"/>
  <c r="N836" i="2"/>
  <c r="O836" i="2" l="1"/>
  <c r="R836" i="2" s="1"/>
  <c r="M836" i="2"/>
  <c r="P836" i="2" s="1"/>
  <c r="AG836" i="2" l="1"/>
  <c r="Q836" i="2"/>
  <c r="S836" i="2" s="1"/>
  <c r="Y836" i="2" s="1"/>
  <c r="AA836" i="2" s="1"/>
  <c r="Z836" i="2" l="1"/>
  <c r="AB837" i="2"/>
  <c r="B838" i="2" l="1"/>
  <c r="H838" i="2" s="1"/>
  <c r="G837" i="2"/>
  <c r="F837" i="2"/>
  <c r="AC837" i="2"/>
  <c r="AE837" i="2"/>
  <c r="U837" i="2"/>
  <c r="J837" i="2" l="1"/>
  <c r="W837" i="2"/>
  <c r="X837" i="2" s="1"/>
  <c r="AD837" i="2"/>
  <c r="L837" i="2" s="1"/>
  <c r="AF838" i="2"/>
  <c r="C838" i="2"/>
  <c r="D838" i="2" l="1"/>
  <c r="E838" i="2" s="1"/>
  <c r="T838" i="2" s="1"/>
  <c r="K837" i="2"/>
  <c r="I837" i="2"/>
  <c r="N837" i="2" l="1"/>
  <c r="V838" i="2"/>
  <c r="O837" i="2" l="1"/>
  <c r="R837" i="2" s="1"/>
  <c r="M837" i="2"/>
  <c r="P837" i="2" s="1"/>
  <c r="AG837" i="2" l="1"/>
  <c r="Q837" i="2"/>
  <c r="S837" i="2" s="1"/>
  <c r="Z837" i="2" s="1"/>
  <c r="Y837" i="2" l="1"/>
  <c r="AA837" i="2" s="1"/>
  <c r="AB838" i="2" s="1"/>
  <c r="B839" i="2" l="1"/>
  <c r="H839" i="2" s="1"/>
  <c r="G838" i="2"/>
  <c r="F838" i="2"/>
  <c r="AE838" i="2"/>
  <c r="AC838" i="2"/>
  <c r="U838" i="2"/>
  <c r="AD838" i="2" l="1"/>
  <c r="L838" i="2" s="1"/>
  <c r="AF839" i="2"/>
  <c r="C839" i="2"/>
  <c r="J838" i="2"/>
  <c r="W838" i="2"/>
  <c r="X838" i="2" s="1"/>
  <c r="I838" i="2" l="1"/>
  <c r="K838" i="2"/>
  <c r="D839" i="2"/>
  <c r="E839" i="2" s="1"/>
  <c r="T839" i="2" s="1"/>
  <c r="V839" i="2" l="1"/>
  <c r="N838" i="2"/>
  <c r="O838" i="2" l="1"/>
  <c r="Q838" i="2" s="1"/>
  <c r="M838" i="2"/>
  <c r="P838" i="2" s="1"/>
  <c r="AG838" i="2" l="1"/>
  <c r="R838" i="2"/>
  <c r="S838" i="2" s="1"/>
  <c r="Y838" i="2" l="1"/>
  <c r="AA838" i="2" s="1"/>
  <c r="Z838" i="2"/>
  <c r="AB839" i="2" l="1"/>
  <c r="B840" i="2" l="1"/>
  <c r="H840" i="2" s="1"/>
  <c r="G839" i="2"/>
  <c r="F839" i="2"/>
  <c r="AC839" i="2"/>
  <c r="AE839" i="2"/>
  <c r="U839" i="2"/>
  <c r="AF840" i="2" l="1"/>
  <c r="C840" i="2"/>
  <c r="AD839" i="2"/>
  <c r="L839" i="2" s="1"/>
  <c r="J839" i="2"/>
  <c r="W839" i="2"/>
  <c r="X839" i="2" s="1"/>
  <c r="K839" i="2" l="1"/>
  <c r="D840" i="2"/>
  <c r="E840" i="2" s="1"/>
  <c r="T840" i="2" s="1"/>
  <c r="I839" i="2"/>
  <c r="N839" i="2" l="1"/>
  <c r="M839" i="2" s="1"/>
  <c r="P839" i="2" s="1"/>
  <c r="V840" i="2"/>
  <c r="AG839" i="2" l="1"/>
  <c r="O839" i="2"/>
  <c r="R839" i="2" s="1"/>
  <c r="Q839" i="2" l="1"/>
  <c r="S839" i="2" s="1"/>
  <c r="Y839" i="2" l="1"/>
  <c r="AA839" i="2" s="1"/>
  <c r="Z839" i="2"/>
  <c r="AB840" i="2" l="1"/>
  <c r="B841" i="2" l="1"/>
  <c r="H841" i="2" s="1"/>
  <c r="G840" i="2"/>
  <c r="AC840" i="2"/>
  <c r="AE840" i="2"/>
  <c r="AD840" i="2" s="1"/>
  <c r="L840" i="2" s="1"/>
  <c r="F840" i="2"/>
  <c r="J840" i="2" s="1"/>
  <c r="U840" i="2"/>
  <c r="W840" i="2" l="1"/>
  <c r="X840" i="2" s="1"/>
  <c r="C841" i="2"/>
  <c r="D841" i="2" s="1"/>
  <c r="E841" i="2" s="1"/>
  <c r="T841" i="2" s="1"/>
  <c r="AF841" i="2"/>
  <c r="K840" i="2"/>
  <c r="I840" i="2"/>
  <c r="N840" i="2" l="1"/>
  <c r="V841" i="2"/>
  <c r="O840" i="2" l="1"/>
  <c r="R840" i="2" s="1"/>
  <c r="M840" i="2"/>
  <c r="P840" i="2" s="1"/>
  <c r="AG840" i="2" l="1"/>
  <c r="Q840" i="2"/>
  <c r="S840" i="2" s="1"/>
  <c r="Z840" i="2" s="1"/>
  <c r="Y840" i="2" l="1"/>
  <c r="AA840" i="2" s="1"/>
  <c r="AB841" i="2" s="1"/>
  <c r="B842" i="2" l="1"/>
  <c r="H842" i="2" s="1"/>
  <c r="G841" i="2"/>
  <c r="F841" i="2"/>
  <c r="AE841" i="2"/>
  <c r="AC841" i="2"/>
  <c r="U841" i="2"/>
  <c r="J841" i="2" l="1"/>
  <c r="W841" i="2"/>
  <c r="X841" i="2" s="1"/>
  <c r="AD841" i="2"/>
  <c r="L841" i="2" s="1"/>
  <c r="AF842" i="2"/>
  <c r="C842" i="2"/>
  <c r="D842" i="2" l="1"/>
  <c r="E842" i="2" s="1"/>
  <c r="T842" i="2" s="1"/>
  <c r="K841" i="2"/>
  <c r="I841" i="2"/>
  <c r="N841" i="2" l="1"/>
  <c r="M841" i="2" s="1"/>
  <c r="P841" i="2" s="1"/>
  <c r="V842" i="2"/>
  <c r="AG841" i="2" l="1"/>
  <c r="O841" i="2"/>
  <c r="Q841" i="2" s="1"/>
  <c r="R841" i="2" l="1"/>
  <c r="S841" i="2" s="1"/>
  <c r="Z841" i="2" s="1"/>
  <c r="Y841" i="2" l="1"/>
  <c r="AA841" i="2" s="1"/>
  <c r="AB842" i="2" s="1"/>
  <c r="B843" i="2" l="1"/>
  <c r="H843" i="2" s="1"/>
  <c r="G842" i="2"/>
  <c r="F842" i="2"/>
  <c r="AE842" i="2"/>
  <c r="AC842" i="2"/>
  <c r="U842" i="2"/>
  <c r="AD842" i="2" l="1"/>
  <c r="L842" i="2" s="1"/>
  <c r="AF843" i="2"/>
  <c r="C843" i="2"/>
  <c r="J842" i="2"/>
  <c r="W842" i="2"/>
  <c r="X842" i="2" s="1"/>
  <c r="I842" i="2" l="1"/>
  <c r="K842" i="2"/>
  <c r="D843" i="2"/>
  <c r="E843" i="2" s="1"/>
  <c r="T843" i="2" s="1"/>
  <c r="V843" i="2" l="1"/>
  <c r="N842" i="2"/>
  <c r="O842" i="2" l="1"/>
  <c r="R842" i="2" s="1"/>
  <c r="M842" i="2"/>
  <c r="P842" i="2" s="1"/>
  <c r="AG842" i="2" l="1"/>
  <c r="Q842" i="2"/>
  <c r="S842" i="2" s="1"/>
  <c r="Z842" i="2" s="1"/>
  <c r="Y842" i="2" l="1"/>
  <c r="AA842" i="2" s="1"/>
  <c r="AB843" i="2" s="1"/>
  <c r="B844" i="2" l="1"/>
  <c r="H844" i="2" s="1"/>
  <c r="G843" i="2"/>
  <c r="F843" i="2"/>
  <c r="AE843" i="2"/>
  <c r="AC843" i="2"/>
  <c r="U843" i="2"/>
  <c r="C844" i="2" l="1"/>
  <c r="AF844" i="2"/>
  <c r="AD843" i="2"/>
  <c r="L843" i="2" s="1"/>
  <c r="J843" i="2"/>
  <c r="W843" i="2"/>
  <c r="X843" i="2" s="1"/>
  <c r="K843" i="2" l="1"/>
  <c r="I843" i="2"/>
  <c r="D844" i="2"/>
  <c r="E844" i="2" s="1"/>
  <c r="T844" i="2" s="1"/>
  <c r="N843" i="2" l="1"/>
  <c r="V844" i="2"/>
  <c r="O843" i="2" l="1"/>
  <c r="R843" i="2" s="1"/>
  <c r="M843" i="2"/>
  <c r="P843" i="2" s="1"/>
  <c r="AG843" i="2" l="1"/>
  <c r="Q843" i="2"/>
  <c r="S843" i="2" s="1"/>
  <c r="Y843" i="2" s="1"/>
  <c r="AA843" i="2" s="1"/>
  <c r="Z843" i="2" l="1"/>
  <c r="AB844" i="2"/>
  <c r="B845" i="2" l="1"/>
  <c r="H845" i="2" s="1"/>
  <c r="G844" i="2"/>
  <c r="F844" i="2"/>
  <c r="AE844" i="2"/>
  <c r="AC844" i="2"/>
  <c r="U844" i="2"/>
  <c r="C845" i="2" l="1"/>
  <c r="AF845" i="2"/>
  <c r="AD844" i="2"/>
  <c r="L844" i="2" s="1"/>
  <c r="J844" i="2"/>
  <c r="W844" i="2"/>
  <c r="X844" i="2" s="1"/>
  <c r="K844" i="2" l="1"/>
  <c r="I844" i="2"/>
  <c r="D845" i="2"/>
  <c r="E845" i="2" s="1"/>
  <c r="T845" i="2" s="1"/>
  <c r="N844" i="2" l="1"/>
  <c r="V845" i="2"/>
  <c r="O844" i="2" l="1"/>
  <c r="R844" i="2" s="1"/>
  <c r="M844" i="2"/>
  <c r="P844" i="2" s="1"/>
  <c r="AG844" i="2" l="1"/>
  <c r="Q844" i="2"/>
  <c r="S844" i="2" s="1"/>
  <c r="Y844" i="2" s="1"/>
  <c r="AA844" i="2" s="1"/>
  <c r="Z844" i="2" l="1"/>
  <c r="AB845" i="2"/>
  <c r="B846" i="2" l="1"/>
  <c r="H846" i="2" s="1"/>
  <c r="G845" i="2"/>
  <c r="F845" i="2"/>
  <c r="AC845" i="2"/>
  <c r="AE845" i="2"/>
  <c r="U845" i="2"/>
  <c r="AD845" i="2" l="1"/>
  <c r="L845" i="2" s="1"/>
  <c r="AF846" i="2"/>
  <c r="C846" i="2"/>
  <c r="J845" i="2"/>
  <c r="W845" i="2"/>
  <c r="X845" i="2" s="1"/>
  <c r="D846" i="2" l="1"/>
  <c r="E846" i="2" s="1"/>
  <c r="T846" i="2" s="1"/>
  <c r="K845" i="2"/>
  <c r="I845" i="2"/>
  <c r="N845" i="2" l="1"/>
  <c r="M845" i="2" s="1"/>
  <c r="P845" i="2" s="1"/>
  <c r="V846" i="2"/>
  <c r="AG845" i="2" l="1"/>
  <c r="O845" i="2"/>
  <c r="R845" i="2" s="1"/>
  <c r="Q845" i="2" l="1"/>
  <c r="S845" i="2" s="1"/>
  <c r="Y845" i="2" s="1"/>
  <c r="AA845" i="2" s="1"/>
  <c r="Z845" i="2" l="1"/>
  <c r="AB846" i="2"/>
  <c r="B847" i="2" l="1"/>
  <c r="H847" i="2" s="1"/>
  <c r="G846" i="2"/>
  <c r="F846" i="2"/>
  <c r="AC846" i="2"/>
  <c r="AE846" i="2"/>
  <c r="U846" i="2"/>
  <c r="J846" i="2" l="1"/>
  <c r="W846" i="2"/>
  <c r="X846" i="2" s="1"/>
  <c r="AD846" i="2"/>
  <c r="L846" i="2" s="1"/>
  <c r="AF847" i="2"/>
  <c r="C847" i="2"/>
  <c r="I846" i="2" l="1"/>
  <c r="D847" i="2"/>
  <c r="E847" i="2" s="1"/>
  <c r="T847" i="2" s="1"/>
  <c r="K846" i="2"/>
  <c r="V847" i="2" l="1"/>
  <c r="N846" i="2"/>
  <c r="O846" i="2" l="1"/>
  <c r="R846" i="2" s="1"/>
  <c r="M846" i="2"/>
  <c r="P846" i="2" s="1"/>
  <c r="AG846" i="2" l="1"/>
  <c r="Q846" i="2"/>
  <c r="S846" i="2" s="1"/>
  <c r="Y846" i="2" s="1"/>
  <c r="AA846" i="2" s="1"/>
  <c r="Z846" i="2" l="1"/>
  <c r="AB847" i="2"/>
  <c r="B848" i="2" l="1"/>
  <c r="H848" i="2" s="1"/>
  <c r="G847" i="2"/>
  <c r="F847" i="2"/>
  <c r="AE847" i="2"/>
  <c r="AC847" i="2"/>
  <c r="U847" i="2"/>
  <c r="J847" i="2" l="1"/>
  <c r="W847" i="2"/>
  <c r="X847" i="2" s="1"/>
  <c r="AD847" i="2"/>
  <c r="L847" i="2" s="1"/>
  <c r="AF848" i="2"/>
  <c r="C848" i="2"/>
  <c r="I847" i="2" l="1"/>
  <c r="D848" i="2"/>
  <c r="E848" i="2" s="1"/>
  <c r="T848" i="2" s="1"/>
  <c r="K847" i="2"/>
  <c r="V848" i="2" l="1"/>
  <c r="N847" i="2"/>
  <c r="O847" i="2" l="1"/>
  <c r="R847" i="2" s="1"/>
  <c r="M847" i="2"/>
  <c r="P847" i="2" s="1"/>
  <c r="AG847" i="2" l="1"/>
  <c r="Q847" i="2"/>
  <c r="S847" i="2" s="1"/>
  <c r="Z847" i="2" s="1"/>
  <c r="Y847" i="2" l="1"/>
  <c r="AA847" i="2" s="1"/>
  <c r="AB848" i="2" s="1"/>
  <c r="B849" i="2" l="1"/>
  <c r="H849" i="2" s="1"/>
  <c r="G848" i="2"/>
  <c r="F848" i="2"/>
  <c r="AE848" i="2"/>
  <c r="AC848" i="2"/>
  <c r="U848" i="2"/>
  <c r="AF849" i="2" l="1"/>
  <c r="C849" i="2"/>
  <c r="AD848" i="2"/>
  <c r="L848" i="2" s="1"/>
  <c r="J848" i="2"/>
  <c r="W848" i="2"/>
  <c r="X848" i="2" s="1"/>
  <c r="I848" i="2" l="1"/>
  <c r="K848" i="2"/>
  <c r="D849" i="2"/>
  <c r="E849" i="2" s="1"/>
  <c r="T849" i="2" s="1"/>
  <c r="V849" i="2" l="1"/>
  <c r="N848" i="2"/>
  <c r="O848" i="2" l="1"/>
  <c r="R848" i="2" s="1"/>
  <c r="M848" i="2"/>
  <c r="P848" i="2" s="1"/>
  <c r="AG848" i="2" l="1"/>
  <c r="Q848" i="2"/>
  <c r="S848" i="2" s="1"/>
  <c r="Z848" i="2" s="1"/>
  <c r="Y848" i="2" l="1"/>
  <c r="AA848" i="2" s="1"/>
  <c r="AB849" i="2" s="1"/>
  <c r="B850" i="2" l="1"/>
  <c r="H850" i="2" s="1"/>
  <c r="G849" i="2"/>
  <c r="F849" i="2"/>
  <c r="AC849" i="2"/>
  <c r="AE849" i="2"/>
  <c r="U849" i="2"/>
  <c r="AD849" i="2" l="1"/>
  <c r="L849" i="2" s="1"/>
  <c r="J849" i="2"/>
  <c r="W849" i="2"/>
  <c r="X849" i="2" s="1"/>
  <c r="AF850" i="2"/>
  <c r="C850" i="2"/>
  <c r="K849" i="2" l="1"/>
  <c r="I849" i="2"/>
  <c r="D850" i="2"/>
  <c r="E850" i="2" s="1"/>
  <c r="T850" i="2" s="1"/>
  <c r="N849" i="2" l="1"/>
  <c r="V850" i="2"/>
  <c r="O849" i="2" l="1"/>
  <c r="R849" i="2" s="1"/>
  <c r="M849" i="2"/>
  <c r="P849" i="2" s="1"/>
  <c r="AG849" i="2" l="1"/>
  <c r="Q849" i="2"/>
  <c r="S849" i="2" s="1"/>
  <c r="Y849" i="2" s="1"/>
  <c r="AA849" i="2" s="1"/>
  <c r="Z849" i="2" l="1"/>
  <c r="AB850" i="2"/>
  <c r="B851" i="2" l="1"/>
  <c r="H851" i="2" s="1"/>
  <c r="G850" i="2"/>
  <c r="F850" i="2"/>
  <c r="AC850" i="2"/>
  <c r="AE850" i="2"/>
  <c r="U850" i="2"/>
  <c r="AF851" i="2" l="1"/>
  <c r="C851" i="2"/>
  <c r="AD850" i="2"/>
  <c r="L850" i="2" s="1"/>
  <c r="J850" i="2"/>
  <c r="W850" i="2"/>
  <c r="X850" i="2" s="1"/>
  <c r="I850" i="2" l="1"/>
  <c r="K850" i="2"/>
  <c r="D851" i="2"/>
  <c r="E851" i="2" s="1"/>
  <c r="T851" i="2" s="1"/>
  <c r="V851" i="2" l="1"/>
  <c r="N850" i="2"/>
  <c r="O850" i="2" l="1"/>
  <c r="Q850" i="2" s="1"/>
  <c r="M850" i="2"/>
  <c r="P850" i="2" s="1"/>
  <c r="AG850" i="2" l="1"/>
  <c r="R850" i="2"/>
  <c r="S850" i="2" s="1"/>
  <c r="Y850" i="2" l="1"/>
  <c r="AA850" i="2" s="1"/>
  <c r="AB851" i="2" s="1"/>
  <c r="Z850" i="2"/>
  <c r="B852" i="2" l="1"/>
  <c r="H852" i="2" s="1"/>
  <c r="G851" i="2"/>
  <c r="F851" i="2"/>
  <c r="AC851" i="2"/>
  <c r="AE851" i="2"/>
  <c r="U851" i="2"/>
  <c r="AD851" i="2" l="1"/>
  <c r="L851" i="2" s="1"/>
  <c r="AF852" i="2"/>
  <c r="C852" i="2"/>
  <c r="J851" i="2"/>
  <c r="W851" i="2"/>
  <c r="X851" i="2" s="1"/>
  <c r="K851" i="2" l="1"/>
  <c r="I851" i="2"/>
  <c r="D852" i="2"/>
  <c r="E852" i="2" s="1"/>
  <c r="T852" i="2" s="1"/>
  <c r="N851" i="2" l="1"/>
  <c r="V852" i="2"/>
  <c r="O851" i="2" l="1"/>
  <c r="R851" i="2" s="1"/>
  <c r="M851" i="2"/>
  <c r="P851" i="2" s="1"/>
  <c r="AG851" i="2" l="1"/>
  <c r="Q851" i="2"/>
  <c r="S851" i="2" s="1"/>
  <c r="Y851" i="2" s="1"/>
  <c r="AA851" i="2" s="1"/>
  <c r="Z851" i="2" l="1"/>
  <c r="AB852" i="2"/>
  <c r="B853" i="2" l="1"/>
  <c r="H853" i="2" s="1"/>
  <c r="G852" i="2"/>
  <c r="F852" i="2"/>
  <c r="AC852" i="2"/>
  <c r="AE852" i="2"/>
  <c r="U852" i="2"/>
  <c r="AD852" i="2" l="1"/>
  <c r="L852" i="2" s="1"/>
  <c r="AF853" i="2"/>
  <c r="C853" i="2"/>
  <c r="J852" i="2"/>
  <c r="W852" i="2"/>
  <c r="X852" i="2" s="1"/>
  <c r="K852" i="2" l="1"/>
  <c r="I852" i="2"/>
  <c r="D853" i="2"/>
  <c r="E853" i="2" s="1"/>
  <c r="T853" i="2" s="1"/>
  <c r="N852" i="2" l="1"/>
  <c r="V853" i="2"/>
  <c r="O852" i="2" l="1"/>
  <c r="R852" i="2" s="1"/>
  <c r="M852" i="2"/>
  <c r="P852" i="2" s="1"/>
  <c r="AG852" i="2" l="1"/>
  <c r="Q852" i="2"/>
  <c r="S852" i="2" s="1"/>
  <c r="Z852" i="2" s="1"/>
  <c r="Y852" i="2" l="1"/>
  <c r="AA852" i="2" s="1"/>
  <c r="AB853" i="2" s="1"/>
  <c r="B854" i="2" l="1"/>
  <c r="H854" i="2" s="1"/>
  <c r="G853" i="2"/>
  <c r="F853" i="2"/>
  <c r="AC853" i="2"/>
  <c r="AE853" i="2"/>
  <c r="U853" i="2"/>
  <c r="C854" i="2" l="1"/>
  <c r="AF854" i="2"/>
  <c r="AD853" i="2"/>
  <c r="L853" i="2" s="1"/>
  <c r="J853" i="2"/>
  <c r="W853" i="2"/>
  <c r="X853" i="2" s="1"/>
  <c r="I853" i="2" l="1"/>
  <c r="K853" i="2"/>
  <c r="D854" i="2"/>
  <c r="E854" i="2" s="1"/>
  <c r="T854" i="2" s="1"/>
  <c r="N853" i="2" l="1"/>
  <c r="M853" i="2" s="1"/>
  <c r="P853" i="2" s="1"/>
  <c r="V854" i="2"/>
  <c r="AG853" i="2" l="1"/>
  <c r="O853" i="2"/>
  <c r="Q853" i="2" s="1"/>
  <c r="R853" i="2" l="1"/>
  <c r="S853" i="2" s="1"/>
  <c r="Z853" i="2" s="1"/>
  <c r="Y853" i="2" l="1"/>
  <c r="AA853" i="2" s="1"/>
  <c r="AB854" i="2" s="1"/>
  <c r="B855" i="2" l="1"/>
  <c r="H855" i="2" s="1"/>
  <c r="G854" i="2"/>
  <c r="F854" i="2"/>
  <c r="AE854" i="2"/>
  <c r="AC854" i="2"/>
  <c r="U854" i="2"/>
  <c r="J854" i="2" l="1"/>
  <c r="W854" i="2"/>
  <c r="X854" i="2" s="1"/>
  <c r="AF855" i="2"/>
  <c r="C855" i="2"/>
  <c r="AD854" i="2"/>
  <c r="L854" i="2" s="1"/>
  <c r="D855" i="2" l="1"/>
  <c r="E855" i="2" s="1"/>
  <c r="T855" i="2" s="1"/>
  <c r="K854" i="2"/>
  <c r="I854" i="2"/>
  <c r="N854" i="2" l="1"/>
  <c r="V855" i="2"/>
  <c r="O854" i="2" l="1"/>
  <c r="Q854" i="2" s="1"/>
  <c r="M854" i="2"/>
  <c r="P854" i="2" s="1"/>
  <c r="AG854" i="2" l="1"/>
  <c r="R854" i="2"/>
  <c r="S854" i="2" s="1"/>
  <c r="Y854" i="2" l="1"/>
  <c r="AA854" i="2" s="1"/>
  <c r="Z854" i="2"/>
  <c r="AB855" i="2" l="1"/>
  <c r="B856" i="2" l="1"/>
  <c r="H856" i="2" s="1"/>
  <c r="G855" i="2"/>
  <c r="F855" i="2"/>
  <c r="AC855" i="2"/>
  <c r="AE855" i="2"/>
  <c r="AD855" i="2" s="1"/>
  <c r="L855" i="2" s="1"/>
  <c r="U855" i="2"/>
  <c r="J855" i="2"/>
  <c r="W855" i="2" l="1"/>
  <c r="X855" i="2" s="1"/>
  <c r="AF856" i="2"/>
  <c r="C856" i="2"/>
  <c r="D856" i="2" s="1"/>
  <c r="E856" i="2" s="1"/>
  <c r="T856" i="2" s="1"/>
  <c r="K855" i="2"/>
  <c r="I855" i="2"/>
  <c r="N855" i="2" l="1"/>
  <c r="M855" i="2" s="1"/>
  <c r="P855" i="2" s="1"/>
  <c r="V856" i="2"/>
  <c r="AG855" i="2" l="1"/>
  <c r="O855" i="2"/>
  <c r="Q855" i="2" s="1"/>
  <c r="R855" i="2" l="1"/>
  <c r="S855" i="2" s="1"/>
  <c r="Y855" i="2" s="1"/>
  <c r="AA855" i="2" s="1"/>
  <c r="Z855" i="2" l="1"/>
  <c r="AB856" i="2"/>
  <c r="B857" i="2" l="1"/>
  <c r="H857" i="2" s="1"/>
  <c r="G856" i="2"/>
  <c r="F856" i="2"/>
  <c r="AE856" i="2"/>
  <c r="AC856" i="2"/>
  <c r="U856" i="2"/>
  <c r="AF857" i="2" l="1"/>
  <c r="C857" i="2"/>
  <c r="AD856" i="2"/>
  <c r="L856" i="2" s="1"/>
  <c r="J856" i="2"/>
  <c r="W856" i="2"/>
  <c r="X856" i="2" s="1"/>
  <c r="K856" i="2" l="1"/>
  <c r="D857" i="2"/>
  <c r="E857" i="2" s="1"/>
  <c r="T857" i="2" s="1"/>
  <c r="I856" i="2"/>
  <c r="N856" i="2" l="1"/>
  <c r="M856" i="2" s="1"/>
  <c r="P856" i="2" s="1"/>
  <c r="V857" i="2"/>
  <c r="AG856" i="2" l="1"/>
  <c r="O856" i="2"/>
  <c r="R856" i="2" s="1"/>
  <c r="Q856" i="2" l="1"/>
  <c r="S856" i="2" s="1"/>
  <c r="Y856" i="2" s="1"/>
  <c r="AA856" i="2" s="1"/>
  <c r="Z856" i="2" l="1"/>
  <c r="AB857" i="2"/>
  <c r="B858" i="2" l="1"/>
  <c r="H858" i="2" s="1"/>
  <c r="G857" i="2"/>
  <c r="F857" i="2"/>
  <c r="AC857" i="2"/>
  <c r="AE857" i="2"/>
  <c r="U857" i="2"/>
  <c r="J857" i="2" l="1"/>
  <c r="W857" i="2"/>
  <c r="X857" i="2" s="1"/>
  <c r="AD857" i="2"/>
  <c r="L857" i="2" s="1"/>
  <c r="C858" i="2"/>
  <c r="AF858" i="2"/>
  <c r="I857" i="2" l="1"/>
  <c r="D858" i="2"/>
  <c r="E858" i="2" s="1"/>
  <c r="T858" i="2" s="1"/>
  <c r="K857" i="2"/>
  <c r="V858" i="2" l="1"/>
  <c r="N857" i="2"/>
  <c r="O857" i="2" l="1"/>
  <c r="R857" i="2" s="1"/>
  <c r="M857" i="2"/>
  <c r="P857" i="2" s="1"/>
  <c r="AG857" i="2" l="1"/>
  <c r="Q857" i="2"/>
  <c r="S857" i="2" s="1"/>
  <c r="Z857" i="2" s="1"/>
  <c r="Y857" i="2" l="1"/>
  <c r="AA857" i="2" s="1"/>
  <c r="AB858" i="2" s="1"/>
  <c r="B859" i="2" l="1"/>
  <c r="H859" i="2" s="1"/>
  <c r="G858" i="2"/>
  <c r="F858" i="2"/>
  <c r="AE858" i="2"/>
  <c r="AC858" i="2"/>
  <c r="U858" i="2"/>
  <c r="J858" i="2" l="1"/>
  <c r="W858" i="2"/>
  <c r="X858" i="2" s="1"/>
  <c r="AF859" i="2"/>
  <c r="C859" i="2"/>
  <c r="AD858" i="2"/>
  <c r="L858" i="2" s="1"/>
  <c r="K858" i="2" l="1"/>
  <c r="D859" i="2"/>
  <c r="E859" i="2" s="1"/>
  <c r="T859" i="2" s="1"/>
  <c r="I858" i="2"/>
  <c r="N858" i="2" l="1"/>
  <c r="M858" i="2" s="1"/>
  <c r="P858" i="2" s="1"/>
  <c r="V859" i="2"/>
  <c r="AG858" i="2" l="1"/>
  <c r="O858" i="2"/>
  <c r="R858" i="2" s="1"/>
  <c r="Q858" i="2" l="1"/>
  <c r="S858" i="2" s="1"/>
  <c r="Y858" i="2" s="1"/>
  <c r="AA858" i="2" s="1"/>
  <c r="Z858" i="2" l="1"/>
  <c r="AB859" i="2"/>
  <c r="B860" i="2" l="1"/>
  <c r="H860" i="2" s="1"/>
  <c r="G859" i="2"/>
  <c r="F859" i="2"/>
  <c r="AE859" i="2"/>
  <c r="AC859" i="2"/>
  <c r="U859" i="2"/>
  <c r="J859" i="2" l="1"/>
  <c r="W859" i="2"/>
  <c r="X859" i="2" s="1"/>
  <c r="C860" i="2"/>
  <c r="AF860" i="2"/>
  <c r="AD859" i="2"/>
  <c r="L859" i="2" s="1"/>
  <c r="K859" i="2" l="1"/>
  <c r="D860" i="2"/>
  <c r="E860" i="2" s="1"/>
  <c r="T860" i="2" s="1"/>
  <c r="I859" i="2"/>
  <c r="N859" i="2" l="1"/>
  <c r="M859" i="2" s="1"/>
  <c r="P859" i="2" s="1"/>
  <c r="V860" i="2"/>
  <c r="AG859" i="2" l="1"/>
  <c r="O859" i="2"/>
  <c r="Q859" i="2" s="1"/>
  <c r="R859" i="2" l="1"/>
  <c r="S859" i="2" s="1"/>
  <c r="Y859" i="2" s="1"/>
  <c r="AA859" i="2" s="1"/>
  <c r="Z859" i="2" l="1"/>
  <c r="AB860" i="2"/>
  <c r="B861" i="2" l="1"/>
  <c r="H861" i="2" s="1"/>
  <c r="G860" i="2"/>
  <c r="F860" i="2"/>
  <c r="AE860" i="2"/>
  <c r="AC860" i="2"/>
  <c r="U860" i="2"/>
  <c r="AD860" i="2" l="1"/>
  <c r="L860" i="2" s="1"/>
  <c r="AF861" i="2"/>
  <c r="C861" i="2"/>
  <c r="J860" i="2"/>
  <c r="W860" i="2"/>
  <c r="X860" i="2" s="1"/>
  <c r="K860" i="2" l="1"/>
  <c r="I860" i="2"/>
  <c r="D861" i="2"/>
  <c r="E861" i="2" s="1"/>
  <c r="T861" i="2" s="1"/>
  <c r="N860" i="2" l="1"/>
  <c r="V861" i="2"/>
  <c r="O860" i="2" l="1"/>
  <c r="R860" i="2" s="1"/>
  <c r="M860" i="2"/>
  <c r="P860" i="2" s="1"/>
  <c r="AG860" i="2" l="1"/>
  <c r="Q860" i="2"/>
  <c r="S860" i="2" s="1"/>
  <c r="Y860" i="2" s="1"/>
  <c r="AA860" i="2" s="1"/>
  <c r="Z860" i="2" l="1"/>
  <c r="AB861" i="2"/>
  <c r="B862" i="2" l="1"/>
  <c r="H862" i="2" s="1"/>
  <c r="G861" i="2"/>
  <c r="F861" i="2"/>
  <c r="AE861" i="2"/>
  <c r="AC861" i="2"/>
  <c r="U861" i="2"/>
  <c r="AF862" i="2" l="1"/>
  <c r="C862" i="2"/>
  <c r="J861" i="2"/>
  <c r="W861" i="2"/>
  <c r="X861" i="2" s="1"/>
  <c r="AD861" i="2"/>
  <c r="L861" i="2" s="1"/>
  <c r="K861" i="2" l="1"/>
  <c r="D862" i="2"/>
  <c r="E862" i="2" s="1"/>
  <c r="T862" i="2" s="1"/>
  <c r="I861" i="2"/>
  <c r="N861" i="2" l="1"/>
  <c r="V862" i="2"/>
  <c r="O861" i="2" l="1"/>
  <c r="R861" i="2" s="1"/>
  <c r="M861" i="2"/>
  <c r="P861" i="2" s="1"/>
  <c r="AG861" i="2" l="1"/>
  <c r="Q861" i="2"/>
  <c r="S861" i="2" s="1"/>
  <c r="Y861" i="2" s="1"/>
  <c r="AA861" i="2" s="1"/>
  <c r="Z861" i="2" l="1"/>
  <c r="AB862" i="2"/>
  <c r="B863" i="2" l="1"/>
  <c r="H863" i="2" s="1"/>
  <c r="G862" i="2"/>
  <c r="F862" i="2"/>
  <c r="AE862" i="2"/>
  <c r="AC862" i="2"/>
  <c r="U862" i="2"/>
  <c r="AD862" i="2" l="1"/>
  <c r="L862" i="2" s="1"/>
  <c r="J862" i="2"/>
  <c r="W862" i="2"/>
  <c r="X862" i="2" s="1"/>
  <c r="C863" i="2"/>
  <c r="AF863" i="2"/>
  <c r="K862" i="2" l="1"/>
  <c r="D863" i="2"/>
  <c r="E863" i="2" s="1"/>
  <c r="T863" i="2" s="1"/>
  <c r="I862" i="2"/>
  <c r="N862" i="2" l="1"/>
  <c r="V863" i="2"/>
  <c r="O862" i="2" l="1"/>
  <c r="R862" i="2" s="1"/>
  <c r="M862" i="2"/>
  <c r="P862" i="2" s="1"/>
  <c r="AG862" i="2" l="1"/>
  <c r="Q862" i="2"/>
  <c r="S862" i="2" s="1"/>
  <c r="Z862" i="2" s="1"/>
  <c r="Y862" i="2" l="1"/>
  <c r="AA862" i="2" s="1"/>
  <c r="AB863" i="2" s="1"/>
  <c r="B864" i="2" l="1"/>
  <c r="H864" i="2" s="1"/>
  <c r="G863" i="2"/>
  <c r="F863" i="2"/>
  <c r="AC863" i="2"/>
  <c r="AE863" i="2"/>
  <c r="U863" i="2"/>
  <c r="J863" i="2" l="1"/>
  <c r="W863" i="2"/>
  <c r="X863" i="2" s="1"/>
  <c r="AD863" i="2"/>
  <c r="L863" i="2" s="1"/>
  <c r="AF864" i="2"/>
  <c r="C864" i="2"/>
  <c r="I863" i="2" l="1"/>
  <c r="D864" i="2"/>
  <c r="E864" i="2" s="1"/>
  <c r="T864" i="2" s="1"/>
  <c r="K863" i="2"/>
  <c r="V864" i="2" l="1"/>
  <c r="N863" i="2"/>
  <c r="O863" i="2" l="1"/>
  <c r="R863" i="2" s="1"/>
  <c r="M863" i="2"/>
  <c r="P863" i="2" s="1"/>
  <c r="AG863" i="2" l="1"/>
  <c r="Q863" i="2"/>
  <c r="S863" i="2" s="1"/>
  <c r="Y863" i="2" s="1"/>
  <c r="AA863" i="2" s="1"/>
  <c r="Z863" i="2" l="1"/>
  <c r="AB864" i="2"/>
  <c r="B865" i="2" l="1"/>
  <c r="H865" i="2" s="1"/>
  <c r="G864" i="2"/>
  <c r="F864" i="2"/>
  <c r="AE864" i="2"/>
  <c r="AC864" i="2"/>
  <c r="U864" i="2"/>
  <c r="AD864" i="2" l="1"/>
  <c r="L864" i="2" s="1"/>
  <c r="AF865" i="2"/>
  <c r="C865" i="2"/>
  <c r="J864" i="2"/>
  <c r="W864" i="2"/>
  <c r="X864" i="2" s="1"/>
  <c r="I864" i="2" l="1"/>
  <c r="K864" i="2"/>
  <c r="D865" i="2"/>
  <c r="E865" i="2" s="1"/>
  <c r="T865" i="2" s="1"/>
  <c r="N864" i="2" l="1"/>
  <c r="M864" i="2" s="1"/>
  <c r="P864" i="2" s="1"/>
  <c r="V865" i="2"/>
  <c r="AG864" i="2" l="1"/>
  <c r="O864" i="2"/>
  <c r="R864" i="2" s="1"/>
  <c r="Q864" i="2" l="1"/>
  <c r="S864" i="2" s="1"/>
  <c r="Y864" i="2" s="1"/>
  <c r="AA864" i="2" s="1"/>
  <c r="Z864" i="2" l="1"/>
  <c r="AB865" i="2"/>
  <c r="B866" i="2" l="1"/>
  <c r="H866" i="2" s="1"/>
  <c r="G865" i="2"/>
  <c r="F865" i="2"/>
  <c r="AC865" i="2"/>
  <c r="AE865" i="2"/>
  <c r="U865" i="2"/>
  <c r="AD865" i="2" l="1"/>
  <c r="L865" i="2" s="1"/>
  <c r="C866" i="2"/>
  <c r="AF866" i="2"/>
  <c r="J865" i="2"/>
  <c r="W865" i="2"/>
  <c r="X865" i="2" s="1"/>
  <c r="D866" i="2" l="1"/>
  <c r="E866" i="2" s="1"/>
  <c r="T866" i="2" s="1"/>
  <c r="K865" i="2"/>
  <c r="I865" i="2"/>
  <c r="N865" i="2" l="1"/>
  <c r="M865" i="2" s="1"/>
  <c r="P865" i="2" s="1"/>
  <c r="V866" i="2"/>
  <c r="AG865" i="2" l="1"/>
  <c r="O865" i="2"/>
  <c r="R865" i="2" s="1"/>
  <c r="Q865" i="2" l="1"/>
  <c r="S865" i="2" s="1"/>
  <c r="Y865" i="2" s="1"/>
  <c r="AA865" i="2" s="1"/>
  <c r="Z865" i="2" l="1"/>
  <c r="AB866" i="2"/>
  <c r="B867" i="2" l="1"/>
  <c r="H867" i="2" s="1"/>
  <c r="G866" i="2"/>
  <c r="F866" i="2"/>
  <c r="AC866" i="2"/>
  <c r="AE866" i="2"/>
  <c r="U866" i="2"/>
  <c r="J866" i="2" l="1"/>
  <c r="W866" i="2"/>
  <c r="X866" i="2" s="1"/>
  <c r="AD866" i="2"/>
  <c r="L866" i="2" s="1"/>
  <c r="AF867" i="2"/>
  <c r="C867" i="2"/>
  <c r="K866" i="2" l="1"/>
  <c r="D867" i="2"/>
  <c r="E867" i="2" s="1"/>
  <c r="T867" i="2" s="1"/>
  <c r="I866" i="2"/>
  <c r="N866" i="2" l="1"/>
  <c r="V867" i="2"/>
  <c r="O866" i="2" l="1"/>
  <c r="R866" i="2" s="1"/>
  <c r="M866" i="2"/>
  <c r="P866" i="2" s="1"/>
  <c r="AG866" i="2" l="1"/>
  <c r="Q866" i="2"/>
  <c r="S866" i="2" s="1"/>
  <c r="Z866" i="2" s="1"/>
  <c r="Y866" i="2" l="1"/>
  <c r="AA866" i="2" s="1"/>
  <c r="AB867" i="2" s="1"/>
  <c r="B868" i="2" l="1"/>
  <c r="H868" i="2" s="1"/>
  <c r="G867" i="2"/>
  <c r="F867" i="2"/>
  <c r="AE867" i="2"/>
  <c r="AC867" i="2"/>
  <c r="U867" i="2"/>
  <c r="J867" i="2" l="1"/>
  <c r="W867" i="2"/>
  <c r="X867" i="2" s="1"/>
  <c r="AD867" i="2"/>
  <c r="L867" i="2" s="1"/>
  <c r="AF868" i="2"/>
  <c r="C868" i="2"/>
  <c r="K867" i="2" l="1"/>
  <c r="D868" i="2"/>
  <c r="E868" i="2" s="1"/>
  <c r="T868" i="2" s="1"/>
  <c r="I867" i="2"/>
  <c r="N867" i="2" l="1"/>
  <c r="M867" i="2" s="1"/>
  <c r="P867" i="2" s="1"/>
  <c r="V868" i="2"/>
  <c r="AG867" i="2" l="1"/>
  <c r="O867" i="2"/>
  <c r="Q867" i="2" s="1"/>
  <c r="R867" i="2" l="1"/>
  <c r="S867" i="2" s="1"/>
  <c r="Y867" i="2" s="1"/>
  <c r="AA867" i="2" s="1"/>
  <c r="Z867" i="2" l="1"/>
  <c r="AB868" i="2"/>
  <c r="B869" i="2" l="1"/>
  <c r="H869" i="2" s="1"/>
  <c r="G868" i="2"/>
  <c r="F868" i="2"/>
  <c r="AE868" i="2"/>
  <c r="AC868" i="2"/>
  <c r="U868" i="2"/>
  <c r="AD868" i="2" l="1"/>
  <c r="L868" i="2" s="1"/>
  <c r="AF869" i="2"/>
  <c r="C869" i="2"/>
  <c r="J868" i="2"/>
  <c r="W868" i="2"/>
  <c r="X868" i="2" s="1"/>
  <c r="K868" i="2" l="1"/>
  <c r="I868" i="2"/>
  <c r="D869" i="2"/>
  <c r="E869" i="2" s="1"/>
  <c r="T869" i="2" s="1"/>
  <c r="N868" i="2" l="1"/>
  <c r="V869" i="2"/>
  <c r="O868" i="2" l="1"/>
  <c r="R868" i="2" s="1"/>
  <c r="M868" i="2"/>
  <c r="P868" i="2" s="1"/>
  <c r="AG868" i="2" l="1"/>
  <c r="Q868" i="2"/>
  <c r="S868" i="2" s="1"/>
  <c r="Z868" i="2" s="1"/>
  <c r="Y868" i="2" l="1"/>
  <c r="AA868" i="2" s="1"/>
  <c r="AB869" i="2" s="1"/>
  <c r="B870" i="2" l="1"/>
  <c r="H870" i="2" s="1"/>
  <c r="G869" i="2"/>
  <c r="F869" i="2"/>
  <c r="AE869" i="2"/>
  <c r="AC869" i="2"/>
  <c r="U869" i="2"/>
  <c r="J869" i="2" l="1"/>
  <c r="W869" i="2"/>
  <c r="X869" i="2" s="1"/>
  <c r="AD869" i="2"/>
  <c r="L869" i="2" s="1"/>
  <c r="AF870" i="2"/>
  <c r="C870" i="2"/>
  <c r="K869" i="2" l="1"/>
  <c r="D870" i="2"/>
  <c r="E870" i="2" s="1"/>
  <c r="T870" i="2" s="1"/>
  <c r="I869" i="2"/>
  <c r="N869" i="2" l="1"/>
  <c r="V870" i="2"/>
  <c r="O869" i="2" l="1"/>
  <c r="R869" i="2" s="1"/>
  <c r="M869" i="2"/>
  <c r="P869" i="2" s="1"/>
  <c r="AG869" i="2" l="1"/>
  <c r="Q869" i="2"/>
  <c r="S869" i="2" s="1"/>
  <c r="Y869" i="2" s="1"/>
  <c r="AA869" i="2" s="1"/>
  <c r="Z869" i="2" l="1"/>
  <c r="AB870" i="2"/>
  <c r="B871" i="2" l="1"/>
  <c r="H871" i="2" s="1"/>
  <c r="G870" i="2"/>
  <c r="F870" i="2"/>
  <c r="AE870" i="2"/>
  <c r="AC870" i="2"/>
  <c r="U870" i="2"/>
  <c r="AD870" i="2" l="1"/>
  <c r="L870" i="2" s="1"/>
  <c r="AF871" i="2"/>
  <c r="C871" i="2"/>
  <c r="J870" i="2"/>
  <c r="W870" i="2"/>
  <c r="X870" i="2" s="1"/>
  <c r="I870" i="2" l="1"/>
  <c r="K870" i="2"/>
  <c r="D871" i="2"/>
  <c r="E871" i="2" s="1"/>
  <c r="T871" i="2" s="1"/>
  <c r="N870" i="2" l="1"/>
  <c r="M870" i="2" s="1"/>
  <c r="P870" i="2" s="1"/>
  <c r="V871" i="2"/>
  <c r="AG870" i="2" l="1"/>
  <c r="O870" i="2"/>
  <c r="R870" i="2" s="1"/>
  <c r="Q870" i="2" l="1"/>
  <c r="S870" i="2" s="1"/>
  <c r="Y870" i="2" s="1"/>
  <c r="AA870" i="2" s="1"/>
  <c r="Z870" i="2" l="1"/>
  <c r="AB871" i="2"/>
  <c r="B872" i="2" l="1"/>
  <c r="H872" i="2" s="1"/>
  <c r="G871" i="2"/>
  <c r="F871" i="2"/>
  <c r="AC871" i="2"/>
  <c r="AE871" i="2"/>
  <c r="U871" i="2"/>
  <c r="J871" i="2" l="1"/>
  <c r="W871" i="2"/>
  <c r="X871" i="2" s="1"/>
  <c r="AD871" i="2"/>
  <c r="L871" i="2" s="1"/>
  <c r="AF872" i="2"/>
  <c r="C872" i="2"/>
  <c r="K871" i="2" l="1"/>
  <c r="I871" i="2"/>
  <c r="D872" i="2"/>
  <c r="E872" i="2" s="1"/>
  <c r="T872" i="2" s="1"/>
  <c r="N871" i="2" l="1"/>
  <c r="V872" i="2"/>
  <c r="O871" i="2" l="1"/>
  <c r="R871" i="2" s="1"/>
  <c r="M871" i="2"/>
  <c r="P871" i="2" s="1"/>
  <c r="AG871" i="2" l="1"/>
  <c r="Q871" i="2"/>
  <c r="S871" i="2" s="1"/>
  <c r="Y871" i="2" s="1"/>
  <c r="AA871" i="2" s="1"/>
  <c r="Z871" i="2" l="1"/>
  <c r="AB872" i="2"/>
  <c r="B873" i="2" l="1"/>
  <c r="H873" i="2" s="1"/>
  <c r="G872" i="2"/>
  <c r="F872" i="2"/>
  <c r="AC872" i="2"/>
  <c r="AE872" i="2"/>
  <c r="U872" i="2"/>
  <c r="C873" i="2" l="1"/>
  <c r="AF873" i="2"/>
  <c r="AD872" i="2"/>
  <c r="L872" i="2" s="1"/>
  <c r="J872" i="2"/>
  <c r="W872" i="2"/>
  <c r="X872" i="2" s="1"/>
  <c r="K872" i="2" l="1"/>
  <c r="I872" i="2"/>
  <c r="D873" i="2"/>
  <c r="E873" i="2" s="1"/>
  <c r="T873" i="2" s="1"/>
  <c r="N872" i="2" l="1"/>
  <c r="V873" i="2"/>
  <c r="O872" i="2" l="1"/>
  <c r="R872" i="2" s="1"/>
  <c r="M872" i="2"/>
  <c r="P872" i="2" s="1"/>
  <c r="AG872" i="2" l="1"/>
  <c r="Q872" i="2"/>
  <c r="S872" i="2" s="1"/>
  <c r="Y872" i="2" s="1"/>
  <c r="AA872" i="2" s="1"/>
  <c r="Z872" i="2" l="1"/>
  <c r="AB873" i="2"/>
  <c r="B874" i="2" l="1"/>
  <c r="H874" i="2" s="1"/>
  <c r="G873" i="2"/>
  <c r="F873" i="2"/>
  <c r="AE873" i="2"/>
  <c r="AC873" i="2"/>
  <c r="U873" i="2"/>
  <c r="AD873" i="2" l="1"/>
  <c r="L873" i="2" s="1"/>
  <c r="C874" i="2"/>
  <c r="AF874" i="2"/>
  <c r="J873" i="2"/>
  <c r="W873" i="2"/>
  <c r="X873" i="2" s="1"/>
  <c r="K873" i="2" l="1"/>
  <c r="D874" i="2"/>
  <c r="E874" i="2" s="1"/>
  <c r="T874" i="2" s="1"/>
  <c r="I873" i="2"/>
  <c r="N873" i="2" l="1"/>
  <c r="V874" i="2"/>
  <c r="O873" i="2" l="1"/>
  <c r="R873" i="2" s="1"/>
  <c r="M873" i="2"/>
  <c r="P873" i="2" s="1"/>
  <c r="AG873" i="2" l="1"/>
  <c r="Q873" i="2"/>
  <c r="S873" i="2" s="1"/>
  <c r="Y873" i="2" s="1"/>
  <c r="AA873" i="2" s="1"/>
  <c r="Z873" i="2" l="1"/>
  <c r="AB874" i="2"/>
  <c r="B875" i="2" l="1"/>
  <c r="H875" i="2" s="1"/>
  <c r="G874" i="2"/>
  <c r="F874" i="2"/>
  <c r="AE874" i="2"/>
  <c r="AC874" i="2"/>
  <c r="U874" i="2"/>
  <c r="AD874" i="2" l="1"/>
  <c r="L874" i="2" s="1"/>
  <c r="J874" i="2"/>
  <c r="W874" i="2"/>
  <c r="X874" i="2" s="1"/>
  <c r="AF875" i="2"/>
  <c r="C875" i="2"/>
  <c r="I874" i="2" l="1"/>
  <c r="D875" i="2"/>
  <c r="E875" i="2" s="1"/>
  <c r="T875" i="2" s="1"/>
  <c r="K874" i="2"/>
  <c r="V875" i="2" l="1"/>
  <c r="N874" i="2"/>
  <c r="O874" i="2" l="1"/>
  <c r="R874" i="2" s="1"/>
  <c r="M874" i="2"/>
  <c r="P874" i="2" s="1"/>
  <c r="AG874" i="2" l="1"/>
  <c r="Q874" i="2"/>
  <c r="S874" i="2" s="1"/>
  <c r="Y874" i="2" s="1"/>
  <c r="AA874" i="2" s="1"/>
  <c r="Z874" i="2" l="1"/>
  <c r="AB875" i="2"/>
  <c r="B876" i="2" l="1"/>
  <c r="H876" i="2" s="1"/>
  <c r="G875" i="2"/>
  <c r="F875" i="2"/>
  <c r="AE875" i="2"/>
  <c r="AC875" i="2"/>
  <c r="U875" i="2"/>
  <c r="AD875" i="2" l="1"/>
  <c r="L875" i="2" s="1"/>
  <c r="AF876" i="2"/>
  <c r="C876" i="2"/>
  <c r="J875" i="2"/>
  <c r="W875" i="2"/>
  <c r="X875" i="2" s="1"/>
  <c r="K875" i="2" l="1"/>
  <c r="I875" i="2"/>
  <c r="D876" i="2"/>
  <c r="E876" i="2" s="1"/>
  <c r="T876" i="2" s="1"/>
  <c r="N875" i="2" l="1"/>
  <c r="V876" i="2"/>
  <c r="O875" i="2" l="1"/>
  <c r="R875" i="2" s="1"/>
  <c r="M875" i="2"/>
  <c r="P875" i="2" s="1"/>
  <c r="AG875" i="2" l="1"/>
  <c r="Q875" i="2"/>
  <c r="S875" i="2" s="1"/>
  <c r="Y875" i="2" s="1"/>
  <c r="AA875" i="2" s="1"/>
  <c r="Z875" i="2" l="1"/>
  <c r="AB876" i="2"/>
  <c r="B877" i="2" l="1"/>
  <c r="H877" i="2" s="1"/>
  <c r="G876" i="2"/>
  <c r="F876" i="2"/>
  <c r="AE876" i="2"/>
  <c r="AC876" i="2"/>
  <c r="U876" i="2"/>
  <c r="AD876" i="2" l="1"/>
  <c r="L876" i="2" s="1"/>
  <c r="AF877" i="2"/>
  <c r="C877" i="2"/>
  <c r="J876" i="2"/>
  <c r="W876" i="2"/>
  <c r="X876" i="2" s="1"/>
  <c r="K876" i="2" l="1"/>
  <c r="I876" i="2"/>
  <c r="D877" i="2"/>
  <c r="E877" i="2" s="1"/>
  <c r="T877" i="2" s="1"/>
  <c r="N876" i="2" l="1"/>
  <c r="V877" i="2"/>
  <c r="O876" i="2" l="1"/>
  <c r="R876" i="2" s="1"/>
  <c r="M876" i="2"/>
  <c r="P876" i="2" s="1"/>
  <c r="AG876" i="2" l="1"/>
  <c r="Q876" i="2"/>
  <c r="S876" i="2" s="1"/>
  <c r="Y876" i="2" s="1"/>
  <c r="AA876" i="2" s="1"/>
  <c r="Z876" i="2" l="1"/>
  <c r="AB877" i="2"/>
  <c r="B878" i="2" l="1"/>
  <c r="H878" i="2" s="1"/>
  <c r="G877" i="2"/>
  <c r="F877" i="2"/>
  <c r="AE877" i="2"/>
  <c r="AC877" i="2"/>
  <c r="U877" i="2"/>
  <c r="J877" i="2" l="1"/>
  <c r="W877" i="2"/>
  <c r="X877" i="2" s="1"/>
  <c r="AD877" i="2"/>
  <c r="L877" i="2" s="1"/>
  <c r="AF878" i="2"/>
  <c r="C878" i="2"/>
  <c r="I877" i="2" l="1"/>
  <c r="K877" i="2"/>
  <c r="D878" i="2"/>
  <c r="E878" i="2" s="1"/>
  <c r="T878" i="2" s="1"/>
  <c r="V878" i="2" l="1"/>
  <c r="N877" i="2"/>
  <c r="O877" i="2" l="1"/>
  <c r="R877" i="2" s="1"/>
  <c r="M877" i="2"/>
  <c r="P877" i="2" s="1"/>
  <c r="AG877" i="2" l="1"/>
  <c r="Q877" i="2"/>
  <c r="S877" i="2" s="1"/>
  <c r="Y877" i="2" s="1"/>
  <c r="AA877" i="2" s="1"/>
  <c r="Z877" i="2" l="1"/>
  <c r="AB878" i="2"/>
  <c r="B879" i="2" l="1"/>
  <c r="H879" i="2" s="1"/>
  <c r="G878" i="2"/>
  <c r="F878" i="2"/>
  <c r="AC878" i="2"/>
  <c r="AE878" i="2"/>
  <c r="U878" i="2"/>
  <c r="AF879" i="2" l="1"/>
  <c r="C879" i="2"/>
  <c r="AD878" i="2"/>
  <c r="L878" i="2" s="1"/>
  <c r="J878" i="2"/>
  <c r="W878" i="2"/>
  <c r="X878" i="2" s="1"/>
  <c r="K878" i="2" l="1"/>
  <c r="I878" i="2"/>
  <c r="D879" i="2"/>
  <c r="E879" i="2" s="1"/>
  <c r="T879" i="2" s="1"/>
  <c r="N878" i="2" l="1"/>
  <c r="V879" i="2"/>
  <c r="O878" i="2" l="1"/>
  <c r="R878" i="2" s="1"/>
  <c r="M878" i="2"/>
  <c r="P878" i="2" s="1"/>
  <c r="AG878" i="2" l="1"/>
  <c r="Q878" i="2"/>
  <c r="S878" i="2" s="1"/>
  <c r="Y878" i="2" s="1"/>
  <c r="AA878" i="2" s="1"/>
  <c r="Z878" i="2" l="1"/>
  <c r="AB879" i="2"/>
  <c r="B880" i="2" l="1"/>
  <c r="H880" i="2" s="1"/>
  <c r="G879" i="2"/>
  <c r="F879" i="2"/>
  <c r="AE879" i="2"/>
  <c r="AC879" i="2"/>
  <c r="U879" i="2"/>
  <c r="AF880" i="2" l="1"/>
  <c r="C880" i="2"/>
  <c r="AD879" i="2"/>
  <c r="L879" i="2" s="1"/>
  <c r="J879" i="2"/>
  <c r="W879" i="2"/>
  <c r="X879" i="2" s="1"/>
  <c r="K879" i="2" l="1"/>
  <c r="I879" i="2"/>
  <c r="D880" i="2"/>
  <c r="E880" i="2" s="1"/>
  <c r="T880" i="2" s="1"/>
  <c r="N879" i="2" l="1"/>
  <c r="V880" i="2"/>
  <c r="O879" i="2" l="1"/>
  <c r="R879" i="2" s="1"/>
  <c r="M879" i="2"/>
  <c r="P879" i="2" s="1"/>
  <c r="AG879" i="2" l="1"/>
  <c r="Q879" i="2"/>
  <c r="S879" i="2" s="1"/>
  <c r="Y879" i="2" s="1"/>
  <c r="AA879" i="2" s="1"/>
  <c r="Z879" i="2" l="1"/>
  <c r="AB880" i="2"/>
  <c r="B881" i="2" l="1"/>
  <c r="H881" i="2" s="1"/>
  <c r="G880" i="2"/>
  <c r="F880" i="2"/>
  <c r="AE880" i="2"/>
  <c r="AC880" i="2"/>
  <c r="U880" i="2"/>
  <c r="AD880" i="2" l="1"/>
  <c r="L880" i="2" s="1"/>
  <c r="AF881" i="2"/>
  <c r="C881" i="2"/>
  <c r="J880" i="2"/>
  <c r="W880" i="2"/>
  <c r="X880" i="2" s="1"/>
  <c r="I880" i="2" l="1"/>
  <c r="K880" i="2"/>
  <c r="D881" i="2"/>
  <c r="E881" i="2" s="1"/>
  <c r="T881" i="2" s="1"/>
  <c r="V881" i="2" l="1"/>
  <c r="N880" i="2"/>
  <c r="O880" i="2" l="1"/>
  <c r="R880" i="2" s="1"/>
  <c r="M880" i="2"/>
  <c r="P880" i="2" s="1"/>
  <c r="AG880" i="2" l="1"/>
  <c r="Q880" i="2"/>
  <c r="S880" i="2" s="1"/>
  <c r="Y880" i="2" s="1"/>
  <c r="AA880" i="2" s="1"/>
  <c r="Z880" i="2" l="1"/>
  <c r="AB881" i="2"/>
  <c r="B882" i="2" l="1"/>
  <c r="H882" i="2" s="1"/>
  <c r="G881" i="2"/>
  <c r="F881" i="2"/>
  <c r="AC881" i="2"/>
  <c r="AE881" i="2"/>
  <c r="U881" i="2"/>
  <c r="J881" i="2" l="1"/>
  <c r="W881" i="2"/>
  <c r="X881" i="2" s="1"/>
  <c r="AD881" i="2"/>
  <c r="L881" i="2" s="1"/>
  <c r="C882" i="2"/>
  <c r="AF882" i="2"/>
  <c r="I881" i="2" l="1"/>
  <c r="D882" i="2"/>
  <c r="E882" i="2" s="1"/>
  <c r="T882" i="2" s="1"/>
  <c r="K881" i="2"/>
  <c r="V882" i="2" l="1"/>
  <c r="N881" i="2"/>
  <c r="O881" i="2" l="1"/>
  <c r="Q881" i="2" s="1"/>
  <c r="M881" i="2"/>
  <c r="P881" i="2" s="1"/>
  <c r="AG881" i="2" l="1"/>
  <c r="R881" i="2"/>
  <c r="S881" i="2" s="1"/>
  <c r="Y881" i="2" s="1"/>
  <c r="AA881" i="2" s="1"/>
  <c r="Z881" i="2" l="1"/>
  <c r="AB882" i="2"/>
  <c r="B883" i="2" l="1"/>
  <c r="H883" i="2" s="1"/>
  <c r="G882" i="2"/>
  <c r="F882" i="2"/>
  <c r="AE882" i="2"/>
  <c r="AC882" i="2"/>
  <c r="U882" i="2"/>
  <c r="AF883" i="2" l="1"/>
  <c r="C883" i="2"/>
  <c r="AD882" i="2"/>
  <c r="L882" i="2" s="1"/>
  <c r="J882" i="2"/>
  <c r="W882" i="2"/>
  <c r="X882" i="2" s="1"/>
  <c r="K882" i="2" l="1"/>
  <c r="I882" i="2"/>
  <c r="D883" i="2"/>
  <c r="E883" i="2" s="1"/>
  <c r="T883" i="2" s="1"/>
  <c r="N882" i="2" l="1"/>
  <c r="V883" i="2"/>
  <c r="O882" i="2" l="1"/>
  <c r="R882" i="2" s="1"/>
  <c r="M882" i="2"/>
  <c r="P882" i="2" s="1"/>
  <c r="AG882" i="2" l="1"/>
  <c r="Q882" i="2"/>
  <c r="S882" i="2" s="1"/>
  <c r="Z882" i="2" s="1"/>
  <c r="Y882" i="2" l="1"/>
  <c r="AA882" i="2" s="1"/>
  <c r="AB883" i="2" s="1"/>
  <c r="B884" i="2" l="1"/>
  <c r="H884" i="2" s="1"/>
  <c r="G883" i="2"/>
  <c r="F883" i="2"/>
  <c r="AE883" i="2"/>
  <c r="AC883" i="2"/>
  <c r="U883" i="2"/>
  <c r="C884" i="2" l="1"/>
  <c r="AF884" i="2"/>
  <c r="AD883" i="2"/>
  <c r="L883" i="2" s="1"/>
  <c r="J883" i="2"/>
  <c r="W883" i="2"/>
  <c r="X883" i="2" s="1"/>
  <c r="I883" i="2" l="1"/>
  <c r="K883" i="2"/>
  <c r="D884" i="2"/>
  <c r="E884" i="2" s="1"/>
  <c r="T884" i="2" s="1"/>
  <c r="N883" i="2" l="1"/>
  <c r="M883" i="2" s="1"/>
  <c r="P883" i="2" s="1"/>
  <c r="V884" i="2"/>
  <c r="AG883" i="2" l="1"/>
  <c r="O883" i="2"/>
  <c r="Q883" i="2" s="1"/>
  <c r="R883" i="2" l="1"/>
  <c r="S883" i="2" s="1"/>
  <c r="Y883" i="2" s="1"/>
  <c r="AA883" i="2" s="1"/>
  <c r="Z883" i="2" l="1"/>
  <c r="AB884" i="2"/>
  <c r="B885" i="2" l="1"/>
  <c r="H885" i="2" s="1"/>
  <c r="G884" i="2"/>
  <c r="F884" i="2"/>
  <c r="AC884" i="2"/>
  <c r="AE884" i="2"/>
  <c r="U884" i="2"/>
  <c r="C885" i="2" l="1"/>
  <c r="AF885" i="2"/>
  <c r="AD884" i="2"/>
  <c r="L884" i="2" s="1"/>
  <c r="J884" i="2"/>
  <c r="W884" i="2"/>
  <c r="X884" i="2" s="1"/>
  <c r="I884" i="2" l="1"/>
  <c r="K884" i="2"/>
  <c r="D885" i="2"/>
  <c r="E885" i="2" s="1"/>
  <c r="T885" i="2" s="1"/>
  <c r="V885" i="2" l="1"/>
  <c r="N884" i="2"/>
  <c r="O884" i="2" l="1"/>
  <c r="R884" i="2" s="1"/>
  <c r="M884" i="2"/>
  <c r="P884" i="2" s="1"/>
  <c r="AG884" i="2" l="1"/>
  <c r="Q884" i="2"/>
  <c r="S884" i="2" s="1"/>
  <c r="Y884" i="2" s="1"/>
  <c r="AA884" i="2" s="1"/>
  <c r="Z884" i="2" l="1"/>
  <c r="AB885" i="2"/>
  <c r="B886" i="2" l="1"/>
  <c r="H886" i="2" s="1"/>
  <c r="G885" i="2"/>
  <c r="F885" i="2"/>
  <c r="AC885" i="2"/>
  <c r="AE885" i="2"/>
  <c r="U885" i="2"/>
  <c r="AF886" i="2" l="1"/>
  <c r="C886" i="2"/>
  <c r="AD885" i="2"/>
  <c r="L885" i="2" s="1"/>
  <c r="J885" i="2"/>
  <c r="W885" i="2"/>
  <c r="X885" i="2" s="1"/>
  <c r="K885" i="2" l="1"/>
  <c r="I885" i="2"/>
  <c r="D886" i="2"/>
  <c r="E886" i="2" s="1"/>
  <c r="T886" i="2" s="1"/>
  <c r="N885" i="2" l="1"/>
  <c r="V886" i="2"/>
  <c r="O885" i="2" l="1"/>
  <c r="Q885" i="2" s="1"/>
  <c r="M885" i="2"/>
  <c r="P885" i="2" s="1"/>
  <c r="AG885" i="2" l="1"/>
  <c r="R885" i="2"/>
  <c r="S885" i="2" s="1"/>
  <c r="Z885" i="2" s="1"/>
  <c r="Y885" i="2" l="1"/>
  <c r="AA885" i="2" s="1"/>
  <c r="AB886" i="2" l="1"/>
  <c r="B887" i="2" l="1"/>
  <c r="H887" i="2" s="1"/>
  <c r="G886" i="2"/>
  <c r="AE886" i="2"/>
  <c r="AD886" i="2" s="1"/>
  <c r="L886" i="2" s="1"/>
  <c r="U886" i="2"/>
  <c r="F886" i="2"/>
  <c r="J886" i="2" s="1"/>
  <c r="AC886" i="2"/>
  <c r="AF887" i="2"/>
  <c r="C887" i="2"/>
  <c r="I886" i="2" l="1"/>
  <c r="W886" i="2"/>
  <c r="X886" i="2" s="1"/>
  <c r="D887" i="2"/>
  <c r="E887" i="2" s="1"/>
  <c r="T887" i="2" s="1"/>
  <c r="K886" i="2"/>
  <c r="V887" i="2" l="1"/>
  <c r="N886" i="2"/>
  <c r="O886" i="2" l="1"/>
  <c r="Q886" i="2" s="1"/>
  <c r="M886" i="2"/>
  <c r="P886" i="2" s="1"/>
  <c r="AG886" i="2" l="1"/>
  <c r="R886" i="2"/>
  <c r="S886" i="2" s="1"/>
  <c r="Z886" i="2" s="1"/>
  <c r="Y886" i="2" l="1"/>
  <c r="AA886" i="2" s="1"/>
  <c r="AB887" i="2" l="1"/>
  <c r="B888" i="2" l="1"/>
  <c r="H888" i="2" s="1"/>
  <c r="G887" i="2"/>
  <c r="F887" i="2"/>
  <c r="AC887" i="2"/>
  <c r="U887" i="2"/>
  <c r="AE887" i="2"/>
  <c r="AD887" i="2" s="1"/>
  <c r="L887" i="2" s="1"/>
  <c r="J887" i="2"/>
  <c r="W887" i="2" l="1"/>
  <c r="X887" i="2" s="1"/>
  <c r="AF888" i="2"/>
  <c r="C888" i="2"/>
  <c r="D888" i="2" s="1"/>
  <c r="E888" i="2" s="1"/>
  <c r="T888" i="2" s="1"/>
  <c r="K887" i="2"/>
  <c r="I887" i="2"/>
  <c r="N887" i="2" l="1"/>
  <c r="V888" i="2"/>
  <c r="O887" i="2" l="1"/>
  <c r="Q887" i="2" s="1"/>
  <c r="M887" i="2"/>
  <c r="P887" i="2" s="1"/>
  <c r="AG887" i="2" l="1"/>
  <c r="R887" i="2"/>
  <c r="S887" i="2" s="1"/>
  <c r="Y887" i="2" s="1"/>
  <c r="AA887" i="2" s="1"/>
  <c r="Z887" i="2" l="1"/>
  <c r="AB888" i="2"/>
  <c r="B889" i="2" l="1"/>
  <c r="H889" i="2" s="1"/>
  <c r="G888" i="2"/>
  <c r="F888" i="2"/>
  <c r="AE888" i="2"/>
  <c r="AC888" i="2"/>
  <c r="U888" i="2"/>
  <c r="C889" i="2" l="1"/>
  <c r="AF889" i="2"/>
  <c r="AD888" i="2"/>
  <c r="L888" i="2" s="1"/>
  <c r="J888" i="2"/>
  <c r="W888" i="2"/>
  <c r="X888" i="2" s="1"/>
  <c r="K888" i="2" l="1"/>
  <c r="I888" i="2"/>
  <c r="D889" i="2"/>
  <c r="E889" i="2" s="1"/>
  <c r="T889" i="2" s="1"/>
  <c r="N888" i="2" l="1"/>
  <c r="V889" i="2"/>
  <c r="O888" i="2" l="1"/>
  <c r="R888" i="2" s="1"/>
  <c r="M888" i="2"/>
  <c r="P888" i="2" s="1"/>
  <c r="AG888" i="2" l="1"/>
  <c r="Q888" i="2"/>
  <c r="S888" i="2" s="1"/>
  <c r="Y888" i="2" s="1"/>
  <c r="AA888" i="2" s="1"/>
  <c r="Z888" i="2" l="1"/>
  <c r="AB889" i="2"/>
  <c r="B890" i="2" l="1"/>
  <c r="H890" i="2" s="1"/>
  <c r="G889" i="2"/>
  <c r="F889" i="2"/>
  <c r="AC889" i="2"/>
  <c r="AE889" i="2"/>
  <c r="U889" i="2"/>
  <c r="AF890" i="2" l="1"/>
  <c r="C890" i="2"/>
  <c r="AD889" i="2"/>
  <c r="L889" i="2" s="1"/>
  <c r="J889" i="2"/>
  <c r="W889" i="2"/>
  <c r="X889" i="2" s="1"/>
  <c r="I889" i="2" l="1"/>
  <c r="K889" i="2"/>
  <c r="D890" i="2"/>
  <c r="E890" i="2" s="1"/>
  <c r="T890" i="2" s="1"/>
  <c r="V890" i="2" l="1"/>
  <c r="N889" i="2"/>
  <c r="O889" i="2" l="1"/>
  <c r="Q889" i="2" s="1"/>
  <c r="M889" i="2"/>
  <c r="P889" i="2" s="1"/>
  <c r="AG889" i="2" l="1"/>
  <c r="R889" i="2"/>
  <c r="S889" i="2" s="1"/>
  <c r="Y889" i="2" l="1"/>
  <c r="AA889" i="2" s="1"/>
  <c r="AB890" i="2" s="1"/>
  <c r="Z889" i="2"/>
  <c r="B891" i="2" l="1"/>
  <c r="H891" i="2" s="1"/>
  <c r="G890" i="2"/>
  <c r="F890" i="2"/>
  <c r="AC890" i="2"/>
  <c r="AE890" i="2"/>
  <c r="U890" i="2"/>
  <c r="AD890" i="2" l="1"/>
  <c r="L890" i="2" s="1"/>
  <c r="J890" i="2"/>
  <c r="W890" i="2"/>
  <c r="X890" i="2" s="1"/>
  <c r="AF891" i="2"/>
  <c r="C891" i="2"/>
  <c r="I890" i="2" l="1"/>
  <c r="K890" i="2"/>
  <c r="D891" i="2"/>
  <c r="E891" i="2" s="1"/>
  <c r="T891" i="2" s="1"/>
  <c r="V891" i="2" l="1"/>
  <c r="N890" i="2"/>
  <c r="O890" i="2" l="1"/>
  <c r="Q890" i="2" s="1"/>
  <c r="M890" i="2"/>
  <c r="P890" i="2" s="1"/>
  <c r="AG890" i="2" l="1"/>
  <c r="R890" i="2"/>
  <c r="S890" i="2" s="1"/>
  <c r="Y890" i="2" s="1"/>
  <c r="AA890" i="2" s="1"/>
  <c r="Z890" i="2" l="1"/>
  <c r="AB891" i="2"/>
  <c r="B892" i="2" l="1"/>
  <c r="H892" i="2" s="1"/>
  <c r="G891" i="2"/>
  <c r="F891" i="2"/>
  <c r="AC891" i="2"/>
  <c r="AE891" i="2"/>
  <c r="U891" i="2"/>
  <c r="J891" i="2" l="1"/>
  <c r="W891" i="2"/>
  <c r="X891" i="2" s="1"/>
  <c r="AD891" i="2"/>
  <c r="L891" i="2" s="1"/>
  <c r="AF892" i="2"/>
  <c r="C892" i="2"/>
  <c r="D892" i="2" l="1"/>
  <c r="E892" i="2" s="1"/>
  <c r="T892" i="2" s="1"/>
  <c r="K891" i="2"/>
  <c r="I891" i="2"/>
  <c r="N891" i="2" l="1"/>
  <c r="V892" i="2"/>
  <c r="O891" i="2" l="1"/>
  <c r="Q891" i="2" s="1"/>
  <c r="M891" i="2"/>
  <c r="P891" i="2" s="1"/>
  <c r="AG891" i="2" l="1"/>
  <c r="R891" i="2"/>
  <c r="S891" i="2" s="1"/>
  <c r="Y891" i="2" s="1"/>
  <c r="AA891" i="2" s="1"/>
  <c r="Z891" i="2" l="1"/>
  <c r="AB892" i="2"/>
  <c r="B893" i="2" l="1"/>
  <c r="H893" i="2" s="1"/>
  <c r="G892" i="2"/>
  <c r="F892" i="2"/>
  <c r="AE892" i="2"/>
  <c r="AC892" i="2"/>
  <c r="U892" i="2"/>
  <c r="AD892" i="2" l="1"/>
  <c r="L892" i="2" s="1"/>
  <c r="J892" i="2"/>
  <c r="W892" i="2"/>
  <c r="X892" i="2" s="1"/>
  <c r="AF893" i="2"/>
  <c r="C893" i="2"/>
  <c r="I892" i="2" l="1"/>
  <c r="D893" i="2"/>
  <c r="E893" i="2" s="1"/>
  <c r="T893" i="2" s="1"/>
  <c r="K892" i="2"/>
  <c r="V893" i="2" l="1"/>
  <c r="N892" i="2"/>
  <c r="O892" i="2" l="1"/>
  <c r="R892" i="2" s="1"/>
  <c r="M892" i="2"/>
  <c r="P892" i="2" s="1"/>
  <c r="AG892" i="2" l="1"/>
  <c r="Q892" i="2"/>
  <c r="S892" i="2" s="1"/>
  <c r="Y892" i="2" s="1"/>
  <c r="AA892" i="2" s="1"/>
  <c r="Z892" i="2" l="1"/>
  <c r="AB893" i="2"/>
  <c r="B894" i="2" l="1"/>
  <c r="H894" i="2" s="1"/>
  <c r="G893" i="2"/>
  <c r="F893" i="2"/>
  <c r="AC893" i="2"/>
  <c r="AE893" i="2"/>
  <c r="U893" i="2"/>
  <c r="AF894" i="2" l="1"/>
  <c r="C894" i="2"/>
  <c r="AD893" i="2"/>
  <c r="L893" i="2" s="1"/>
  <c r="J893" i="2"/>
  <c r="W893" i="2"/>
  <c r="X893" i="2" s="1"/>
  <c r="I893" i="2" l="1"/>
  <c r="D894" i="2"/>
  <c r="E894" i="2" s="1"/>
  <c r="T894" i="2" s="1"/>
  <c r="K893" i="2"/>
  <c r="V894" i="2" l="1"/>
  <c r="N893" i="2"/>
  <c r="O893" i="2" l="1"/>
  <c r="R893" i="2" s="1"/>
  <c r="M893" i="2"/>
  <c r="P893" i="2" s="1"/>
  <c r="AG893" i="2" l="1"/>
  <c r="Q893" i="2"/>
  <c r="S893" i="2" s="1"/>
  <c r="Y893" i="2" s="1"/>
  <c r="AA893" i="2" s="1"/>
  <c r="Z893" i="2" l="1"/>
  <c r="AB894" i="2"/>
  <c r="B895" i="2" l="1"/>
  <c r="H895" i="2" s="1"/>
  <c r="G894" i="2"/>
  <c r="F894" i="2"/>
  <c r="AE894" i="2"/>
  <c r="AC894" i="2"/>
  <c r="U894" i="2"/>
  <c r="J894" i="2" l="1"/>
  <c r="W894" i="2"/>
  <c r="X894" i="2" s="1"/>
  <c r="AD894" i="2"/>
  <c r="L894" i="2" s="1"/>
  <c r="AF895" i="2"/>
  <c r="C895" i="2"/>
  <c r="I894" i="2" l="1"/>
  <c r="D895" i="2"/>
  <c r="E895" i="2" s="1"/>
  <c r="T895" i="2" s="1"/>
  <c r="K894" i="2"/>
  <c r="V895" i="2" l="1"/>
  <c r="N894" i="2"/>
  <c r="O894" i="2" l="1"/>
  <c r="R894" i="2" s="1"/>
  <c r="M894" i="2"/>
  <c r="P894" i="2" s="1"/>
  <c r="AG894" i="2" l="1"/>
  <c r="Q894" i="2"/>
  <c r="S894" i="2" s="1"/>
  <c r="Y894" i="2" s="1"/>
  <c r="AA894" i="2" s="1"/>
  <c r="Z894" i="2" l="1"/>
  <c r="AB895" i="2"/>
  <c r="B896" i="2" l="1"/>
  <c r="H896" i="2" s="1"/>
  <c r="G895" i="2"/>
  <c r="F895" i="2"/>
  <c r="AC895" i="2"/>
  <c r="AE895" i="2"/>
  <c r="U895" i="2"/>
  <c r="AF896" i="2" l="1"/>
  <c r="C896" i="2"/>
  <c r="AD895" i="2"/>
  <c r="L895" i="2" s="1"/>
  <c r="J895" i="2"/>
  <c r="W895" i="2"/>
  <c r="X895" i="2" s="1"/>
  <c r="K895" i="2" l="1"/>
  <c r="D896" i="2"/>
  <c r="E896" i="2" s="1"/>
  <c r="T896" i="2" s="1"/>
  <c r="I895" i="2"/>
  <c r="N895" i="2" l="1"/>
  <c r="V896" i="2"/>
  <c r="O895" i="2" l="1"/>
  <c r="Q895" i="2" s="1"/>
  <c r="M895" i="2"/>
  <c r="P895" i="2" s="1"/>
  <c r="AG895" i="2" l="1"/>
  <c r="R895" i="2"/>
  <c r="S895" i="2" s="1"/>
  <c r="Z895" i="2" s="1"/>
  <c r="Y895" i="2" l="1"/>
  <c r="AA895" i="2" s="1"/>
  <c r="AB896" i="2" l="1"/>
  <c r="B897" i="2" l="1"/>
  <c r="H897" i="2" s="1"/>
  <c r="G896" i="2"/>
  <c r="AC896" i="2"/>
  <c r="U896" i="2"/>
  <c r="F896" i="2"/>
  <c r="J896" i="2" s="1"/>
  <c r="AE896" i="2"/>
  <c r="AD896" i="2" s="1"/>
  <c r="L896" i="2" s="1"/>
  <c r="AF897" i="2" l="1"/>
  <c r="I896" i="2"/>
  <c r="C897" i="2"/>
  <c r="D897" i="2" s="1"/>
  <c r="E897" i="2" s="1"/>
  <c r="T897" i="2" s="1"/>
  <c r="W896" i="2"/>
  <c r="X896" i="2" s="1"/>
  <c r="K896" i="2"/>
  <c r="V897" i="2" l="1"/>
  <c r="N896" i="2"/>
  <c r="O896" i="2" l="1"/>
  <c r="Q896" i="2" s="1"/>
  <c r="M896" i="2"/>
  <c r="P896" i="2" s="1"/>
  <c r="AG896" i="2" l="1"/>
  <c r="R896" i="2"/>
  <c r="S896" i="2" s="1"/>
  <c r="Y896" i="2" s="1"/>
  <c r="AA896" i="2" s="1"/>
  <c r="Z896" i="2" l="1"/>
  <c r="AB897" i="2"/>
  <c r="B898" i="2" l="1"/>
  <c r="H898" i="2" s="1"/>
  <c r="G897" i="2"/>
  <c r="F897" i="2"/>
  <c r="AC897" i="2"/>
  <c r="AE897" i="2"/>
  <c r="U897" i="2"/>
  <c r="AD897" i="2" l="1"/>
  <c r="L897" i="2" s="1"/>
  <c r="AF898" i="2"/>
  <c r="C898" i="2"/>
  <c r="J897" i="2"/>
  <c r="W897" i="2"/>
  <c r="X897" i="2" s="1"/>
  <c r="I897" i="2" l="1"/>
  <c r="D898" i="2"/>
  <c r="E898" i="2" s="1"/>
  <c r="T898" i="2" s="1"/>
  <c r="K897" i="2"/>
  <c r="N897" i="2" l="1"/>
  <c r="M897" i="2" s="1"/>
  <c r="P897" i="2" s="1"/>
  <c r="V898" i="2"/>
  <c r="AG897" i="2" l="1"/>
  <c r="O897" i="2"/>
  <c r="Q897" i="2" s="1"/>
  <c r="R897" i="2" l="1"/>
  <c r="S897" i="2" s="1"/>
  <c r="Z897" i="2" s="1"/>
  <c r="Y897" i="2" l="1"/>
  <c r="AA897" i="2" s="1"/>
  <c r="AB898" i="2" l="1"/>
  <c r="B899" i="2" l="1"/>
  <c r="H899" i="2" s="1"/>
  <c r="G898" i="2"/>
  <c r="F898" i="2"/>
  <c r="AC898" i="2"/>
  <c r="AE898" i="2"/>
  <c r="AD898" i="2" s="1"/>
  <c r="L898" i="2" s="1"/>
  <c r="U898" i="2"/>
  <c r="J898" i="2"/>
  <c r="W898" i="2" l="1"/>
  <c r="X898" i="2" s="1"/>
  <c r="AF899" i="2"/>
  <c r="C899" i="2"/>
  <c r="D899" i="2" s="1"/>
  <c r="E899" i="2" s="1"/>
  <c r="T899" i="2" s="1"/>
  <c r="K898" i="2"/>
  <c r="I898" i="2"/>
  <c r="N898" i="2" l="1"/>
  <c r="V899" i="2"/>
  <c r="O898" i="2" l="1"/>
  <c r="Q898" i="2" s="1"/>
  <c r="M898" i="2"/>
  <c r="P898" i="2" s="1"/>
  <c r="AG898" i="2" l="1"/>
  <c r="R898" i="2"/>
  <c r="S898" i="2" s="1"/>
  <c r="Y898" i="2" s="1"/>
  <c r="AA898" i="2" s="1"/>
  <c r="Z898" i="2" l="1"/>
  <c r="AB899" i="2"/>
  <c r="B900" i="2" l="1"/>
  <c r="H900" i="2" s="1"/>
  <c r="G899" i="2"/>
  <c r="F899" i="2"/>
  <c r="AE899" i="2"/>
  <c r="AC899" i="2"/>
  <c r="U899" i="2"/>
  <c r="AF900" i="2" l="1"/>
  <c r="C900" i="2"/>
  <c r="AD899" i="2"/>
  <c r="L899" i="2" s="1"/>
  <c r="J899" i="2"/>
  <c r="W899" i="2"/>
  <c r="X899" i="2" s="1"/>
  <c r="I899" i="2" l="1"/>
  <c r="K899" i="2"/>
  <c r="D900" i="2"/>
  <c r="E900" i="2" s="1"/>
  <c r="T900" i="2" s="1"/>
  <c r="V900" i="2" l="1"/>
  <c r="N899" i="2"/>
  <c r="O899" i="2" l="1"/>
  <c r="R899" i="2" s="1"/>
  <c r="M899" i="2"/>
  <c r="P899" i="2" s="1"/>
  <c r="AG899" i="2" l="1"/>
  <c r="Q899" i="2"/>
  <c r="S899" i="2" s="1"/>
  <c r="Y899" i="2" s="1"/>
  <c r="AA899" i="2" s="1"/>
  <c r="Z899" i="2" l="1"/>
  <c r="AB900" i="2"/>
  <c r="B901" i="2" l="1"/>
  <c r="H901" i="2" s="1"/>
  <c r="G900" i="2"/>
  <c r="F900" i="2"/>
  <c r="AC900" i="2"/>
  <c r="AE900" i="2"/>
  <c r="U900" i="2"/>
  <c r="C901" i="2" l="1"/>
  <c r="AF901" i="2"/>
  <c r="J900" i="2"/>
  <c r="W900" i="2"/>
  <c r="X900" i="2" s="1"/>
  <c r="AD900" i="2"/>
  <c r="L900" i="2" s="1"/>
  <c r="K900" i="2" l="1"/>
  <c r="I900" i="2"/>
  <c r="D901" i="2"/>
  <c r="E901" i="2" s="1"/>
  <c r="T901" i="2" s="1"/>
  <c r="N900" i="2" l="1"/>
  <c r="V901" i="2"/>
  <c r="O900" i="2" l="1"/>
  <c r="Q900" i="2" s="1"/>
  <c r="M900" i="2"/>
  <c r="P900" i="2" s="1"/>
  <c r="AG900" i="2" l="1"/>
  <c r="R900" i="2"/>
  <c r="S900" i="2" s="1"/>
  <c r="Y900" i="2" s="1"/>
  <c r="AA900" i="2" s="1"/>
  <c r="Z900" i="2" l="1"/>
  <c r="AB901" i="2"/>
  <c r="B902" i="2" l="1"/>
  <c r="H902" i="2" s="1"/>
  <c r="G901" i="2"/>
  <c r="F901" i="2"/>
  <c r="AC901" i="2"/>
  <c r="AE901" i="2"/>
  <c r="U901" i="2"/>
  <c r="AD901" i="2" l="1"/>
  <c r="L901" i="2" s="1"/>
  <c r="AF902" i="2"/>
  <c r="C902" i="2"/>
  <c r="J901" i="2"/>
  <c r="W901" i="2"/>
  <c r="X901" i="2" s="1"/>
  <c r="K901" i="2" l="1"/>
  <c r="I901" i="2"/>
  <c r="D902" i="2"/>
  <c r="E902" i="2" s="1"/>
  <c r="T902" i="2" s="1"/>
  <c r="N901" i="2" l="1"/>
  <c r="V902" i="2"/>
  <c r="O901" i="2" l="1"/>
  <c r="R901" i="2" s="1"/>
  <c r="M901" i="2"/>
  <c r="P901" i="2" s="1"/>
  <c r="AG901" i="2" l="1"/>
  <c r="Q901" i="2"/>
  <c r="S901" i="2" s="1"/>
  <c r="Y901" i="2" s="1"/>
  <c r="AA901" i="2" s="1"/>
  <c r="Z901" i="2" l="1"/>
  <c r="AB902" i="2"/>
  <c r="B903" i="2" l="1"/>
  <c r="H903" i="2" s="1"/>
  <c r="G902" i="2"/>
  <c r="F902" i="2"/>
  <c r="AE902" i="2"/>
  <c r="AC902" i="2"/>
  <c r="U902" i="2"/>
  <c r="AD902" i="2" l="1"/>
  <c r="L902" i="2" s="1"/>
  <c r="AF903" i="2"/>
  <c r="C903" i="2"/>
  <c r="J902" i="2"/>
  <c r="W902" i="2"/>
  <c r="X902" i="2" s="1"/>
  <c r="I902" i="2" l="1"/>
  <c r="D903" i="2"/>
  <c r="E903" i="2" s="1"/>
  <c r="T903" i="2" s="1"/>
  <c r="K902" i="2"/>
  <c r="V903" i="2" l="1"/>
  <c r="N902" i="2"/>
  <c r="O902" i="2" l="1"/>
  <c r="R902" i="2" s="1"/>
  <c r="M902" i="2"/>
  <c r="P902" i="2" s="1"/>
  <c r="AG902" i="2" l="1"/>
  <c r="Q902" i="2"/>
  <c r="S902" i="2" s="1"/>
  <c r="Y902" i="2" s="1"/>
  <c r="AA902" i="2" s="1"/>
  <c r="Z902" i="2" l="1"/>
  <c r="AB903" i="2"/>
  <c r="B904" i="2" l="1"/>
  <c r="H904" i="2" s="1"/>
  <c r="G903" i="2"/>
  <c r="F903" i="2"/>
  <c r="AE903" i="2"/>
  <c r="AC903" i="2"/>
  <c r="U903" i="2"/>
  <c r="J903" i="2" l="1"/>
  <c r="W903" i="2"/>
  <c r="X903" i="2" s="1"/>
  <c r="AD903" i="2"/>
  <c r="L903" i="2" s="1"/>
  <c r="C904" i="2"/>
  <c r="AF904" i="2"/>
  <c r="D904" i="2" l="1"/>
  <c r="E904" i="2" s="1"/>
  <c r="T904" i="2" s="1"/>
  <c r="K903" i="2"/>
  <c r="I903" i="2"/>
  <c r="N903" i="2" l="1"/>
  <c r="M903" i="2" s="1"/>
  <c r="P903" i="2" s="1"/>
  <c r="V904" i="2"/>
  <c r="AG903" i="2" l="1"/>
  <c r="O903" i="2"/>
  <c r="Q903" i="2" s="1"/>
  <c r="R903" i="2" l="1"/>
  <c r="S903" i="2" s="1"/>
  <c r="Z903" i="2" s="1"/>
  <c r="Y903" i="2" l="1"/>
  <c r="AA903" i="2" s="1"/>
  <c r="AB904" i="2" l="1"/>
  <c r="B905" i="2" l="1"/>
  <c r="H905" i="2" s="1"/>
  <c r="G904" i="2"/>
  <c r="F904" i="2"/>
  <c r="AE904" i="2"/>
  <c r="AD904" i="2" s="1"/>
  <c r="L904" i="2" s="1"/>
  <c r="AC904" i="2"/>
  <c r="U904" i="2"/>
  <c r="W904" i="2" l="1"/>
  <c r="X904" i="2" s="1"/>
  <c r="J904" i="2"/>
  <c r="C905" i="2"/>
  <c r="D905" i="2" s="1"/>
  <c r="E905" i="2" s="1"/>
  <c r="T905" i="2" s="1"/>
  <c r="AF905" i="2"/>
  <c r="I904" i="2" l="1"/>
  <c r="K904" i="2"/>
  <c r="V905" i="2"/>
  <c r="N904" i="2" l="1"/>
  <c r="O904" i="2" s="1"/>
  <c r="Q904" i="2" s="1"/>
  <c r="M904" i="2"/>
  <c r="P904" i="2" s="1"/>
  <c r="AG904" i="2" l="1"/>
  <c r="R904" i="2"/>
  <c r="S904" i="2" s="1"/>
  <c r="Z904" i="2" s="1"/>
  <c r="Y904" i="2" l="1"/>
  <c r="AA904" i="2" s="1"/>
  <c r="AB905" i="2" l="1"/>
  <c r="B906" i="2" l="1"/>
  <c r="H906" i="2" s="1"/>
  <c r="G905" i="2"/>
  <c r="F905" i="2"/>
  <c r="U905" i="2"/>
  <c r="AE905" i="2"/>
  <c r="AD905" i="2" s="1"/>
  <c r="L905" i="2" s="1"/>
  <c r="AC905" i="2"/>
  <c r="J905" i="2"/>
  <c r="W905" i="2" l="1"/>
  <c r="X905" i="2" s="1"/>
  <c r="AF906" i="2"/>
  <c r="C906" i="2"/>
  <c r="D906" i="2" s="1"/>
  <c r="E906" i="2" s="1"/>
  <c r="T906" i="2" s="1"/>
  <c r="K905" i="2"/>
  <c r="I905" i="2"/>
  <c r="N905" i="2" l="1"/>
  <c r="V906" i="2"/>
  <c r="O905" i="2" l="1"/>
  <c r="R905" i="2" s="1"/>
  <c r="M905" i="2"/>
  <c r="P905" i="2" s="1"/>
  <c r="AG905" i="2" l="1"/>
  <c r="Q905" i="2"/>
  <c r="S905" i="2" s="1"/>
  <c r="Y905" i="2" s="1"/>
  <c r="AA905" i="2" s="1"/>
  <c r="Z905" i="2" l="1"/>
  <c r="AB906" i="2"/>
  <c r="B907" i="2" l="1"/>
  <c r="H907" i="2" s="1"/>
  <c r="G906" i="2"/>
  <c r="F906" i="2"/>
  <c r="AE906" i="2"/>
  <c r="AC906" i="2"/>
  <c r="U906" i="2"/>
  <c r="AF907" i="2" l="1"/>
  <c r="C907" i="2"/>
  <c r="AD906" i="2"/>
  <c r="L906" i="2" s="1"/>
  <c r="J906" i="2"/>
  <c r="W906" i="2"/>
  <c r="X906" i="2" s="1"/>
  <c r="K906" i="2" l="1"/>
  <c r="I906" i="2"/>
  <c r="D907" i="2"/>
  <c r="E907" i="2" s="1"/>
  <c r="T907" i="2" s="1"/>
  <c r="N906" i="2" l="1"/>
  <c r="V907" i="2"/>
  <c r="O906" i="2" l="1"/>
  <c r="Q906" i="2" s="1"/>
  <c r="M906" i="2"/>
  <c r="P906" i="2" s="1"/>
  <c r="AG906" i="2" l="1"/>
  <c r="R906" i="2"/>
  <c r="S906" i="2" s="1"/>
  <c r="Y906" i="2" s="1"/>
  <c r="AA906" i="2" s="1"/>
  <c r="Z906" i="2" l="1"/>
  <c r="AB907" i="2"/>
  <c r="B908" i="2" l="1"/>
  <c r="H908" i="2" s="1"/>
  <c r="G907" i="2"/>
  <c r="F907" i="2"/>
  <c r="AE907" i="2"/>
  <c r="AC907" i="2"/>
  <c r="U907" i="2"/>
  <c r="AD907" i="2" l="1"/>
  <c r="L907" i="2" s="1"/>
  <c r="C908" i="2"/>
  <c r="AF908" i="2"/>
  <c r="J907" i="2"/>
  <c r="W907" i="2"/>
  <c r="X907" i="2" s="1"/>
  <c r="K907" i="2" l="1"/>
  <c r="I907" i="2"/>
  <c r="D908" i="2"/>
  <c r="E908" i="2" s="1"/>
  <c r="T908" i="2" s="1"/>
  <c r="N907" i="2" l="1"/>
  <c r="V908" i="2"/>
  <c r="O907" i="2" l="1"/>
  <c r="R907" i="2" s="1"/>
  <c r="M907" i="2"/>
  <c r="P907" i="2" s="1"/>
  <c r="AG907" i="2" l="1"/>
  <c r="Q907" i="2"/>
  <c r="S907" i="2" s="1"/>
  <c r="Y907" i="2" s="1"/>
  <c r="AA907" i="2" s="1"/>
  <c r="Z907" i="2" l="1"/>
  <c r="AB908" i="2"/>
  <c r="B909" i="2" l="1"/>
  <c r="H909" i="2" s="1"/>
  <c r="G908" i="2"/>
  <c r="F908" i="2"/>
  <c r="AE908" i="2"/>
  <c r="AC908" i="2"/>
  <c r="U908" i="2"/>
  <c r="AD908" i="2" l="1"/>
  <c r="L908" i="2" s="1"/>
  <c r="AF909" i="2"/>
  <c r="C909" i="2"/>
  <c r="J908" i="2"/>
  <c r="W908" i="2"/>
  <c r="X908" i="2" s="1"/>
  <c r="I908" i="2" l="1"/>
  <c r="K908" i="2"/>
  <c r="D909" i="2"/>
  <c r="E909" i="2" s="1"/>
  <c r="T909" i="2" s="1"/>
  <c r="V909" i="2" l="1"/>
  <c r="N908" i="2"/>
  <c r="O908" i="2" l="1"/>
  <c r="R908" i="2" s="1"/>
  <c r="M908" i="2"/>
  <c r="P908" i="2" s="1"/>
  <c r="AG908" i="2" l="1"/>
  <c r="Q908" i="2"/>
  <c r="S908" i="2" s="1"/>
  <c r="Y908" i="2" s="1"/>
  <c r="AA908" i="2" s="1"/>
  <c r="Z908" i="2" l="1"/>
  <c r="AB909" i="2"/>
  <c r="B910" i="2" l="1"/>
  <c r="H910" i="2" s="1"/>
  <c r="G909" i="2"/>
  <c r="F909" i="2"/>
  <c r="AE909" i="2"/>
  <c r="AC909" i="2"/>
  <c r="U909" i="2"/>
  <c r="J909" i="2" l="1"/>
  <c r="W909" i="2"/>
  <c r="X909" i="2" s="1"/>
  <c r="AD909" i="2"/>
  <c r="L909" i="2" s="1"/>
  <c r="AF910" i="2"/>
  <c r="C910" i="2"/>
  <c r="K909" i="2" l="1"/>
  <c r="D910" i="2"/>
  <c r="E910" i="2" s="1"/>
  <c r="T910" i="2" s="1"/>
  <c r="I909" i="2"/>
  <c r="N909" i="2" l="1"/>
  <c r="V910" i="2"/>
  <c r="O909" i="2" l="1"/>
  <c r="R909" i="2" s="1"/>
  <c r="M909" i="2"/>
  <c r="P909" i="2" s="1"/>
  <c r="AG909" i="2" l="1"/>
  <c r="Q909" i="2"/>
  <c r="S909" i="2" s="1"/>
  <c r="Y909" i="2" s="1"/>
  <c r="AA909" i="2" s="1"/>
  <c r="Z909" i="2" l="1"/>
  <c r="AB910" i="2"/>
  <c r="B911" i="2" l="1"/>
  <c r="H911" i="2" s="1"/>
  <c r="G910" i="2"/>
  <c r="F910" i="2"/>
  <c r="AE910" i="2"/>
  <c r="AC910" i="2"/>
  <c r="U910" i="2"/>
  <c r="AD910" i="2" l="1"/>
  <c r="L910" i="2" s="1"/>
  <c r="AF911" i="2"/>
  <c r="C911" i="2"/>
  <c r="J910" i="2"/>
  <c r="W910" i="2"/>
  <c r="X910" i="2" s="1"/>
  <c r="I910" i="2" l="1"/>
  <c r="K910" i="2"/>
  <c r="D911" i="2"/>
  <c r="E911" i="2" s="1"/>
  <c r="T911" i="2" s="1"/>
  <c r="V911" i="2" l="1"/>
  <c r="N910" i="2"/>
  <c r="O910" i="2" l="1"/>
  <c r="R910" i="2" s="1"/>
  <c r="M910" i="2"/>
  <c r="P910" i="2" s="1"/>
  <c r="AG910" i="2" l="1"/>
  <c r="Q910" i="2"/>
  <c r="S910" i="2" s="1"/>
  <c r="Y910" i="2" s="1"/>
  <c r="AA910" i="2" s="1"/>
  <c r="Z910" i="2" l="1"/>
  <c r="AB911" i="2"/>
  <c r="B912" i="2" l="1"/>
  <c r="H912" i="2" s="1"/>
  <c r="G911" i="2"/>
  <c r="F911" i="2"/>
  <c r="AE911" i="2"/>
  <c r="AC911" i="2"/>
  <c r="U911" i="2"/>
  <c r="J911" i="2" l="1"/>
  <c r="W911" i="2"/>
  <c r="X911" i="2" s="1"/>
  <c r="AD911" i="2"/>
  <c r="L911" i="2" s="1"/>
  <c r="AF912" i="2"/>
  <c r="C912" i="2"/>
  <c r="K911" i="2" l="1"/>
  <c r="D912" i="2"/>
  <c r="E912" i="2" s="1"/>
  <c r="T912" i="2" s="1"/>
  <c r="I911" i="2"/>
  <c r="N911" i="2" l="1"/>
  <c r="V912" i="2"/>
  <c r="O911" i="2" l="1"/>
  <c r="R911" i="2" s="1"/>
  <c r="M911" i="2"/>
  <c r="P911" i="2" s="1"/>
  <c r="AG911" i="2" l="1"/>
  <c r="Q911" i="2"/>
  <c r="S911" i="2" s="1"/>
  <c r="Y911" i="2" s="1"/>
  <c r="AA911" i="2" s="1"/>
  <c r="Z911" i="2" l="1"/>
  <c r="AB912" i="2"/>
  <c r="B913" i="2" l="1"/>
  <c r="H913" i="2" s="1"/>
  <c r="G912" i="2"/>
  <c r="F912" i="2"/>
  <c r="AE912" i="2"/>
  <c r="AC912" i="2"/>
  <c r="U912" i="2"/>
  <c r="AF913" i="2" l="1"/>
  <c r="C913" i="2"/>
  <c r="AD912" i="2"/>
  <c r="L912" i="2" s="1"/>
  <c r="J912" i="2"/>
  <c r="W912" i="2"/>
  <c r="X912" i="2" s="1"/>
  <c r="K912" i="2" l="1"/>
  <c r="I912" i="2"/>
  <c r="D913" i="2"/>
  <c r="E913" i="2" s="1"/>
  <c r="T913" i="2" s="1"/>
  <c r="N912" i="2" l="1"/>
  <c r="V913" i="2"/>
  <c r="O912" i="2" l="1"/>
  <c r="R912" i="2" s="1"/>
  <c r="M912" i="2"/>
  <c r="P912" i="2" s="1"/>
  <c r="AG912" i="2" l="1"/>
  <c r="Q912" i="2"/>
  <c r="S912" i="2" s="1"/>
  <c r="Y912" i="2" s="1"/>
  <c r="AA912" i="2" s="1"/>
  <c r="Z912" i="2" l="1"/>
  <c r="AB913" i="2"/>
  <c r="B914" i="2" l="1"/>
  <c r="H914" i="2" s="1"/>
  <c r="G913" i="2"/>
  <c r="F913" i="2"/>
  <c r="AE913" i="2"/>
  <c r="AC913" i="2"/>
  <c r="U913" i="2"/>
  <c r="C914" i="2" l="1"/>
  <c r="AF914" i="2"/>
  <c r="J913" i="2"/>
  <c r="W913" i="2"/>
  <c r="X913" i="2" s="1"/>
  <c r="AD913" i="2"/>
  <c r="L913" i="2" s="1"/>
  <c r="K913" i="2" l="1"/>
  <c r="D914" i="2"/>
  <c r="E914" i="2" s="1"/>
  <c r="T914" i="2" s="1"/>
  <c r="I913" i="2"/>
  <c r="N913" i="2" l="1"/>
  <c r="V914" i="2"/>
  <c r="O913" i="2" l="1"/>
  <c r="R913" i="2" s="1"/>
  <c r="M913" i="2"/>
  <c r="P913" i="2" s="1"/>
  <c r="AG913" i="2" l="1"/>
  <c r="Q913" i="2"/>
  <c r="S913" i="2" s="1"/>
  <c r="Y913" i="2" s="1"/>
  <c r="AA913" i="2" s="1"/>
  <c r="Z913" i="2" l="1"/>
  <c r="AB914" i="2"/>
  <c r="B915" i="2" l="1"/>
  <c r="H915" i="2" s="1"/>
  <c r="G914" i="2"/>
  <c r="F914" i="2"/>
  <c r="AC914" i="2"/>
  <c r="AE914" i="2"/>
  <c r="U914" i="2"/>
  <c r="AF915" i="2" l="1"/>
  <c r="C915" i="2"/>
  <c r="AD914" i="2"/>
  <c r="L914" i="2" s="1"/>
  <c r="J914" i="2"/>
  <c r="W914" i="2"/>
  <c r="X914" i="2" s="1"/>
  <c r="K914" i="2" l="1"/>
  <c r="I914" i="2"/>
  <c r="D915" i="2"/>
  <c r="E915" i="2" s="1"/>
  <c r="T915" i="2" s="1"/>
  <c r="N914" i="2" l="1"/>
  <c r="V915" i="2"/>
  <c r="O914" i="2" l="1"/>
  <c r="R914" i="2" s="1"/>
  <c r="M914" i="2"/>
  <c r="P914" i="2" s="1"/>
  <c r="AG914" i="2" l="1"/>
  <c r="Q914" i="2"/>
  <c r="S914" i="2" s="1"/>
  <c r="Y914" i="2" s="1"/>
  <c r="AA914" i="2" s="1"/>
  <c r="Z914" i="2" l="1"/>
  <c r="AB915" i="2"/>
  <c r="B916" i="2" l="1"/>
  <c r="H916" i="2" s="1"/>
  <c r="G915" i="2"/>
  <c r="F915" i="2"/>
  <c r="AE915" i="2"/>
  <c r="AC915" i="2"/>
  <c r="U915" i="2"/>
  <c r="AD915" i="2" l="1"/>
  <c r="L915" i="2" s="1"/>
  <c r="AF916" i="2"/>
  <c r="C916" i="2"/>
  <c r="J915" i="2"/>
  <c r="W915" i="2"/>
  <c r="X915" i="2" s="1"/>
  <c r="K915" i="2" l="1"/>
  <c r="I915" i="2"/>
  <c r="D916" i="2"/>
  <c r="E916" i="2" s="1"/>
  <c r="T916" i="2" s="1"/>
  <c r="N915" i="2" l="1"/>
  <c r="V916" i="2"/>
  <c r="O915" i="2" l="1"/>
  <c r="R915" i="2" s="1"/>
  <c r="M915" i="2"/>
  <c r="P915" i="2" s="1"/>
  <c r="AG915" i="2" l="1"/>
  <c r="Q915" i="2"/>
  <c r="S915" i="2" s="1"/>
  <c r="Y915" i="2" s="1"/>
  <c r="AA915" i="2" s="1"/>
  <c r="Z915" i="2" l="1"/>
  <c r="AB916" i="2"/>
  <c r="B917" i="2" l="1"/>
  <c r="H917" i="2" s="1"/>
  <c r="G916" i="2"/>
  <c r="F916" i="2"/>
  <c r="AE916" i="2"/>
  <c r="AC916" i="2"/>
  <c r="U916" i="2"/>
  <c r="AD916" i="2" l="1"/>
  <c r="L916" i="2" s="1"/>
  <c r="AF917" i="2"/>
  <c r="C917" i="2"/>
  <c r="J916" i="2"/>
  <c r="W916" i="2"/>
  <c r="X916" i="2" s="1"/>
  <c r="I916" i="2" l="1"/>
  <c r="K916" i="2"/>
  <c r="D917" i="2"/>
  <c r="E917" i="2" s="1"/>
  <c r="T917" i="2" s="1"/>
  <c r="V917" i="2" l="1"/>
  <c r="N916" i="2"/>
  <c r="O916" i="2" l="1"/>
  <c r="R916" i="2" s="1"/>
  <c r="M916" i="2"/>
  <c r="P916" i="2" s="1"/>
  <c r="AG916" i="2" l="1"/>
  <c r="Q916" i="2"/>
  <c r="S916" i="2" s="1"/>
  <c r="Y916" i="2" s="1"/>
  <c r="AA916" i="2" s="1"/>
  <c r="Z916" i="2" l="1"/>
  <c r="AB917" i="2"/>
  <c r="B918" i="2" l="1"/>
  <c r="H918" i="2" s="1"/>
  <c r="G917" i="2"/>
  <c r="F917" i="2"/>
  <c r="AC917" i="2"/>
  <c r="AE917" i="2"/>
  <c r="U917" i="2"/>
  <c r="J917" i="2" l="1"/>
  <c r="W917" i="2"/>
  <c r="X917" i="2" s="1"/>
  <c r="AD917" i="2"/>
  <c r="L917" i="2" s="1"/>
  <c r="AF918" i="2"/>
  <c r="C918" i="2"/>
  <c r="D918" i="2" l="1"/>
  <c r="E918" i="2" s="1"/>
  <c r="T918" i="2" s="1"/>
  <c r="K917" i="2"/>
  <c r="I917" i="2"/>
  <c r="N917" i="2" l="1"/>
  <c r="M917" i="2" s="1"/>
  <c r="P917" i="2" s="1"/>
  <c r="V918" i="2"/>
  <c r="AG917" i="2" l="1"/>
  <c r="O917" i="2"/>
  <c r="R917" i="2" s="1"/>
  <c r="Q917" i="2" l="1"/>
  <c r="S917" i="2" s="1"/>
  <c r="Y917" i="2" s="1"/>
  <c r="AA917" i="2" s="1"/>
  <c r="Z917" i="2" l="1"/>
  <c r="AB918" i="2"/>
  <c r="B919" i="2" l="1"/>
  <c r="H919" i="2" s="1"/>
  <c r="G918" i="2"/>
  <c r="F918" i="2"/>
  <c r="AE918" i="2"/>
  <c r="AC918" i="2"/>
  <c r="U918" i="2"/>
  <c r="J918" i="2" l="1"/>
  <c r="W918" i="2"/>
  <c r="X918" i="2" s="1"/>
  <c r="AD918" i="2"/>
  <c r="L918" i="2" s="1"/>
  <c r="AF919" i="2"/>
  <c r="C919" i="2"/>
  <c r="D919" i="2" l="1"/>
  <c r="E919" i="2" s="1"/>
  <c r="T919" i="2" s="1"/>
  <c r="K918" i="2"/>
  <c r="I918" i="2"/>
  <c r="N918" i="2" l="1"/>
  <c r="M918" i="2" s="1"/>
  <c r="P918" i="2" s="1"/>
  <c r="V919" i="2"/>
  <c r="AG918" i="2" l="1"/>
  <c r="O918" i="2"/>
  <c r="Q918" i="2" s="1"/>
  <c r="R918" i="2" l="1"/>
  <c r="S918" i="2" s="1"/>
  <c r="Y918" i="2" s="1"/>
  <c r="AA918" i="2" s="1"/>
  <c r="Z918" i="2" l="1"/>
  <c r="AB919" i="2"/>
  <c r="B920" i="2" l="1"/>
  <c r="H920" i="2" s="1"/>
  <c r="G919" i="2"/>
  <c r="F919" i="2"/>
  <c r="AE919" i="2"/>
  <c r="AC919" i="2"/>
  <c r="U919" i="2"/>
  <c r="J919" i="2" l="1"/>
  <c r="W919" i="2"/>
  <c r="X919" i="2" s="1"/>
  <c r="AD919" i="2"/>
  <c r="L919" i="2" s="1"/>
  <c r="AF920" i="2"/>
  <c r="C920" i="2"/>
  <c r="I919" i="2" l="1"/>
  <c r="D920" i="2"/>
  <c r="E920" i="2" s="1"/>
  <c r="T920" i="2" s="1"/>
  <c r="K919" i="2"/>
  <c r="V920" i="2" l="1"/>
  <c r="N919" i="2"/>
  <c r="O919" i="2" l="1"/>
  <c r="R919" i="2" s="1"/>
  <c r="M919" i="2"/>
  <c r="P919" i="2" s="1"/>
  <c r="AG919" i="2" l="1"/>
  <c r="Q919" i="2"/>
  <c r="S919" i="2" s="1"/>
  <c r="Y919" i="2" s="1"/>
  <c r="AA919" i="2" s="1"/>
  <c r="Z919" i="2" l="1"/>
  <c r="AB920" i="2"/>
  <c r="B921" i="2" l="1"/>
  <c r="H921" i="2" s="1"/>
  <c r="G920" i="2"/>
  <c r="F920" i="2"/>
  <c r="AE920" i="2"/>
  <c r="AC920" i="2"/>
  <c r="U920" i="2"/>
  <c r="AD920" i="2" l="1"/>
  <c r="L920" i="2" s="1"/>
  <c r="J920" i="2"/>
  <c r="W920" i="2"/>
  <c r="X920" i="2" s="1"/>
  <c r="C921" i="2"/>
  <c r="AF921" i="2"/>
  <c r="I920" i="2" l="1"/>
  <c r="D921" i="2"/>
  <c r="E921" i="2" s="1"/>
  <c r="T921" i="2" s="1"/>
  <c r="K920" i="2"/>
  <c r="V921" i="2" l="1"/>
  <c r="N920" i="2"/>
  <c r="O920" i="2" l="1"/>
  <c r="R920" i="2" s="1"/>
  <c r="M920" i="2"/>
  <c r="P920" i="2" s="1"/>
  <c r="AG920" i="2" l="1"/>
  <c r="Q920" i="2"/>
  <c r="S920" i="2" s="1"/>
  <c r="Y920" i="2" s="1"/>
  <c r="AA920" i="2" s="1"/>
  <c r="Z920" i="2" l="1"/>
  <c r="AB921" i="2"/>
  <c r="B922" i="2" l="1"/>
  <c r="H922" i="2" s="1"/>
  <c r="G921" i="2"/>
  <c r="F921" i="2"/>
  <c r="AC921" i="2"/>
  <c r="AE921" i="2"/>
  <c r="U921" i="2"/>
  <c r="J921" i="2" l="1"/>
  <c r="W921" i="2"/>
  <c r="X921" i="2" s="1"/>
  <c r="AF922" i="2"/>
  <c r="C922" i="2"/>
  <c r="AD921" i="2"/>
  <c r="L921" i="2" s="1"/>
  <c r="I921" i="2" l="1"/>
  <c r="D922" i="2"/>
  <c r="E922" i="2" s="1"/>
  <c r="T922" i="2" s="1"/>
  <c r="K921" i="2"/>
  <c r="V922" i="2" l="1"/>
  <c r="N921" i="2"/>
  <c r="O921" i="2" l="1"/>
  <c r="R921" i="2" s="1"/>
  <c r="M921" i="2"/>
  <c r="P921" i="2" s="1"/>
  <c r="AG921" i="2" l="1"/>
  <c r="Q921" i="2"/>
  <c r="S921" i="2" s="1"/>
  <c r="Y921" i="2" s="1"/>
  <c r="AA921" i="2" s="1"/>
  <c r="Z921" i="2" l="1"/>
  <c r="AB922" i="2"/>
  <c r="B923" i="2" l="1"/>
  <c r="H923" i="2" s="1"/>
  <c r="G922" i="2"/>
  <c r="F922" i="2"/>
  <c r="AE922" i="2"/>
  <c r="AC922" i="2"/>
  <c r="U922" i="2"/>
  <c r="J922" i="2" l="1"/>
  <c r="W922" i="2"/>
  <c r="X922" i="2" s="1"/>
  <c r="AD922" i="2"/>
  <c r="L922" i="2" s="1"/>
  <c r="AF923" i="2"/>
  <c r="C923" i="2"/>
  <c r="K922" i="2" l="1"/>
  <c r="D923" i="2"/>
  <c r="E923" i="2" s="1"/>
  <c r="T923" i="2" s="1"/>
  <c r="I922" i="2"/>
  <c r="N922" i="2" l="1"/>
  <c r="M922" i="2" s="1"/>
  <c r="P922" i="2" s="1"/>
  <c r="V923" i="2"/>
  <c r="AG922" i="2" l="1"/>
  <c r="O922" i="2"/>
  <c r="R922" i="2" s="1"/>
  <c r="Q922" i="2" l="1"/>
  <c r="S922" i="2" s="1"/>
  <c r="Y922" i="2" s="1"/>
  <c r="AA922" i="2" s="1"/>
  <c r="Z922" i="2" l="1"/>
  <c r="AB923" i="2"/>
  <c r="B924" i="2" l="1"/>
  <c r="H924" i="2" s="1"/>
  <c r="G923" i="2"/>
  <c r="F923" i="2"/>
  <c r="AC923" i="2"/>
  <c r="AE923" i="2"/>
  <c r="U923" i="2"/>
  <c r="AF924" i="2" l="1"/>
  <c r="C924" i="2"/>
  <c r="AD923" i="2"/>
  <c r="L923" i="2" s="1"/>
  <c r="J923" i="2"/>
  <c r="W923" i="2"/>
  <c r="X923" i="2" s="1"/>
  <c r="I923" i="2" l="1"/>
  <c r="K923" i="2"/>
  <c r="D924" i="2"/>
  <c r="E924" i="2" s="1"/>
  <c r="T924" i="2" s="1"/>
  <c r="V924" i="2" l="1"/>
  <c r="N923" i="2"/>
  <c r="O923" i="2" l="1"/>
  <c r="R923" i="2" s="1"/>
  <c r="M923" i="2"/>
  <c r="P923" i="2" s="1"/>
  <c r="AG923" i="2" l="1"/>
  <c r="Q923" i="2"/>
  <c r="S923" i="2" s="1"/>
  <c r="Y923" i="2" s="1"/>
  <c r="AA923" i="2" s="1"/>
  <c r="Z923" i="2" l="1"/>
  <c r="AB924" i="2"/>
  <c r="B925" i="2" l="1"/>
  <c r="H925" i="2" s="1"/>
  <c r="G924" i="2"/>
  <c r="F924" i="2"/>
  <c r="AC924" i="2"/>
  <c r="AE924" i="2"/>
  <c r="U924" i="2"/>
  <c r="AD924" i="2" l="1"/>
  <c r="L924" i="2" s="1"/>
  <c r="AF925" i="2"/>
  <c r="C925" i="2"/>
  <c r="J924" i="2"/>
  <c r="W924" i="2"/>
  <c r="X924" i="2" s="1"/>
  <c r="I924" i="2" l="1"/>
  <c r="K924" i="2"/>
  <c r="D925" i="2"/>
  <c r="E925" i="2" s="1"/>
  <c r="T925" i="2" s="1"/>
  <c r="V925" i="2" l="1"/>
  <c r="N924" i="2"/>
  <c r="O924" i="2" l="1"/>
  <c r="Q924" i="2" s="1"/>
  <c r="M924" i="2"/>
  <c r="P924" i="2" s="1"/>
  <c r="AG924" i="2" l="1"/>
  <c r="R924" i="2"/>
  <c r="S924" i="2" s="1"/>
  <c r="Y924" i="2" l="1"/>
  <c r="AA924" i="2" s="1"/>
  <c r="AB925" i="2" s="1"/>
  <c r="Z924" i="2"/>
  <c r="B926" i="2" l="1"/>
  <c r="H926" i="2" s="1"/>
  <c r="G925" i="2"/>
  <c r="F925" i="2"/>
  <c r="AE925" i="2"/>
  <c r="AC925" i="2"/>
  <c r="U925" i="2"/>
  <c r="J925" i="2" l="1"/>
  <c r="W925" i="2"/>
  <c r="X925" i="2" s="1"/>
  <c r="AF926" i="2"/>
  <c r="C926" i="2"/>
  <c r="AD925" i="2"/>
  <c r="L925" i="2" s="1"/>
  <c r="K925" i="2" l="1"/>
  <c r="D926" i="2"/>
  <c r="E926" i="2" s="1"/>
  <c r="T926" i="2" s="1"/>
  <c r="I925" i="2"/>
  <c r="N925" i="2" l="1"/>
  <c r="V926" i="2"/>
  <c r="O925" i="2" l="1"/>
  <c r="R925" i="2" s="1"/>
  <c r="M925" i="2"/>
  <c r="P925" i="2" s="1"/>
  <c r="AG925" i="2" l="1"/>
  <c r="Q925" i="2"/>
  <c r="S925" i="2" s="1"/>
  <c r="Y925" i="2" s="1"/>
  <c r="AA925" i="2" s="1"/>
  <c r="Z925" i="2" l="1"/>
  <c r="AB926" i="2"/>
  <c r="B927" i="2" l="1"/>
  <c r="H927" i="2" s="1"/>
  <c r="G926" i="2"/>
  <c r="F926" i="2"/>
  <c r="AE926" i="2"/>
  <c r="AC926" i="2"/>
  <c r="U926" i="2"/>
  <c r="AF927" i="2" l="1"/>
  <c r="C927" i="2"/>
  <c r="J926" i="2"/>
  <c r="W926" i="2"/>
  <c r="X926" i="2" s="1"/>
  <c r="AD926" i="2"/>
  <c r="L926" i="2" s="1"/>
  <c r="I926" i="2" l="1"/>
  <c r="D927" i="2"/>
  <c r="E927" i="2" s="1"/>
  <c r="T927" i="2" s="1"/>
  <c r="K926" i="2"/>
  <c r="V927" i="2" l="1"/>
  <c r="N926" i="2"/>
  <c r="O926" i="2" l="1"/>
  <c r="Q926" i="2" s="1"/>
  <c r="M926" i="2"/>
  <c r="P926" i="2" s="1"/>
  <c r="AG926" i="2" l="1"/>
  <c r="R926" i="2"/>
  <c r="S926" i="2" s="1"/>
  <c r="Y926" i="2" s="1"/>
  <c r="AA926" i="2" s="1"/>
  <c r="Z926" i="2" l="1"/>
  <c r="AB927" i="2"/>
  <c r="B928" i="2" l="1"/>
  <c r="H928" i="2" s="1"/>
  <c r="G927" i="2"/>
  <c r="F927" i="2"/>
  <c r="AC927" i="2"/>
  <c r="AE927" i="2"/>
  <c r="U927" i="2"/>
  <c r="J927" i="2" l="1"/>
  <c r="W927" i="2"/>
  <c r="X927" i="2" s="1"/>
  <c r="AD927" i="2"/>
  <c r="L927" i="2" s="1"/>
  <c r="AF928" i="2"/>
  <c r="C928" i="2"/>
  <c r="D928" i="2" l="1"/>
  <c r="E928" i="2" s="1"/>
  <c r="T928" i="2" s="1"/>
  <c r="K927" i="2"/>
  <c r="I927" i="2"/>
  <c r="N927" i="2" l="1"/>
  <c r="M927" i="2" s="1"/>
  <c r="P927" i="2" s="1"/>
  <c r="V928" i="2"/>
  <c r="AG927" i="2" l="1"/>
  <c r="O927" i="2"/>
  <c r="Q927" i="2" s="1"/>
  <c r="R927" i="2" l="1"/>
  <c r="S927" i="2" s="1"/>
  <c r="Y927" i="2" s="1"/>
  <c r="AA927" i="2" s="1"/>
  <c r="Z927" i="2" l="1"/>
  <c r="AB928" i="2"/>
  <c r="B929" i="2" l="1"/>
  <c r="H929" i="2" s="1"/>
  <c r="G928" i="2"/>
  <c r="F928" i="2"/>
  <c r="AE928" i="2"/>
  <c r="AC928" i="2"/>
  <c r="U928" i="2"/>
  <c r="J928" i="2" l="1"/>
  <c r="W928" i="2"/>
  <c r="X928" i="2" s="1"/>
  <c r="AD928" i="2"/>
  <c r="L928" i="2" s="1"/>
  <c r="AF929" i="2"/>
  <c r="C929" i="2"/>
  <c r="I928" i="2" l="1"/>
  <c r="D929" i="2"/>
  <c r="E929" i="2" s="1"/>
  <c r="T929" i="2" s="1"/>
  <c r="K928" i="2"/>
  <c r="V929" i="2" l="1"/>
  <c r="N928" i="2"/>
  <c r="O928" i="2" l="1"/>
  <c r="Q928" i="2" s="1"/>
  <c r="M928" i="2"/>
  <c r="P928" i="2" s="1"/>
  <c r="AG928" i="2" l="1"/>
  <c r="R928" i="2"/>
  <c r="S928" i="2" s="1"/>
  <c r="Y928" i="2" l="1"/>
  <c r="AA928" i="2" s="1"/>
  <c r="Z928" i="2"/>
  <c r="AB929" i="2" l="1"/>
  <c r="B930" i="2" l="1"/>
  <c r="H930" i="2" s="1"/>
  <c r="G929" i="2"/>
  <c r="U929" i="2"/>
  <c r="AC929" i="2"/>
  <c r="AE929" i="2"/>
  <c r="AD929" i="2" s="1"/>
  <c r="L929" i="2" s="1"/>
  <c r="F929" i="2"/>
  <c r="W929" i="2" l="1"/>
  <c r="X929" i="2" s="1"/>
  <c r="AF930" i="2"/>
  <c r="J929" i="2"/>
  <c r="C930" i="2"/>
  <c r="D930" i="2" s="1"/>
  <c r="E930" i="2" s="1"/>
  <c r="T930" i="2" s="1"/>
  <c r="I929" i="2" l="1"/>
  <c r="K929" i="2"/>
  <c r="V930" i="2"/>
  <c r="N929" i="2" l="1"/>
  <c r="O929" i="2" s="1"/>
  <c r="Q929" i="2" s="1"/>
  <c r="M929" i="2"/>
  <c r="P929" i="2" s="1"/>
  <c r="AG929" i="2" l="1"/>
  <c r="R929" i="2"/>
  <c r="S929" i="2" s="1"/>
  <c r="Z929" i="2" l="1"/>
  <c r="Y929" i="2"/>
  <c r="AA929" i="2" s="1"/>
  <c r="AB930" i="2" s="1"/>
  <c r="B931" i="2" l="1"/>
  <c r="H931" i="2" s="1"/>
  <c r="G930" i="2"/>
  <c r="F930" i="2"/>
  <c r="AE930" i="2"/>
  <c r="AC930" i="2"/>
  <c r="U930" i="2"/>
  <c r="J930" i="2" l="1"/>
  <c r="W930" i="2"/>
  <c r="X930" i="2" s="1"/>
  <c r="AD930" i="2"/>
  <c r="L930" i="2" s="1"/>
  <c r="AF931" i="2"/>
  <c r="C931" i="2"/>
  <c r="D931" i="2" l="1"/>
  <c r="E931" i="2" s="1"/>
  <c r="T931" i="2" s="1"/>
  <c r="K930" i="2"/>
  <c r="I930" i="2"/>
  <c r="N930" i="2" l="1"/>
  <c r="M930" i="2" s="1"/>
  <c r="P930" i="2" s="1"/>
  <c r="V931" i="2"/>
  <c r="AG930" i="2" l="1"/>
  <c r="O930" i="2"/>
  <c r="Q930" i="2" s="1"/>
  <c r="R930" i="2" l="1"/>
  <c r="S930" i="2" s="1"/>
  <c r="Y930" i="2" l="1"/>
  <c r="AA930" i="2" s="1"/>
  <c r="AB931" i="2" s="1"/>
  <c r="Z930" i="2"/>
  <c r="B932" i="2" l="1"/>
  <c r="H932" i="2" s="1"/>
  <c r="G931" i="2"/>
  <c r="F931" i="2"/>
  <c r="AE931" i="2"/>
  <c r="AC931" i="2"/>
  <c r="U931" i="2"/>
  <c r="AF932" i="2" l="1"/>
  <c r="C932" i="2"/>
  <c r="AD931" i="2"/>
  <c r="L931" i="2" s="1"/>
  <c r="J931" i="2"/>
  <c r="W931" i="2"/>
  <c r="X931" i="2" s="1"/>
  <c r="I931" i="2" l="1"/>
  <c r="D932" i="2"/>
  <c r="E932" i="2" s="1"/>
  <c r="T932" i="2" s="1"/>
  <c r="K931" i="2"/>
  <c r="V932" i="2" l="1"/>
  <c r="N931" i="2"/>
  <c r="O931" i="2" l="1"/>
  <c r="R931" i="2" s="1"/>
  <c r="M931" i="2"/>
  <c r="P931" i="2" s="1"/>
  <c r="AG931" i="2" l="1"/>
  <c r="Q931" i="2"/>
  <c r="S931" i="2" s="1"/>
  <c r="Y931" i="2" s="1"/>
  <c r="AA931" i="2" s="1"/>
  <c r="Z931" i="2" l="1"/>
  <c r="AB932" i="2"/>
  <c r="B933" i="2" l="1"/>
  <c r="H933" i="2" s="1"/>
  <c r="G932" i="2"/>
  <c r="F932" i="2"/>
  <c r="AE932" i="2"/>
  <c r="AC932" i="2"/>
  <c r="U932" i="2"/>
  <c r="AF933" i="2" l="1"/>
  <c r="C933" i="2"/>
  <c r="AD932" i="2"/>
  <c r="L932" i="2" s="1"/>
  <c r="J932" i="2"/>
  <c r="W932" i="2"/>
  <c r="X932" i="2" s="1"/>
  <c r="K932" i="2" l="1"/>
  <c r="I932" i="2"/>
  <c r="D933" i="2"/>
  <c r="E933" i="2" s="1"/>
  <c r="T933" i="2" s="1"/>
  <c r="N932" i="2" l="1"/>
  <c r="V933" i="2"/>
  <c r="O932" i="2" l="1"/>
  <c r="R932" i="2" s="1"/>
  <c r="M932" i="2"/>
  <c r="P932" i="2" s="1"/>
  <c r="AG932" i="2" l="1"/>
  <c r="Q932" i="2"/>
  <c r="S932" i="2" s="1"/>
  <c r="Y932" i="2" s="1"/>
  <c r="AA932" i="2" s="1"/>
  <c r="Z932" i="2" l="1"/>
  <c r="AB933" i="2"/>
  <c r="B934" i="2" l="1"/>
  <c r="H934" i="2" s="1"/>
  <c r="G933" i="2"/>
  <c r="F933" i="2"/>
  <c r="AE933" i="2"/>
  <c r="AC933" i="2"/>
  <c r="U933" i="2"/>
  <c r="AD933" i="2" l="1"/>
  <c r="L933" i="2" s="1"/>
  <c r="AF934" i="2"/>
  <c r="C934" i="2"/>
  <c r="J933" i="2"/>
  <c r="W933" i="2"/>
  <c r="X933" i="2" s="1"/>
  <c r="K933" i="2" l="1"/>
  <c r="I933" i="2"/>
  <c r="D934" i="2"/>
  <c r="E934" i="2" s="1"/>
  <c r="T934" i="2" s="1"/>
  <c r="N933" i="2" l="1"/>
  <c r="V934" i="2"/>
  <c r="O933" i="2" l="1"/>
  <c r="R933" i="2" s="1"/>
  <c r="M933" i="2"/>
  <c r="P933" i="2" s="1"/>
  <c r="AG933" i="2" l="1"/>
  <c r="Q933" i="2"/>
  <c r="S933" i="2" s="1"/>
  <c r="Z933" i="2" s="1"/>
  <c r="Y933" i="2" l="1"/>
  <c r="AA933" i="2" s="1"/>
  <c r="AB934" i="2" s="1"/>
  <c r="B935" i="2" l="1"/>
  <c r="H935" i="2" s="1"/>
  <c r="G934" i="2"/>
  <c r="F934" i="2"/>
  <c r="AE934" i="2"/>
  <c r="AC934" i="2"/>
  <c r="U934" i="2"/>
  <c r="AD934" i="2" l="1"/>
  <c r="L934" i="2" s="1"/>
  <c r="AF935" i="2"/>
  <c r="C935" i="2"/>
  <c r="J934" i="2"/>
  <c r="W934" i="2"/>
  <c r="X934" i="2" s="1"/>
  <c r="I934" i="2" l="1"/>
  <c r="K934" i="2"/>
  <c r="D935" i="2"/>
  <c r="E935" i="2" s="1"/>
  <c r="T935" i="2" s="1"/>
  <c r="V935" i="2" l="1"/>
  <c r="N934" i="2"/>
  <c r="O934" i="2" l="1"/>
  <c r="Q934" i="2" s="1"/>
  <c r="M934" i="2"/>
  <c r="P934" i="2" s="1"/>
  <c r="AG934" i="2" l="1"/>
  <c r="R934" i="2"/>
  <c r="S934" i="2" s="1"/>
  <c r="Y934" i="2" s="1"/>
  <c r="AA934" i="2" s="1"/>
  <c r="Z934" i="2" l="1"/>
  <c r="AB935" i="2"/>
  <c r="B936" i="2" l="1"/>
  <c r="H936" i="2" s="1"/>
  <c r="G935" i="2"/>
  <c r="F935" i="2"/>
  <c r="AE935" i="2"/>
  <c r="AC935" i="2"/>
  <c r="U935" i="2"/>
  <c r="AD935" i="2" l="1"/>
  <c r="L935" i="2" s="1"/>
  <c r="AF936" i="2"/>
  <c r="C936" i="2"/>
  <c r="J935" i="2"/>
  <c r="W935" i="2"/>
  <c r="X935" i="2" s="1"/>
  <c r="K935" i="2" l="1"/>
  <c r="I935" i="2"/>
  <c r="D936" i="2"/>
  <c r="E936" i="2" s="1"/>
  <c r="T936" i="2" s="1"/>
  <c r="N935" i="2" l="1"/>
  <c r="V936" i="2"/>
  <c r="O935" i="2" l="1"/>
  <c r="Q935" i="2" s="1"/>
  <c r="M935" i="2"/>
  <c r="P935" i="2" s="1"/>
  <c r="AG935" i="2" l="1"/>
  <c r="R935" i="2"/>
  <c r="S935" i="2" s="1"/>
  <c r="Y935" i="2" l="1"/>
  <c r="AA935" i="2" s="1"/>
  <c r="AB936" i="2" s="1"/>
  <c r="Z935" i="2"/>
  <c r="B937" i="2" l="1"/>
  <c r="H937" i="2" s="1"/>
  <c r="G936" i="2"/>
  <c r="F936" i="2"/>
  <c r="AC936" i="2"/>
  <c r="AE936" i="2"/>
  <c r="U936" i="2"/>
  <c r="AD936" i="2" l="1"/>
  <c r="L936" i="2" s="1"/>
  <c r="AF937" i="2"/>
  <c r="C937" i="2"/>
  <c r="J936" i="2"/>
  <c r="W936" i="2"/>
  <c r="X936" i="2" s="1"/>
  <c r="I936" i="2" l="1"/>
  <c r="K936" i="2"/>
  <c r="D937" i="2"/>
  <c r="E937" i="2" s="1"/>
  <c r="T937" i="2" s="1"/>
  <c r="V937" i="2" l="1"/>
  <c r="N936" i="2"/>
  <c r="O936" i="2" l="1"/>
  <c r="R936" i="2" s="1"/>
  <c r="M936" i="2"/>
  <c r="P936" i="2" s="1"/>
  <c r="AG936" i="2" l="1"/>
  <c r="Q936" i="2"/>
  <c r="S936" i="2" s="1"/>
  <c r="Y936" i="2" s="1"/>
  <c r="AA936" i="2" s="1"/>
  <c r="Z936" i="2" l="1"/>
  <c r="AB937" i="2"/>
  <c r="B938" i="2" l="1"/>
  <c r="H938" i="2" s="1"/>
  <c r="G937" i="2"/>
  <c r="F937" i="2"/>
  <c r="AC937" i="2"/>
  <c r="AE937" i="2"/>
  <c r="U937" i="2"/>
  <c r="AF938" i="2" l="1"/>
  <c r="C938" i="2"/>
  <c r="AD937" i="2"/>
  <c r="L937" i="2" s="1"/>
  <c r="J937" i="2"/>
  <c r="W937" i="2"/>
  <c r="X937" i="2" s="1"/>
  <c r="K937" i="2" l="1"/>
  <c r="I937" i="2"/>
  <c r="D938" i="2"/>
  <c r="E938" i="2" s="1"/>
  <c r="T938" i="2" s="1"/>
  <c r="N937" i="2" l="1"/>
  <c r="M937" i="2" s="1"/>
  <c r="P937" i="2" s="1"/>
  <c r="V938" i="2"/>
  <c r="AG937" i="2" l="1"/>
  <c r="O937" i="2"/>
  <c r="R937" i="2" s="1"/>
  <c r="Q937" i="2" l="1"/>
  <c r="S937" i="2" s="1"/>
  <c r="Y937" i="2" s="1"/>
  <c r="AA937" i="2" s="1"/>
  <c r="Z937" i="2" l="1"/>
  <c r="AB938" i="2"/>
  <c r="B939" i="2" l="1"/>
  <c r="H939" i="2" s="1"/>
  <c r="G938" i="2"/>
  <c r="F938" i="2"/>
  <c r="AE938" i="2"/>
  <c r="AC938" i="2"/>
  <c r="U938" i="2"/>
  <c r="AD938" i="2" l="1"/>
  <c r="L938" i="2" s="1"/>
  <c r="AF939" i="2"/>
  <c r="C939" i="2"/>
  <c r="J938" i="2"/>
  <c r="W938" i="2"/>
  <c r="X938" i="2" s="1"/>
  <c r="K938" i="2" l="1"/>
  <c r="I938" i="2"/>
  <c r="D939" i="2"/>
  <c r="E939" i="2" s="1"/>
  <c r="T939" i="2" s="1"/>
  <c r="N938" i="2" l="1"/>
  <c r="V939" i="2"/>
  <c r="O938" i="2" l="1"/>
  <c r="Q938" i="2" s="1"/>
  <c r="M938" i="2"/>
  <c r="P938" i="2" s="1"/>
  <c r="AG938" i="2" l="1"/>
  <c r="R938" i="2"/>
  <c r="S938" i="2" s="1"/>
  <c r="Y938" i="2" s="1"/>
  <c r="AA938" i="2" s="1"/>
  <c r="Z938" i="2" l="1"/>
  <c r="AB939" i="2"/>
  <c r="B940" i="2" l="1"/>
  <c r="H940" i="2" s="1"/>
  <c r="G939" i="2"/>
  <c r="F939" i="2"/>
  <c r="AE939" i="2"/>
  <c r="AC939" i="2"/>
  <c r="U939" i="2"/>
  <c r="C940" i="2" l="1"/>
  <c r="AF940" i="2"/>
  <c r="AD939" i="2"/>
  <c r="L939" i="2" s="1"/>
  <c r="J939" i="2"/>
  <c r="W939" i="2"/>
  <c r="X939" i="2" s="1"/>
  <c r="K939" i="2" l="1"/>
  <c r="I939" i="2"/>
  <c r="D940" i="2"/>
  <c r="E940" i="2" s="1"/>
  <c r="T940" i="2" s="1"/>
  <c r="N939" i="2" l="1"/>
  <c r="V940" i="2"/>
  <c r="O939" i="2" l="1"/>
  <c r="Q939" i="2" s="1"/>
  <c r="M939" i="2"/>
  <c r="P939" i="2" s="1"/>
  <c r="AG939" i="2" l="1"/>
  <c r="R939" i="2"/>
  <c r="S939" i="2" s="1"/>
  <c r="Y939" i="2" s="1"/>
  <c r="AA939" i="2" s="1"/>
  <c r="Z939" i="2" l="1"/>
  <c r="AB940" i="2"/>
  <c r="B941" i="2" l="1"/>
  <c r="H941" i="2" s="1"/>
  <c r="G940" i="2"/>
  <c r="F940" i="2"/>
  <c r="AC940" i="2"/>
  <c r="AE940" i="2"/>
  <c r="U940" i="2"/>
  <c r="AD940" i="2" l="1"/>
  <c r="L940" i="2" s="1"/>
  <c r="AF941" i="2"/>
  <c r="C941" i="2"/>
  <c r="J940" i="2"/>
  <c r="W940" i="2"/>
  <c r="X940" i="2" s="1"/>
  <c r="K940" i="2" l="1"/>
  <c r="I940" i="2"/>
  <c r="D941" i="2"/>
  <c r="E941" i="2" s="1"/>
  <c r="T941" i="2" s="1"/>
  <c r="N940" i="2" l="1"/>
  <c r="V941" i="2"/>
  <c r="O940" i="2" l="1"/>
  <c r="R940" i="2" s="1"/>
  <c r="M940" i="2"/>
  <c r="P940" i="2" s="1"/>
  <c r="AG940" i="2" l="1"/>
  <c r="Q940" i="2"/>
  <c r="S940" i="2" s="1"/>
  <c r="Y940" i="2" s="1"/>
  <c r="AA940" i="2" s="1"/>
  <c r="Z940" i="2" l="1"/>
  <c r="AB941" i="2"/>
  <c r="B942" i="2" l="1"/>
  <c r="H942" i="2" s="1"/>
  <c r="G941" i="2"/>
  <c r="F941" i="2"/>
  <c r="AE941" i="2"/>
  <c r="AC941" i="2"/>
  <c r="U941" i="2"/>
  <c r="AF942" i="2" l="1"/>
  <c r="C942" i="2"/>
  <c r="J941" i="2"/>
  <c r="W941" i="2"/>
  <c r="X941" i="2" s="1"/>
  <c r="AD941" i="2"/>
  <c r="L941" i="2" s="1"/>
  <c r="I941" i="2" l="1"/>
  <c r="D942" i="2"/>
  <c r="E942" i="2" s="1"/>
  <c r="T942" i="2" s="1"/>
  <c r="K941" i="2"/>
  <c r="N941" i="2" l="1"/>
  <c r="M941" i="2" s="1"/>
  <c r="P941" i="2" s="1"/>
  <c r="V942" i="2"/>
  <c r="AG941" i="2" l="1"/>
  <c r="O941" i="2"/>
  <c r="R941" i="2" s="1"/>
  <c r="Q941" i="2" l="1"/>
  <c r="S941" i="2" s="1"/>
  <c r="Y941" i="2" s="1"/>
  <c r="AA941" i="2" s="1"/>
  <c r="Z941" i="2" l="1"/>
  <c r="AB942" i="2"/>
  <c r="B943" i="2" l="1"/>
  <c r="H943" i="2" s="1"/>
  <c r="G942" i="2"/>
  <c r="F942" i="2"/>
  <c r="AE942" i="2"/>
  <c r="AC942" i="2"/>
  <c r="U942" i="2"/>
  <c r="AD942" i="2" l="1"/>
  <c r="L942" i="2" s="1"/>
  <c r="C943" i="2"/>
  <c r="AF943" i="2"/>
  <c r="J942" i="2"/>
  <c r="W942" i="2"/>
  <c r="X942" i="2" s="1"/>
  <c r="K942" i="2" l="1"/>
  <c r="I942" i="2"/>
  <c r="D943" i="2"/>
  <c r="E943" i="2" s="1"/>
  <c r="T943" i="2" s="1"/>
  <c r="N942" i="2" l="1"/>
  <c r="V943" i="2"/>
  <c r="O942" i="2" l="1"/>
  <c r="R942" i="2" s="1"/>
  <c r="M942" i="2"/>
  <c r="P942" i="2" s="1"/>
  <c r="AG942" i="2" l="1"/>
  <c r="Q942" i="2"/>
  <c r="S942" i="2" s="1"/>
  <c r="Y942" i="2" s="1"/>
  <c r="AA942" i="2" s="1"/>
  <c r="Z942" i="2" l="1"/>
  <c r="AB943" i="2"/>
  <c r="B944" i="2" l="1"/>
  <c r="H944" i="2" s="1"/>
  <c r="G943" i="2"/>
  <c r="F943" i="2"/>
  <c r="AC943" i="2"/>
  <c r="AE943" i="2"/>
  <c r="U943" i="2"/>
  <c r="AF944" i="2" l="1"/>
  <c r="C944" i="2"/>
  <c r="J943" i="2"/>
  <c r="W943" i="2"/>
  <c r="X943" i="2" s="1"/>
  <c r="AD943" i="2"/>
  <c r="L943" i="2" s="1"/>
  <c r="K943" i="2" l="1"/>
  <c r="D944" i="2"/>
  <c r="E944" i="2" s="1"/>
  <c r="T944" i="2" s="1"/>
  <c r="I943" i="2"/>
  <c r="N943" i="2" l="1"/>
  <c r="M943" i="2" s="1"/>
  <c r="P943" i="2" s="1"/>
  <c r="V944" i="2"/>
  <c r="AG943" i="2" l="1"/>
  <c r="O943" i="2"/>
  <c r="R943" i="2" s="1"/>
  <c r="Q943" i="2" l="1"/>
  <c r="S943" i="2" s="1"/>
  <c r="Y943" i="2" s="1"/>
  <c r="AA943" i="2" s="1"/>
  <c r="Z943" i="2" l="1"/>
  <c r="AB944" i="2"/>
  <c r="B945" i="2" l="1"/>
  <c r="H945" i="2" s="1"/>
  <c r="G944" i="2"/>
  <c r="F944" i="2"/>
  <c r="AE944" i="2"/>
  <c r="AC944" i="2"/>
  <c r="U944" i="2"/>
  <c r="AF945" i="2" l="1"/>
  <c r="C945" i="2"/>
  <c r="AD944" i="2"/>
  <c r="L944" i="2" s="1"/>
  <c r="J944" i="2"/>
  <c r="W944" i="2"/>
  <c r="X944" i="2" s="1"/>
  <c r="I944" i="2" l="1"/>
  <c r="K944" i="2"/>
  <c r="D945" i="2"/>
  <c r="E945" i="2" s="1"/>
  <c r="T945" i="2" s="1"/>
  <c r="V945" i="2" l="1"/>
  <c r="N944" i="2"/>
  <c r="O944" i="2" l="1"/>
  <c r="R944" i="2" s="1"/>
  <c r="M944" i="2"/>
  <c r="P944" i="2" s="1"/>
  <c r="AG944" i="2" l="1"/>
  <c r="Q944" i="2"/>
  <c r="S944" i="2" s="1"/>
  <c r="Y944" i="2" s="1"/>
  <c r="AA944" i="2" s="1"/>
  <c r="Z944" i="2" l="1"/>
  <c r="AB945" i="2"/>
  <c r="B946" i="2" l="1"/>
  <c r="H946" i="2" s="1"/>
  <c r="G945" i="2"/>
  <c r="F945" i="2"/>
  <c r="AC945" i="2"/>
  <c r="AE945" i="2"/>
  <c r="U945" i="2"/>
  <c r="AF946" i="2" l="1"/>
  <c r="C946" i="2"/>
  <c r="AD945" i="2"/>
  <c r="L945" i="2" s="1"/>
  <c r="J945" i="2"/>
  <c r="W945" i="2"/>
  <c r="X945" i="2" s="1"/>
  <c r="K945" i="2" l="1"/>
  <c r="D946" i="2"/>
  <c r="E946" i="2" s="1"/>
  <c r="T946" i="2" s="1"/>
  <c r="I945" i="2"/>
  <c r="N945" i="2" l="1"/>
  <c r="V946" i="2"/>
  <c r="O945" i="2" l="1"/>
  <c r="Q945" i="2" s="1"/>
  <c r="M945" i="2"/>
  <c r="P945" i="2" s="1"/>
  <c r="AG945" i="2" l="1"/>
  <c r="R945" i="2"/>
  <c r="S945" i="2" s="1"/>
  <c r="Y945" i="2" l="1"/>
  <c r="AA945" i="2" s="1"/>
  <c r="Z945" i="2"/>
  <c r="AB946" i="2" l="1"/>
  <c r="B947" i="2" l="1"/>
  <c r="H947" i="2" s="1"/>
  <c r="G946" i="2"/>
  <c r="F946" i="2"/>
  <c r="AE946" i="2"/>
  <c r="AC946" i="2"/>
  <c r="U946" i="2"/>
  <c r="J946" i="2" l="1"/>
  <c r="W946" i="2"/>
  <c r="X946" i="2" s="1"/>
  <c r="AF947" i="2"/>
  <c r="C947" i="2"/>
  <c r="AD946" i="2"/>
  <c r="L946" i="2" s="1"/>
  <c r="I946" i="2" l="1"/>
  <c r="D947" i="2"/>
  <c r="E947" i="2" s="1"/>
  <c r="T947" i="2" s="1"/>
  <c r="K946" i="2"/>
  <c r="N946" i="2" l="1"/>
  <c r="M946" i="2" s="1"/>
  <c r="P946" i="2" s="1"/>
  <c r="V947" i="2"/>
  <c r="AG946" i="2" l="1"/>
  <c r="O946" i="2"/>
  <c r="R946" i="2" s="1"/>
  <c r="Q946" i="2" l="1"/>
  <c r="S946" i="2" s="1"/>
  <c r="Y946" i="2" s="1"/>
  <c r="AA946" i="2" s="1"/>
  <c r="Z946" i="2" l="1"/>
  <c r="AB947" i="2"/>
  <c r="B948" i="2" l="1"/>
  <c r="H948" i="2" s="1"/>
  <c r="G947" i="2"/>
  <c r="F947" i="2"/>
  <c r="AC947" i="2"/>
  <c r="AE947" i="2"/>
  <c r="U947" i="2"/>
  <c r="J947" i="2" l="1"/>
  <c r="W947" i="2"/>
  <c r="X947" i="2" s="1"/>
  <c r="AD947" i="2"/>
  <c r="L947" i="2" s="1"/>
  <c r="AF948" i="2"/>
  <c r="C948" i="2"/>
  <c r="D948" i="2" l="1"/>
  <c r="E948" i="2" s="1"/>
  <c r="T948" i="2" s="1"/>
  <c r="K947" i="2"/>
  <c r="I947" i="2"/>
  <c r="N947" i="2" l="1"/>
  <c r="V948" i="2"/>
  <c r="O947" i="2" l="1"/>
  <c r="R947" i="2" s="1"/>
  <c r="M947" i="2"/>
  <c r="P947" i="2" s="1"/>
  <c r="AG947" i="2" l="1"/>
  <c r="Q947" i="2"/>
  <c r="S947" i="2" s="1"/>
  <c r="Z947" i="2" s="1"/>
  <c r="Y947" i="2" l="1"/>
  <c r="AA947" i="2" s="1"/>
  <c r="AB948" i="2" s="1"/>
  <c r="B949" i="2" l="1"/>
  <c r="H949" i="2" s="1"/>
  <c r="G948" i="2"/>
  <c r="F948" i="2"/>
  <c r="AE948" i="2"/>
  <c r="AC948" i="2"/>
  <c r="U948" i="2"/>
  <c r="AF949" i="2" l="1"/>
  <c r="C949" i="2"/>
  <c r="AD948" i="2"/>
  <c r="L948" i="2" s="1"/>
  <c r="J948" i="2"/>
  <c r="W948" i="2"/>
  <c r="X948" i="2" s="1"/>
  <c r="K948" i="2" l="1"/>
  <c r="I948" i="2"/>
  <c r="D949" i="2"/>
  <c r="E949" i="2" s="1"/>
  <c r="T949" i="2" s="1"/>
  <c r="N948" i="2" l="1"/>
  <c r="V949" i="2"/>
  <c r="O948" i="2" l="1"/>
  <c r="R948" i="2" s="1"/>
  <c r="M948" i="2"/>
  <c r="P948" i="2" s="1"/>
  <c r="AG948" i="2" l="1"/>
  <c r="Q948" i="2"/>
  <c r="S948" i="2" s="1"/>
  <c r="Y948" i="2" s="1"/>
  <c r="AA948" i="2" s="1"/>
  <c r="Z948" i="2" l="1"/>
  <c r="AB949" i="2"/>
  <c r="B950" i="2" l="1"/>
  <c r="H950" i="2" s="1"/>
  <c r="G949" i="2"/>
  <c r="F949" i="2"/>
  <c r="AE949" i="2"/>
  <c r="AC949" i="2"/>
  <c r="U949" i="2"/>
  <c r="J949" i="2" l="1"/>
  <c r="W949" i="2"/>
  <c r="X949" i="2" s="1"/>
  <c r="AD949" i="2"/>
  <c r="L949" i="2" s="1"/>
  <c r="AF950" i="2"/>
  <c r="C950" i="2"/>
  <c r="D950" i="2" l="1"/>
  <c r="E950" i="2" s="1"/>
  <c r="T950" i="2" s="1"/>
  <c r="K949" i="2"/>
  <c r="I949" i="2"/>
  <c r="N949" i="2" l="1"/>
  <c r="M949" i="2" s="1"/>
  <c r="P949" i="2" s="1"/>
  <c r="V950" i="2"/>
  <c r="AG949" i="2" l="1"/>
  <c r="O949" i="2"/>
  <c r="R949" i="2" s="1"/>
  <c r="Q949" i="2" l="1"/>
  <c r="S949" i="2" s="1"/>
  <c r="Y949" i="2" s="1"/>
  <c r="AA949" i="2" s="1"/>
  <c r="Z949" i="2" l="1"/>
  <c r="AB950" i="2"/>
  <c r="B951" i="2" l="1"/>
  <c r="H951" i="2" s="1"/>
  <c r="G950" i="2"/>
  <c r="F950" i="2"/>
  <c r="AC950" i="2"/>
  <c r="AE950" i="2"/>
  <c r="U950" i="2"/>
  <c r="AD950" i="2" l="1"/>
  <c r="L950" i="2" s="1"/>
  <c r="AF951" i="2"/>
  <c r="C951" i="2"/>
  <c r="J950" i="2"/>
  <c r="W950" i="2"/>
  <c r="X950" i="2" s="1"/>
  <c r="K950" i="2" l="1"/>
  <c r="I950" i="2"/>
  <c r="D951" i="2"/>
  <c r="E951" i="2" s="1"/>
  <c r="T951" i="2" s="1"/>
  <c r="N950" i="2" l="1"/>
  <c r="M950" i="2" s="1"/>
  <c r="P950" i="2" s="1"/>
  <c r="V951" i="2"/>
  <c r="AG950" i="2" l="1"/>
  <c r="O950" i="2"/>
  <c r="R950" i="2" s="1"/>
  <c r="Q950" i="2" l="1"/>
  <c r="S950" i="2" s="1"/>
  <c r="Z950" i="2" s="1"/>
  <c r="Y950" i="2" l="1"/>
  <c r="AA950" i="2" s="1"/>
  <c r="AB951" i="2" s="1"/>
  <c r="B952" i="2" l="1"/>
  <c r="H952" i="2" s="1"/>
  <c r="G951" i="2"/>
  <c r="F951" i="2"/>
  <c r="AE951" i="2"/>
  <c r="AC951" i="2"/>
  <c r="U951" i="2"/>
  <c r="J951" i="2" l="1"/>
  <c r="W951" i="2"/>
  <c r="X951" i="2" s="1"/>
  <c r="AD951" i="2"/>
  <c r="L951" i="2" s="1"/>
  <c r="AF952" i="2"/>
  <c r="C952" i="2"/>
  <c r="D952" i="2" l="1"/>
  <c r="E952" i="2" s="1"/>
  <c r="T952" i="2" s="1"/>
  <c r="K951" i="2"/>
  <c r="I951" i="2"/>
  <c r="N951" i="2" l="1"/>
  <c r="V952" i="2"/>
  <c r="O951" i="2" l="1"/>
  <c r="R951" i="2" s="1"/>
  <c r="M951" i="2"/>
  <c r="P951" i="2" s="1"/>
  <c r="AG951" i="2" l="1"/>
  <c r="Q951" i="2"/>
  <c r="S951" i="2" s="1"/>
  <c r="Y951" i="2" s="1"/>
  <c r="AA951" i="2" s="1"/>
  <c r="Z951" i="2" l="1"/>
  <c r="AB952" i="2"/>
  <c r="B953" i="2" l="1"/>
  <c r="H953" i="2" s="1"/>
  <c r="G952" i="2"/>
  <c r="F952" i="2"/>
  <c r="AE952" i="2"/>
  <c r="AC952" i="2"/>
  <c r="U952" i="2"/>
  <c r="AF953" i="2" l="1"/>
  <c r="C953" i="2"/>
  <c r="AD952" i="2"/>
  <c r="L952" i="2" s="1"/>
  <c r="J952" i="2"/>
  <c r="W952" i="2"/>
  <c r="X952" i="2" s="1"/>
  <c r="I952" i="2" l="1"/>
  <c r="K952" i="2"/>
  <c r="D953" i="2"/>
  <c r="E953" i="2" s="1"/>
  <c r="T953" i="2" s="1"/>
  <c r="V953" i="2" l="1"/>
  <c r="N952" i="2"/>
  <c r="O952" i="2" l="1"/>
  <c r="Q952" i="2" s="1"/>
  <c r="M952" i="2"/>
  <c r="P952" i="2" s="1"/>
  <c r="AG952" i="2" l="1"/>
  <c r="R952" i="2"/>
  <c r="S952" i="2" s="1"/>
  <c r="Y952" i="2" s="1"/>
  <c r="AA952" i="2" s="1"/>
  <c r="Z952" i="2" l="1"/>
  <c r="AB953" i="2"/>
  <c r="B954" i="2" l="1"/>
  <c r="H954" i="2" s="1"/>
  <c r="G953" i="2"/>
  <c r="F953" i="2"/>
  <c r="AE953" i="2"/>
  <c r="AC953" i="2"/>
  <c r="U953" i="2"/>
  <c r="J953" i="2" l="1"/>
  <c r="W953" i="2"/>
  <c r="X953" i="2" s="1"/>
  <c r="AF954" i="2"/>
  <c r="C954" i="2"/>
  <c r="AD953" i="2"/>
  <c r="L953" i="2" s="1"/>
  <c r="D954" i="2" l="1"/>
  <c r="E954" i="2" s="1"/>
  <c r="T954" i="2" s="1"/>
  <c r="K953" i="2"/>
  <c r="I953" i="2"/>
  <c r="N953" i="2" l="1"/>
  <c r="V954" i="2"/>
  <c r="O953" i="2" l="1"/>
  <c r="R953" i="2" s="1"/>
  <c r="M953" i="2"/>
  <c r="P953" i="2" s="1"/>
  <c r="AG953" i="2" l="1"/>
  <c r="Q953" i="2"/>
  <c r="S953" i="2" s="1"/>
  <c r="Y953" i="2" s="1"/>
  <c r="AA953" i="2" s="1"/>
  <c r="Z953" i="2" l="1"/>
  <c r="AB954" i="2"/>
  <c r="B955" i="2" l="1"/>
  <c r="H955" i="2" s="1"/>
  <c r="G954" i="2"/>
  <c r="F954" i="2"/>
  <c r="AE954" i="2"/>
  <c r="AC954" i="2"/>
  <c r="U954" i="2"/>
  <c r="J954" i="2" l="1"/>
  <c r="W954" i="2"/>
  <c r="X954" i="2" s="1"/>
  <c r="AD954" i="2"/>
  <c r="L954" i="2" s="1"/>
  <c r="AF955" i="2"/>
  <c r="C955" i="2"/>
  <c r="I954" i="2" l="1"/>
  <c r="D955" i="2"/>
  <c r="E955" i="2" s="1"/>
  <c r="T955" i="2" s="1"/>
  <c r="K954" i="2"/>
  <c r="V955" i="2" l="1"/>
  <c r="N954" i="2"/>
  <c r="O954" i="2" l="1"/>
  <c r="R954" i="2" s="1"/>
  <c r="M954" i="2"/>
  <c r="P954" i="2" s="1"/>
  <c r="AG954" i="2" l="1"/>
  <c r="Q954" i="2"/>
  <c r="S954" i="2" s="1"/>
  <c r="Y954" i="2" s="1"/>
  <c r="AA954" i="2" s="1"/>
  <c r="Z954" i="2" l="1"/>
  <c r="AB955" i="2"/>
  <c r="B956" i="2" l="1"/>
  <c r="H956" i="2" s="1"/>
  <c r="G955" i="2"/>
  <c r="F955" i="2"/>
  <c r="AE955" i="2"/>
  <c r="AC955" i="2"/>
  <c r="U955" i="2"/>
  <c r="J955" i="2" l="1"/>
  <c r="W955" i="2"/>
  <c r="X955" i="2" s="1"/>
  <c r="AF956" i="2"/>
  <c r="C956" i="2"/>
  <c r="AD955" i="2"/>
  <c r="L955" i="2" s="1"/>
  <c r="D956" i="2" l="1"/>
  <c r="E956" i="2" s="1"/>
  <c r="T956" i="2" s="1"/>
  <c r="K955" i="2"/>
  <c r="I955" i="2"/>
  <c r="N955" i="2" l="1"/>
  <c r="M955" i="2" s="1"/>
  <c r="P955" i="2" s="1"/>
  <c r="V956" i="2"/>
  <c r="AG955" i="2" l="1"/>
  <c r="O955" i="2"/>
  <c r="R955" i="2" s="1"/>
  <c r="Q955" i="2" l="1"/>
  <c r="S955" i="2" s="1"/>
  <c r="Y955" i="2" s="1"/>
  <c r="AA955" i="2" s="1"/>
  <c r="Z955" i="2" l="1"/>
  <c r="AB956" i="2"/>
  <c r="B957" i="2" l="1"/>
  <c r="H957" i="2" s="1"/>
  <c r="G956" i="2"/>
  <c r="F956" i="2"/>
  <c r="AC956" i="2"/>
  <c r="AE956" i="2"/>
  <c r="U956" i="2"/>
  <c r="AD956" i="2" l="1"/>
  <c r="L956" i="2" s="1"/>
  <c r="AF957" i="2"/>
  <c r="C957" i="2"/>
  <c r="J956" i="2"/>
  <c r="W956" i="2"/>
  <c r="X956" i="2" s="1"/>
  <c r="I956" i="2" l="1"/>
  <c r="D957" i="2"/>
  <c r="E957" i="2" s="1"/>
  <c r="T957" i="2" s="1"/>
  <c r="K956" i="2"/>
  <c r="V957" i="2" l="1"/>
  <c r="N956" i="2"/>
  <c r="O956" i="2" l="1"/>
  <c r="R956" i="2" s="1"/>
  <c r="M956" i="2"/>
  <c r="P956" i="2" s="1"/>
  <c r="AG956" i="2" l="1"/>
  <c r="Q956" i="2"/>
  <c r="S956" i="2" s="1"/>
  <c r="Y956" i="2" s="1"/>
  <c r="AA956" i="2" s="1"/>
  <c r="Z956" i="2" l="1"/>
  <c r="AB957" i="2"/>
  <c r="B958" i="2" l="1"/>
  <c r="H958" i="2" s="1"/>
  <c r="G957" i="2"/>
  <c r="F957" i="2"/>
  <c r="AE957" i="2"/>
  <c r="AC957" i="2"/>
  <c r="U957" i="2"/>
  <c r="C958" i="2" l="1"/>
  <c r="AF958" i="2"/>
  <c r="AD957" i="2"/>
  <c r="L957" i="2" s="1"/>
  <c r="J957" i="2"/>
  <c r="W957" i="2"/>
  <c r="X957" i="2" s="1"/>
  <c r="I957" i="2" l="1"/>
  <c r="D958" i="2"/>
  <c r="E958" i="2" s="1"/>
  <c r="T958" i="2" s="1"/>
  <c r="K957" i="2"/>
  <c r="V958" i="2" l="1"/>
  <c r="N957" i="2"/>
  <c r="O957" i="2" l="1"/>
  <c r="R957" i="2" s="1"/>
  <c r="M957" i="2"/>
  <c r="P957" i="2" s="1"/>
  <c r="AG957" i="2" l="1"/>
  <c r="Q957" i="2"/>
  <c r="S957" i="2" s="1"/>
  <c r="Y957" i="2" s="1"/>
  <c r="AA957" i="2" s="1"/>
  <c r="Z957" i="2" l="1"/>
  <c r="AB958" i="2"/>
  <c r="B959" i="2" l="1"/>
  <c r="H959" i="2" s="1"/>
  <c r="G958" i="2"/>
  <c r="F958" i="2"/>
  <c r="AC958" i="2"/>
  <c r="AE958" i="2"/>
  <c r="U958" i="2"/>
  <c r="AD958" i="2" l="1"/>
  <c r="L958" i="2" s="1"/>
  <c r="J958" i="2"/>
  <c r="W958" i="2"/>
  <c r="X958" i="2" s="1"/>
  <c r="AF959" i="2"/>
  <c r="C959" i="2"/>
  <c r="I958" i="2" l="1"/>
  <c r="D959" i="2"/>
  <c r="E959" i="2" s="1"/>
  <c r="T959" i="2" s="1"/>
  <c r="K958" i="2"/>
  <c r="V959" i="2" l="1"/>
  <c r="N958" i="2"/>
  <c r="O958" i="2" l="1"/>
  <c r="R958" i="2" s="1"/>
  <c r="M958" i="2"/>
  <c r="P958" i="2" s="1"/>
  <c r="AG958" i="2" l="1"/>
  <c r="Q958" i="2"/>
  <c r="S958" i="2" s="1"/>
  <c r="Y958" i="2" s="1"/>
  <c r="AA958" i="2" s="1"/>
  <c r="Z958" i="2" l="1"/>
  <c r="AB959" i="2"/>
  <c r="B960" i="2" l="1"/>
  <c r="H960" i="2" s="1"/>
  <c r="G959" i="2"/>
  <c r="F959" i="2"/>
  <c r="AC959" i="2"/>
  <c r="AE959" i="2"/>
  <c r="U959" i="2"/>
  <c r="AF960" i="2" l="1"/>
  <c r="C960" i="2"/>
  <c r="J959" i="2"/>
  <c r="W959" i="2"/>
  <c r="X959" i="2" s="1"/>
  <c r="AD959" i="2"/>
  <c r="L959" i="2" s="1"/>
  <c r="K959" i="2" l="1"/>
  <c r="D960" i="2"/>
  <c r="E960" i="2" s="1"/>
  <c r="T960" i="2" s="1"/>
  <c r="I959" i="2"/>
  <c r="N959" i="2" l="1"/>
  <c r="V960" i="2"/>
  <c r="O959" i="2" l="1"/>
  <c r="R959" i="2" s="1"/>
  <c r="M959" i="2"/>
  <c r="P959" i="2" s="1"/>
  <c r="AG959" i="2" l="1"/>
  <c r="Q959" i="2"/>
  <c r="S959" i="2" s="1"/>
  <c r="Y959" i="2" s="1"/>
  <c r="AA959" i="2" s="1"/>
  <c r="Z959" i="2" l="1"/>
  <c r="AB960" i="2"/>
  <c r="B961" i="2" l="1"/>
  <c r="H961" i="2" s="1"/>
  <c r="G960" i="2"/>
  <c r="F960" i="2"/>
  <c r="AE960" i="2"/>
  <c r="AC960" i="2"/>
  <c r="U960" i="2"/>
  <c r="J960" i="2" l="1"/>
  <c r="W960" i="2"/>
  <c r="X960" i="2" s="1"/>
  <c r="AD960" i="2"/>
  <c r="L960" i="2" s="1"/>
  <c r="AF961" i="2"/>
  <c r="C961" i="2"/>
  <c r="I960" i="2" l="1"/>
  <c r="K960" i="2"/>
  <c r="D961" i="2"/>
  <c r="E961" i="2" s="1"/>
  <c r="T961" i="2" s="1"/>
  <c r="V961" i="2" l="1"/>
  <c r="N960" i="2"/>
  <c r="O960" i="2" l="1"/>
  <c r="R960" i="2" s="1"/>
  <c r="M960" i="2"/>
  <c r="P960" i="2" s="1"/>
  <c r="AG960" i="2" l="1"/>
  <c r="Q960" i="2"/>
  <c r="S960" i="2" s="1"/>
  <c r="Y960" i="2" s="1"/>
  <c r="AA960" i="2" s="1"/>
  <c r="Z960" i="2" l="1"/>
  <c r="AB961" i="2"/>
  <c r="B962" i="2" l="1"/>
  <c r="H962" i="2" s="1"/>
  <c r="G961" i="2"/>
  <c r="F961" i="2"/>
  <c r="AC961" i="2"/>
  <c r="AE961" i="2"/>
  <c r="U961" i="2"/>
  <c r="J961" i="2" l="1"/>
  <c r="W961" i="2"/>
  <c r="X961" i="2" s="1"/>
  <c r="AD961" i="2"/>
  <c r="L961" i="2" s="1"/>
  <c r="C962" i="2"/>
  <c r="AF962" i="2"/>
  <c r="K961" i="2" l="1"/>
  <c r="D962" i="2"/>
  <c r="E962" i="2" s="1"/>
  <c r="T962" i="2" s="1"/>
  <c r="I961" i="2"/>
  <c r="N961" i="2" l="1"/>
  <c r="V962" i="2"/>
  <c r="O961" i="2" l="1"/>
  <c r="Q961" i="2" s="1"/>
  <c r="M961" i="2"/>
  <c r="P961" i="2" s="1"/>
  <c r="AG961" i="2" l="1"/>
  <c r="R961" i="2"/>
  <c r="S961" i="2" s="1"/>
  <c r="Y961" i="2" l="1"/>
  <c r="AA961" i="2" s="1"/>
  <c r="AB962" i="2" s="1"/>
  <c r="Z961" i="2"/>
  <c r="B963" i="2" l="1"/>
  <c r="H963" i="2" s="1"/>
  <c r="G962" i="2"/>
  <c r="F962" i="2"/>
  <c r="AE962" i="2"/>
  <c r="AC962" i="2"/>
  <c r="U962" i="2"/>
  <c r="AF963" i="2" l="1"/>
  <c r="C963" i="2"/>
  <c r="J962" i="2"/>
  <c r="W962" i="2"/>
  <c r="X962" i="2" s="1"/>
  <c r="AD962" i="2"/>
  <c r="L962" i="2" s="1"/>
  <c r="D963" i="2" l="1"/>
  <c r="E963" i="2" s="1"/>
  <c r="T963" i="2" s="1"/>
  <c r="K962" i="2"/>
  <c r="I962" i="2"/>
  <c r="N962" i="2" l="1"/>
  <c r="V963" i="2"/>
  <c r="O962" i="2" l="1"/>
  <c r="R962" i="2" s="1"/>
  <c r="M962" i="2"/>
  <c r="P962" i="2" s="1"/>
  <c r="AG962" i="2" l="1"/>
  <c r="Q962" i="2"/>
  <c r="S962" i="2" s="1"/>
  <c r="Y962" i="2" s="1"/>
  <c r="AA962" i="2" s="1"/>
  <c r="Z962" i="2" l="1"/>
  <c r="AB963" i="2"/>
  <c r="B964" i="2" l="1"/>
  <c r="H964" i="2" s="1"/>
  <c r="G963" i="2"/>
  <c r="F963" i="2"/>
  <c r="AC963" i="2"/>
  <c r="AE963" i="2"/>
  <c r="U963" i="2"/>
  <c r="AD963" i="2" l="1"/>
  <c r="L963" i="2" s="1"/>
  <c r="C964" i="2"/>
  <c r="AF964" i="2"/>
  <c r="J963" i="2"/>
  <c r="W963" i="2"/>
  <c r="X963" i="2" s="1"/>
  <c r="K963" i="2" l="1"/>
  <c r="D964" i="2"/>
  <c r="E964" i="2" s="1"/>
  <c r="T964" i="2" s="1"/>
  <c r="I963" i="2"/>
  <c r="N963" i="2" l="1"/>
  <c r="V964" i="2"/>
  <c r="O963" i="2" l="1"/>
  <c r="R963" i="2" s="1"/>
  <c r="M963" i="2"/>
  <c r="P963" i="2" s="1"/>
  <c r="AG963" i="2" l="1"/>
  <c r="Q963" i="2"/>
  <c r="S963" i="2" s="1"/>
  <c r="Y963" i="2" s="1"/>
  <c r="AA963" i="2" s="1"/>
  <c r="Z963" i="2" l="1"/>
  <c r="AB964" i="2"/>
  <c r="B965" i="2" l="1"/>
  <c r="H965" i="2" s="1"/>
  <c r="G964" i="2"/>
  <c r="F964" i="2"/>
  <c r="AE964" i="2"/>
  <c r="AC964" i="2"/>
  <c r="U964" i="2"/>
  <c r="AF965" i="2" l="1"/>
  <c r="C965" i="2"/>
  <c r="AD964" i="2"/>
  <c r="L964" i="2" s="1"/>
  <c r="J964" i="2"/>
  <c r="W964" i="2"/>
  <c r="X964" i="2" s="1"/>
  <c r="K964" i="2" l="1"/>
  <c r="I964" i="2"/>
  <c r="D965" i="2"/>
  <c r="E965" i="2" s="1"/>
  <c r="T965" i="2" s="1"/>
  <c r="N964" i="2" l="1"/>
  <c r="V965" i="2"/>
  <c r="O964" i="2" l="1"/>
  <c r="R964" i="2" s="1"/>
  <c r="M964" i="2"/>
  <c r="P964" i="2" s="1"/>
  <c r="AG964" i="2" l="1"/>
  <c r="Q964" i="2"/>
  <c r="S964" i="2" s="1"/>
  <c r="Y964" i="2" s="1"/>
  <c r="AA964" i="2" s="1"/>
  <c r="Z964" i="2" l="1"/>
  <c r="AB965" i="2"/>
  <c r="B966" i="2" l="1"/>
  <c r="H966" i="2" s="1"/>
  <c r="G965" i="2"/>
  <c r="F965" i="2"/>
  <c r="AE965" i="2"/>
  <c r="AC965" i="2"/>
  <c r="U965" i="2"/>
  <c r="J965" i="2" l="1"/>
  <c r="W965" i="2"/>
  <c r="X965" i="2" s="1"/>
  <c r="AD965" i="2"/>
  <c r="L965" i="2" s="1"/>
  <c r="AF966" i="2"/>
  <c r="C966" i="2"/>
  <c r="D966" i="2" l="1"/>
  <c r="E966" i="2" s="1"/>
  <c r="T966" i="2" s="1"/>
  <c r="K965" i="2"/>
  <c r="I965" i="2"/>
  <c r="N965" i="2" l="1"/>
  <c r="M965" i="2" s="1"/>
  <c r="P965" i="2" s="1"/>
  <c r="V966" i="2"/>
  <c r="AG965" i="2" l="1"/>
  <c r="O965" i="2"/>
  <c r="Q965" i="2" s="1"/>
  <c r="R965" i="2" l="1"/>
  <c r="S965" i="2" s="1"/>
  <c r="Y965" i="2" s="1"/>
  <c r="AA965" i="2" s="1"/>
  <c r="Z965" i="2" l="1"/>
  <c r="AB966" i="2"/>
  <c r="B967" i="2" l="1"/>
  <c r="H967" i="2" s="1"/>
  <c r="G966" i="2"/>
  <c r="F966" i="2"/>
  <c r="AE966" i="2"/>
  <c r="AC966" i="2"/>
  <c r="U966" i="2"/>
  <c r="J966" i="2" l="1"/>
  <c r="W966" i="2"/>
  <c r="X966" i="2" s="1"/>
  <c r="AD966" i="2"/>
  <c r="L966" i="2" s="1"/>
  <c r="AF967" i="2"/>
  <c r="C967" i="2"/>
  <c r="K966" i="2" l="1"/>
  <c r="D967" i="2"/>
  <c r="E967" i="2" s="1"/>
  <c r="T967" i="2" s="1"/>
  <c r="I966" i="2"/>
  <c r="N966" i="2" l="1"/>
  <c r="V967" i="2"/>
  <c r="O966" i="2" l="1"/>
  <c r="R966" i="2" s="1"/>
  <c r="M966" i="2"/>
  <c r="P966" i="2" s="1"/>
  <c r="AG966" i="2" l="1"/>
  <c r="Q966" i="2"/>
  <c r="S966" i="2" s="1"/>
  <c r="Y966" i="2" s="1"/>
  <c r="AA966" i="2" s="1"/>
  <c r="Z966" i="2" l="1"/>
  <c r="AB967" i="2"/>
  <c r="B968" i="2" l="1"/>
  <c r="H968" i="2" s="1"/>
  <c r="G967" i="2"/>
  <c r="F967" i="2"/>
  <c r="AE967" i="2"/>
  <c r="AC967" i="2"/>
  <c r="U967" i="2"/>
  <c r="AD967" i="2" l="1"/>
  <c r="L967" i="2" s="1"/>
  <c r="C968" i="2"/>
  <c r="AF968" i="2"/>
  <c r="J967" i="2"/>
  <c r="W967" i="2"/>
  <c r="X967" i="2" s="1"/>
  <c r="I967" i="2" l="1"/>
  <c r="D968" i="2"/>
  <c r="E968" i="2" s="1"/>
  <c r="T968" i="2" s="1"/>
  <c r="K967" i="2"/>
  <c r="V968" i="2" l="1"/>
  <c r="N967" i="2"/>
  <c r="O967" i="2" l="1"/>
  <c r="R967" i="2" s="1"/>
  <c r="M967" i="2"/>
  <c r="P967" i="2" s="1"/>
  <c r="AG967" i="2" l="1"/>
  <c r="Q967" i="2"/>
  <c r="S967" i="2" s="1"/>
  <c r="Y967" i="2" s="1"/>
  <c r="AA967" i="2" s="1"/>
  <c r="Z967" i="2" l="1"/>
  <c r="AB968" i="2"/>
  <c r="B969" i="2" l="1"/>
  <c r="H969" i="2" s="1"/>
  <c r="G968" i="2"/>
  <c r="F968" i="2"/>
  <c r="AE968" i="2"/>
  <c r="AC968" i="2"/>
  <c r="U968" i="2"/>
  <c r="AF969" i="2" l="1"/>
  <c r="C969" i="2"/>
  <c r="AD968" i="2"/>
  <c r="L968" i="2" s="1"/>
  <c r="J968" i="2"/>
  <c r="W968" i="2"/>
  <c r="X968" i="2" s="1"/>
  <c r="I968" i="2" l="1"/>
  <c r="D969" i="2"/>
  <c r="E969" i="2" s="1"/>
  <c r="T969" i="2" s="1"/>
  <c r="K968" i="2"/>
  <c r="V969" i="2" l="1"/>
  <c r="N968" i="2"/>
  <c r="O968" i="2" l="1"/>
  <c r="R968" i="2" s="1"/>
  <c r="M968" i="2"/>
  <c r="P968" i="2" s="1"/>
  <c r="AG968" i="2" l="1"/>
  <c r="Q968" i="2"/>
  <c r="S968" i="2" s="1"/>
  <c r="Y968" i="2" s="1"/>
  <c r="AA968" i="2" s="1"/>
  <c r="Z968" i="2" l="1"/>
  <c r="AB969" i="2"/>
  <c r="B970" i="2" l="1"/>
  <c r="H970" i="2" s="1"/>
  <c r="G969" i="2"/>
  <c r="F969" i="2"/>
  <c r="AC969" i="2"/>
  <c r="AE969" i="2"/>
  <c r="U969" i="2"/>
  <c r="AD969" i="2" l="1"/>
  <c r="L969" i="2" s="1"/>
  <c r="J969" i="2"/>
  <c r="W969" i="2"/>
  <c r="X969" i="2" s="1"/>
  <c r="AF970" i="2"/>
  <c r="C970" i="2"/>
  <c r="K969" i="2" l="1"/>
  <c r="I969" i="2"/>
  <c r="D970" i="2"/>
  <c r="E970" i="2" s="1"/>
  <c r="T970" i="2" s="1"/>
  <c r="N969" i="2" l="1"/>
  <c r="V970" i="2"/>
  <c r="O969" i="2" l="1"/>
  <c r="R969" i="2" s="1"/>
  <c r="M969" i="2"/>
  <c r="P969" i="2" s="1"/>
  <c r="AG969" i="2" l="1"/>
  <c r="Q969" i="2"/>
  <c r="S969" i="2" s="1"/>
  <c r="Y969" i="2" s="1"/>
  <c r="AA969" i="2" s="1"/>
  <c r="Z969" i="2" l="1"/>
  <c r="AB970" i="2"/>
  <c r="B971" i="2" l="1"/>
  <c r="H971" i="2" s="1"/>
  <c r="G970" i="2"/>
  <c r="F970" i="2"/>
  <c r="AE970" i="2"/>
  <c r="AC970" i="2"/>
  <c r="U970" i="2"/>
  <c r="J970" i="2" l="1"/>
  <c r="W970" i="2"/>
  <c r="X970" i="2" s="1"/>
  <c r="AD970" i="2"/>
  <c r="L970" i="2" s="1"/>
  <c r="AF971" i="2"/>
  <c r="C971" i="2"/>
  <c r="I970" i="2" l="1"/>
  <c r="D971" i="2"/>
  <c r="E971" i="2" s="1"/>
  <c r="T971" i="2" s="1"/>
  <c r="K970" i="2"/>
  <c r="V971" i="2" l="1"/>
  <c r="N970" i="2"/>
  <c r="O970" i="2" l="1"/>
  <c r="R970" i="2" s="1"/>
  <c r="M970" i="2"/>
  <c r="P970" i="2" s="1"/>
  <c r="AG970" i="2" l="1"/>
  <c r="Q970" i="2"/>
  <c r="S970" i="2" s="1"/>
  <c r="Y970" i="2" s="1"/>
  <c r="AA970" i="2" s="1"/>
  <c r="Z970" i="2" l="1"/>
  <c r="AB971" i="2"/>
  <c r="B972" i="2" l="1"/>
  <c r="H972" i="2" s="1"/>
  <c r="G971" i="2"/>
  <c r="F971" i="2"/>
  <c r="AE971" i="2"/>
  <c r="AC971" i="2"/>
  <c r="U971" i="2"/>
  <c r="J971" i="2" l="1"/>
  <c r="W971" i="2"/>
  <c r="X971" i="2" s="1"/>
  <c r="AD971" i="2"/>
  <c r="L971" i="2" s="1"/>
  <c r="C972" i="2"/>
  <c r="AF972" i="2"/>
  <c r="K971" i="2" l="1"/>
  <c r="I971" i="2"/>
  <c r="D972" i="2"/>
  <c r="E972" i="2" s="1"/>
  <c r="T972" i="2" s="1"/>
  <c r="N971" i="2" l="1"/>
  <c r="V972" i="2"/>
  <c r="O971" i="2" l="1"/>
  <c r="R971" i="2" s="1"/>
  <c r="M971" i="2"/>
  <c r="P971" i="2" s="1"/>
  <c r="AG971" i="2" l="1"/>
  <c r="Q971" i="2"/>
  <c r="S971" i="2" s="1"/>
  <c r="Y971" i="2" s="1"/>
  <c r="AA971" i="2" s="1"/>
  <c r="Z971" i="2" l="1"/>
  <c r="AB972" i="2"/>
  <c r="B973" i="2" l="1"/>
  <c r="H973" i="2" s="1"/>
  <c r="G972" i="2"/>
  <c r="F972" i="2"/>
  <c r="AE972" i="2"/>
  <c r="AC972" i="2"/>
  <c r="U972" i="2"/>
  <c r="AD972" i="2" l="1"/>
  <c r="L972" i="2" s="1"/>
  <c r="J972" i="2"/>
  <c r="W972" i="2"/>
  <c r="X972" i="2" s="1"/>
  <c r="AF973" i="2"/>
  <c r="C973" i="2"/>
  <c r="I972" i="2" l="1"/>
  <c r="D973" i="2"/>
  <c r="E973" i="2" s="1"/>
  <c r="T973" i="2" s="1"/>
  <c r="K972" i="2"/>
  <c r="N972" i="2" l="1"/>
  <c r="M972" i="2" s="1"/>
  <c r="P972" i="2" s="1"/>
  <c r="V973" i="2"/>
  <c r="AG972" i="2" l="1"/>
  <c r="O972" i="2"/>
  <c r="R972" i="2" s="1"/>
  <c r="Q972" i="2" l="1"/>
  <c r="S972" i="2" s="1"/>
  <c r="Y972" i="2" s="1"/>
  <c r="AA972" i="2" s="1"/>
  <c r="Z972" i="2" l="1"/>
  <c r="AB973" i="2"/>
  <c r="B974" i="2" l="1"/>
  <c r="H974" i="2" s="1"/>
  <c r="G973" i="2"/>
  <c r="F973" i="2"/>
  <c r="AE973" i="2"/>
  <c r="AC973" i="2"/>
  <c r="U973" i="2"/>
  <c r="AF974" i="2" l="1"/>
  <c r="C974" i="2"/>
  <c r="AD973" i="2"/>
  <c r="L973" i="2" s="1"/>
  <c r="J973" i="2"/>
  <c r="W973" i="2"/>
  <c r="X973" i="2" s="1"/>
  <c r="I973" i="2" l="1"/>
  <c r="K973" i="2"/>
  <c r="D974" i="2"/>
  <c r="E974" i="2" s="1"/>
  <c r="T974" i="2" s="1"/>
  <c r="V974" i="2" l="1"/>
  <c r="N973" i="2"/>
  <c r="O973" i="2" l="1"/>
  <c r="R973" i="2" s="1"/>
  <c r="M973" i="2"/>
  <c r="P973" i="2" s="1"/>
  <c r="AG973" i="2" l="1"/>
  <c r="Q973" i="2"/>
  <c r="S973" i="2" s="1"/>
  <c r="Y973" i="2" s="1"/>
  <c r="AA973" i="2" s="1"/>
  <c r="Z973" i="2" l="1"/>
  <c r="AB974" i="2"/>
  <c r="B975" i="2" l="1"/>
  <c r="H975" i="2" s="1"/>
  <c r="G974" i="2"/>
  <c r="F974" i="2"/>
  <c r="AC974" i="2"/>
  <c r="AE974" i="2"/>
  <c r="U974" i="2"/>
  <c r="AD974" i="2" l="1"/>
  <c r="L974" i="2" s="1"/>
  <c r="J974" i="2"/>
  <c r="W974" i="2"/>
  <c r="X974" i="2" s="1"/>
  <c r="AF975" i="2"/>
  <c r="C975" i="2"/>
  <c r="K974" i="2" l="1"/>
  <c r="I974" i="2"/>
  <c r="D975" i="2"/>
  <c r="E975" i="2" s="1"/>
  <c r="T975" i="2" s="1"/>
  <c r="N974" i="2" l="1"/>
  <c r="M974" i="2" s="1"/>
  <c r="P974" i="2" s="1"/>
  <c r="V975" i="2"/>
  <c r="AG974" i="2" l="1"/>
  <c r="O974" i="2"/>
  <c r="R974" i="2" s="1"/>
  <c r="Q974" i="2" l="1"/>
  <c r="S974" i="2" s="1"/>
  <c r="Y974" i="2" s="1"/>
  <c r="AA974" i="2" s="1"/>
  <c r="Z974" i="2" l="1"/>
  <c r="AB975" i="2"/>
  <c r="B976" i="2" l="1"/>
  <c r="H976" i="2" s="1"/>
  <c r="G975" i="2"/>
  <c r="F975" i="2"/>
  <c r="AE975" i="2"/>
  <c r="AC975" i="2"/>
  <c r="U975" i="2"/>
  <c r="AD975" i="2" l="1"/>
  <c r="L975" i="2" s="1"/>
  <c r="C976" i="2"/>
  <c r="AF976" i="2"/>
  <c r="J975" i="2"/>
  <c r="W975" i="2"/>
  <c r="X975" i="2" s="1"/>
  <c r="I975" i="2" l="1"/>
  <c r="D976" i="2"/>
  <c r="E976" i="2" s="1"/>
  <c r="T976" i="2" s="1"/>
  <c r="K975" i="2"/>
  <c r="V976" i="2" l="1"/>
  <c r="N975" i="2"/>
  <c r="O975" i="2" l="1"/>
  <c r="Q975" i="2" s="1"/>
  <c r="M975" i="2"/>
  <c r="P975" i="2" s="1"/>
  <c r="AG975" i="2" l="1"/>
  <c r="R975" i="2"/>
  <c r="S975" i="2" s="1"/>
  <c r="Y975" i="2" s="1"/>
  <c r="AA975" i="2" s="1"/>
  <c r="Z975" i="2" l="1"/>
  <c r="AB976" i="2"/>
  <c r="B977" i="2" l="1"/>
  <c r="H977" i="2" s="1"/>
  <c r="G976" i="2"/>
  <c r="F976" i="2"/>
  <c r="AE976" i="2"/>
  <c r="AC976" i="2"/>
  <c r="U976" i="2"/>
  <c r="AF977" i="2" l="1"/>
  <c r="C977" i="2"/>
  <c r="AD976" i="2"/>
  <c r="L976" i="2" s="1"/>
  <c r="J976" i="2"/>
  <c r="W976" i="2"/>
  <c r="X976" i="2" s="1"/>
  <c r="K976" i="2" l="1"/>
  <c r="D977" i="2"/>
  <c r="E977" i="2" s="1"/>
  <c r="T977" i="2" s="1"/>
  <c r="I976" i="2"/>
  <c r="N976" i="2" l="1"/>
  <c r="M976" i="2" s="1"/>
  <c r="P976" i="2" s="1"/>
  <c r="V977" i="2"/>
  <c r="AG976" i="2" l="1"/>
  <c r="O976" i="2"/>
  <c r="Q976" i="2" s="1"/>
  <c r="R976" i="2" l="1"/>
  <c r="S976" i="2" s="1"/>
  <c r="Z976" i="2" s="1"/>
  <c r="Y976" i="2" l="1"/>
  <c r="AA976" i="2" s="1"/>
  <c r="AB977" i="2" l="1"/>
  <c r="B978" i="2" l="1"/>
  <c r="H978" i="2" s="1"/>
  <c r="G977" i="2"/>
  <c r="AE977" i="2"/>
  <c r="AD977" i="2" s="1"/>
  <c r="L977" i="2" s="1"/>
  <c r="AC977" i="2"/>
  <c r="F977" i="2"/>
  <c r="U977" i="2"/>
  <c r="W977" i="2" l="1"/>
  <c r="X977" i="2" s="1"/>
  <c r="C978" i="2"/>
  <c r="D978" i="2" s="1"/>
  <c r="E978" i="2" s="1"/>
  <c r="T978" i="2" s="1"/>
  <c r="AF978" i="2"/>
  <c r="J977" i="2"/>
  <c r="I977" i="2" l="1"/>
  <c r="K977" i="2"/>
  <c r="V978" i="2"/>
  <c r="N977" i="2" l="1"/>
  <c r="O977" i="2" s="1"/>
  <c r="R977" i="2" s="1"/>
  <c r="M977" i="2"/>
  <c r="P977" i="2" s="1"/>
  <c r="AG977" i="2" l="1"/>
  <c r="Q977" i="2"/>
  <c r="S977" i="2" s="1"/>
  <c r="Z977" i="2" s="1"/>
  <c r="Y977" i="2" l="1"/>
  <c r="AA977" i="2" s="1"/>
  <c r="AB978" i="2" s="1"/>
  <c r="B979" i="2" l="1"/>
  <c r="H979" i="2" s="1"/>
  <c r="G978" i="2"/>
  <c r="F978" i="2"/>
  <c r="AE978" i="2"/>
  <c r="AC978" i="2"/>
  <c r="U978" i="2"/>
  <c r="J978" i="2" l="1"/>
  <c r="W978" i="2"/>
  <c r="X978" i="2" s="1"/>
  <c r="AD978" i="2"/>
  <c r="L978" i="2" s="1"/>
  <c r="AF979" i="2"/>
  <c r="C979" i="2"/>
  <c r="I978" i="2" l="1"/>
  <c r="D979" i="2"/>
  <c r="E979" i="2" s="1"/>
  <c r="T979" i="2" s="1"/>
  <c r="K978" i="2"/>
  <c r="V979" i="2" l="1"/>
  <c r="N978" i="2"/>
  <c r="O978" i="2" l="1"/>
  <c r="Q978" i="2" s="1"/>
  <c r="M978" i="2"/>
  <c r="P978" i="2" s="1"/>
  <c r="AG978" i="2" l="1"/>
  <c r="R978" i="2"/>
  <c r="S978" i="2" s="1"/>
  <c r="Y978" i="2" s="1"/>
  <c r="AA978" i="2" s="1"/>
  <c r="Z978" i="2" l="1"/>
  <c r="AB979" i="2"/>
  <c r="B980" i="2" l="1"/>
  <c r="H980" i="2" s="1"/>
  <c r="G979" i="2"/>
  <c r="F979" i="2"/>
  <c r="AE979" i="2"/>
  <c r="AC979" i="2"/>
  <c r="U979" i="2"/>
  <c r="J979" i="2" l="1"/>
  <c r="W979" i="2"/>
  <c r="X979" i="2" s="1"/>
  <c r="AD979" i="2"/>
  <c r="L979" i="2" s="1"/>
  <c r="AF980" i="2"/>
  <c r="C980" i="2"/>
  <c r="K979" i="2" l="1"/>
  <c r="I979" i="2"/>
  <c r="D980" i="2"/>
  <c r="E980" i="2" s="1"/>
  <c r="T980" i="2" s="1"/>
  <c r="N979" i="2" l="1"/>
  <c r="V980" i="2"/>
  <c r="O979" i="2" l="1"/>
  <c r="R979" i="2" s="1"/>
  <c r="M979" i="2"/>
  <c r="P979" i="2" s="1"/>
  <c r="AG979" i="2" l="1"/>
  <c r="Q979" i="2"/>
  <c r="S979" i="2" s="1"/>
  <c r="Y979" i="2" s="1"/>
  <c r="AA979" i="2" s="1"/>
  <c r="Z979" i="2" l="1"/>
  <c r="AB980" i="2"/>
  <c r="B981" i="2" l="1"/>
  <c r="H981" i="2" s="1"/>
  <c r="G980" i="2"/>
  <c r="F980" i="2"/>
  <c r="AC980" i="2"/>
  <c r="AE980" i="2"/>
  <c r="U980" i="2"/>
  <c r="AD980" i="2" l="1"/>
  <c r="L980" i="2" s="1"/>
  <c r="J980" i="2"/>
  <c r="W980" i="2"/>
  <c r="X980" i="2" s="1"/>
  <c r="AF981" i="2"/>
  <c r="C981" i="2"/>
  <c r="I980" i="2" l="1"/>
  <c r="K980" i="2"/>
  <c r="D981" i="2"/>
  <c r="E981" i="2" s="1"/>
  <c r="T981" i="2" s="1"/>
  <c r="V981" i="2" l="1"/>
  <c r="N980" i="2"/>
  <c r="O980" i="2" l="1"/>
  <c r="Q980" i="2" s="1"/>
  <c r="M980" i="2"/>
  <c r="P980" i="2" s="1"/>
  <c r="AG980" i="2" l="1"/>
  <c r="R980" i="2"/>
  <c r="S980" i="2" s="1"/>
  <c r="Y980" i="2" l="1"/>
  <c r="AA980" i="2" s="1"/>
  <c r="Z980" i="2"/>
  <c r="AB981" i="2" l="1"/>
  <c r="B982" i="2" l="1"/>
  <c r="H982" i="2" s="1"/>
  <c r="G981" i="2"/>
  <c r="F981" i="2"/>
  <c r="AE981" i="2"/>
  <c r="AC981" i="2"/>
  <c r="U981" i="2"/>
  <c r="C982" i="2" l="1"/>
  <c r="AF982" i="2"/>
  <c r="J981" i="2"/>
  <c r="W981" i="2"/>
  <c r="X981" i="2" s="1"/>
  <c r="AD981" i="2"/>
  <c r="L981" i="2" s="1"/>
  <c r="K981" i="2" l="1"/>
  <c r="D982" i="2"/>
  <c r="E982" i="2" s="1"/>
  <c r="T982" i="2" s="1"/>
  <c r="I981" i="2"/>
  <c r="N981" i="2" l="1"/>
  <c r="V982" i="2"/>
  <c r="O981" i="2" l="1"/>
  <c r="R981" i="2" s="1"/>
  <c r="M981" i="2"/>
  <c r="P981" i="2" s="1"/>
  <c r="AG981" i="2" l="1"/>
  <c r="Q981" i="2"/>
  <c r="S981" i="2" s="1"/>
  <c r="Y981" i="2" s="1"/>
  <c r="AA981" i="2" s="1"/>
  <c r="Z981" i="2" l="1"/>
  <c r="AB982" i="2"/>
  <c r="B983" i="2" l="1"/>
  <c r="H983" i="2" s="1"/>
  <c r="G982" i="2"/>
  <c r="F982" i="2"/>
  <c r="AE982" i="2"/>
  <c r="AC982" i="2"/>
  <c r="U982" i="2"/>
  <c r="AD982" i="2" l="1"/>
  <c r="L982" i="2" s="1"/>
  <c r="AF983" i="2"/>
  <c r="C983" i="2"/>
  <c r="J982" i="2"/>
  <c r="W982" i="2"/>
  <c r="X982" i="2" s="1"/>
  <c r="I982" i="2" l="1"/>
  <c r="K982" i="2"/>
  <c r="D983" i="2"/>
  <c r="E983" i="2" s="1"/>
  <c r="T983" i="2" s="1"/>
  <c r="V983" i="2" l="1"/>
  <c r="N982" i="2"/>
  <c r="O982" i="2" l="1"/>
  <c r="Q982" i="2" s="1"/>
  <c r="M982" i="2"/>
  <c r="P982" i="2" s="1"/>
  <c r="AG982" i="2" l="1"/>
  <c r="R982" i="2"/>
  <c r="S982" i="2" s="1"/>
  <c r="Y982" i="2" l="1"/>
  <c r="AA982" i="2" s="1"/>
  <c r="Z982" i="2"/>
  <c r="AB983" i="2" l="1"/>
  <c r="B984" i="2" l="1"/>
  <c r="H984" i="2" s="1"/>
  <c r="G983" i="2"/>
  <c r="F983" i="2"/>
  <c r="J983" i="2" s="1"/>
  <c r="AC983" i="2"/>
  <c r="AE983" i="2"/>
  <c r="AD983" i="2" s="1"/>
  <c r="L983" i="2" s="1"/>
  <c r="U983" i="2"/>
  <c r="AF984" i="2"/>
  <c r="I983" i="2" l="1"/>
  <c r="W983" i="2"/>
  <c r="X983" i="2" s="1"/>
  <c r="C984" i="2"/>
  <c r="D984" i="2" s="1"/>
  <c r="E984" i="2" s="1"/>
  <c r="T984" i="2" s="1"/>
  <c r="K983" i="2"/>
  <c r="V984" i="2" l="1"/>
  <c r="N983" i="2"/>
  <c r="O983" i="2" l="1"/>
  <c r="Q983" i="2" s="1"/>
  <c r="M983" i="2"/>
  <c r="P983" i="2" s="1"/>
  <c r="AG983" i="2" l="1"/>
  <c r="R983" i="2"/>
  <c r="S983" i="2" s="1"/>
  <c r="Y983" i="2" l="1"/>
  <c r="AA983" i="2" s="1"/>
  <c r="AB984" i="2" s="1"/>
  <c r="Z983" i="2"/>
  <c r="B985" i="2" l="1"/>
  <c r="H985" i="2" s="1"/>
  <c r="G984" i="2"/>
  <c r="F984" i="2"/>
  <c r="AE984" i="2"/>
  <c r="AC984" i="2"/>
  <c r="U984" i="2"/>
  <c r="AF985" i="2" l="1"/>
  <c r="C985" i="2"/>
  <c r="AD984" i="2"/>
  <c r="L984" i="2" s="1"/>
  <c r="J984" i="2"/>
  <c r="W984" i="2"/>
  <c r="X984" i="2" s="1"/>
  <c r="I984" i="2" l="1"/>
  <c r="D985" i="2"/>
  <c r="E985" i="2" s="1"/>
  <c r="T985" i="2" s="1"/>
  <c r="K984" i="2"/>
  <c r="V985" i="2" l="1"/>
  <c r="N984" i="2"/>
  <c r="O984" i="2" l="1"/>
  <c r="Q984" i="2" s="1"/>
  <c r="M984" i="2"/>
  <c r="P984" i="2" s="1"/>
  <c r="AG984" i="2" l="1"/>
  <c r="R984" i="2"/>
  <c r="S984" i="2" s="1"/>
  <c r="Y984" i="2" l="1"/>
  <c r="AA984" i="2" s="1"/>
  <c r="AB985" i="2" s="1"/>
  <c r="Z984" i="2"/>
  <c r="B986" i="2" l="1"/>
  <c r="H986" i="2" s="1"/>
  <c r="G985" i="2"/>
  <c r="F985" i="2"/>
  <c r="AC985" i="2"/>
  <c r="AE985" i="2"/>
  <c r="U985" i="2"/>
  <c r="AD985" i="2" l="1"/>
  <c r="L985" i="2" s="1"/>
  <c r="AF986" i="2"/>
  <c r="C986" i="2"/>
  <c r="J985" i="2"/>
  <c r="W985" i="2"/>
  <c r="X985" i="2" s="1"/>
  <c r="K985" i="2" l="1"/>
  <c r="I985" i="2"/>
  <c r="D986" i="2"/>
  <c r="E986" i="2" s="1"/>
  <c r="T986" i="2" s="1"/>
  <c r="N985" i="2" l="1"/>
  <c r="V986" i="2"/>
  <c r="O985" i="2" l="1"/>
  <c r="R985" i="2" s="1"/>
  <c r="M985" i="2"/>
  <c r="P985" i="2" s="1"/>
  <c r="AG985" i="2" l="1"/>
  <c r="Q985" i="2"/>
  <c r="S985" i="2" s="1"/>
  <c r="Y985" i="2" s="1"/>
  <c r="AA985" i="2" s="1"/>
  <c r="Z985" i="2" l="1"/>
  <c r="AB986" i="2"/>
  <c r="B987" i="2" l="1"/>
  <c r="H987" i="2" s="1"/>
  <c r="G986" i="2"/>
  <c r="F986" i="2"/>
  <c r="AE986" i="2"/>
  <c r="AC986" i="2"/>
  <c r="U986" i="2"/>
  <c r="J986" i="2" l="1"/>
  <c r="W986" i="2"/>
  <c r="X986" i="2" s="1"/>
  <c r="AD986" i="2"/>
  <c r="L986" i="2" s="1"/>
  <c r="C987" i="2"/>
  <c r="AF987" i="2"/>
  <c r="K986" i="2" l="1"/>
  <c r="D987" i="2"/>
  <c r="E987" i="2" s="1"/>
  <c r="T987" i="2" s="1"/>
  <c r="I986" i="2"/>
  <c r="N986" i="2" l="1"/>
  <c r="V987" i="2"/>
  <c r="O986" i="2" l="1"/>
  <c r="Q986" i="2" s="1"/>
  <c r="M986" i="2"/>
  <c r="P986" i="2" s="1"/>
  <c r="AG986" i="2" l="1"/>
  <c r="R986" i="2"/>
  <c r="S986" i="2" s="1"/>
  <c r="Y986" i="2" l="1"/>
  <c r="AA986" i="2" s="1"/>
  <c r="AB987" i="2" s="1"/>
  <c r="Z986" i="2"/>
  <c r="B988" i="2" l="1"/>
  <c r="H988" i="2" s="1"/>
  <c r="G987" i="2"/>
  <c r="F987" i="2"/>
  <c r="AC987" i="2"/>
  <c r="AE987" i="2"/>
  <c r="U987" i="2"/>
  <c r="J987" i="2" l="1"/>
  <c r="W987" i="2"/>
  <c r="X987" i="2" s="1"/>
  <c r="AF988" i="2"/>
  <c r="C988" i="2"/>
  <c r="AD987" i="2"/>
  <c r="L987" i="2" s="1"/>
  <c r="K987" i="2" l="1"/>
  <c r="D988" i="2"/>
  <c r="E988" i="2" s="1"/>
  <c r="T988" i="2" s="1"/>
  <c r="I987" i="2"/>
  <c r="N987" i="2" l="1"/>
  <c r="V988" i="2"/>
  <c r="O987" i="2" l="1"/>
  <c r="R987" i="2" s="1"/>
  <c r="M987" i="2"/>
  <c r="P987" i="2" s="1"/>
  <c r="AG987" i="2" l="1"/>
  <c r="Q987" i="2"/>
  <c r="S987" i="2" s="1"/>
  <c r="Y987" i="2" s="1"/>
  <c r="AA987" i="2" s="1"/>
  <c r="Z987" i="2" l="1"/>
  <c r="AB988" i="2"/>
  <c r="B989" i="2" l="1"/>
  <c r="H989" i="2" s="1"/>
  <c r="G988" i="2"/>
  <c r="F988" i="2"/>
  <c r="AE988" i="2"/>
  <c r="AC988" i="2"/>
  <c r="U988" i="2"/>
  <c r="AD988" i="2" l="1"/>
  <c r="L988" i="2" s="1"/>
  <c r="AF989" i="2"/>
  <c r="C989" i="2"/>
  <c r="J988" i="2"/>
  <c r="W988" i="2"/>
  <c r="X988" i="2" s="1"/>
  <c r="K988" i="2" l="1"/>
  <c r="I988" i="2"/>
  <c r="D989" i="2"/>
  <c r="E989" i="2" s="1"/>
  <c r="T989" i="2" s="1"/>
  <c r="N988" i="2" l="1"/>
  <c r="V989" i="2"/>
  <c r="O988" i="2" l="1"/>
  <c r="R988" i="2" s="1"/>
  <c r="M988" i="2"/>
  <c r="P988" i="2" s="1"/>
  <c r="AG988" i="2" l="1"/>
  <c r="Q988" i="2"/>
  <c r="S988" i="2" s="1"/>
  <c r="Y988" i="2" s="1"/>
  <c r="AA988" i="2" s="1"/>
  <c r="Z988" i="2" l="1"/>
  <c r="AB989" i="2"/>
  <c r="B990" i="2" l="1"/>
  <c r="H990" i="2" s="1"/>
  <c r="G989" i="2"/>
  <c r="F989" i="2"/>
  <c r="AC989" i="2"/>
  <c r="AE989" i="2"/>
  <c r="U989" i="2"/>
  <c r="AF990" i="2" l="1"/>
  <c r="C990" i="2"/>
  <c r="AD989" i="2"/>
  <c r="L989" i="2" s="1"/>
  <c r="J989" i="2"/>
  <c r="W989" i="2"/>
  <c r="X989" i="2" s="1"/>
  <c r="I989" i="2" l="1"/>
  <c r="D990" i="2"/>
  <c r="E990" i="2" s="1"/>
  <c r="T990" i="2" s="1"/>
  <c r="K989" i="2"/>
  <c r="V990" i="2" l="1"/>
  <c r="N989" i="2"/>
  <c r="O989" i="2" l="1"/>
  <c r="R989" i="2" s="1"/>
  <c r="M989" i="2"/>
  <c r="P989" i="2" s="1"/>
  <c r="AG989" i="2" l="1"/>
  <c r="Q989" i="2"/>
  <c r="S989" i="2" s="1"/>
  <c r="Y989" i="2" s="1"/>
  <c r="AA989" i="2" s="1"/>
  <c r="Z989" i="2" l="1"/>
  <c r="AB990" i="2"/>
  <c r="B991" i="2" l="1"/>
  <c r="H991" i="2" s="1"/>
  <c r="G990" i="2"/>
  <c r="F990" i="2"/>
  <c r="AC990" i="2"/>
  <c r="AE990" i="2"/>
  <c r="U990" i="2"/>
  <c r="AD990" i="2" l="1"/>
  <c r="L990" i="2" s="1"/>
  <c r="J990" i="2"/>
  <c r="W990" i="2"/>
  <c r="X990" i="2" s="1"/>
  <c r="AF991" i="2"/>
  <c r="C991" i="2"/>
  <c r="K990" i="2" l="1"/>
  <c r="I990" i="2"/>
  <c r="D991" i="2"/>
  <c r="E991" i="2" s="1"/>
  <c r="T991" i="2" s="1"/>
  <c r="N990" i="2" l="1"/>
  <c r="M990" i="2" s="1"/>
  <c r="P990" i="2" s="1"/>
  <c r="V991" i="2"/>
  <c r="AG990" i="2" l="1"/>
  <c r="O990" i="2"/>
  <c r="R990" i="2" s="1"/>
  <c r="Q990" i="2" l="1"/>
  <c r="S990" i="2" s="1"/>
  <c r="Y990" i="2" s="1"/>
  <c r="AA990" i="2" s="1"/>
  <c r="Z990" i="2" l="1"/>
  <c r="AB991" i="2"/>
  <c r="B992" i="2" l="1"/>
  <c r="H992" i="2" s="1"/>
  <c r="G991" i="2"/>
  <c r="F991" i="2"/>
  <c r="AE991" i="2"/>
  <c r="AC991" i="2"/>
  <c r="U991" i="2"/>
  <c r="J991" i="2" l="1"/>
  <c r="W991" i="2"/>
  <c r="X991" i="2" s="1"/>
  <c r="AD991" i="2"/>
  <c r="L991" i="2" s="1"/>
  <c r="AF992" i="2"/>
  <c r="C992" i="2"/>
  <c r="I991" i="2" l="1"/>
  <c r="D992" i="2"/>
  <c r="E992" i="2" s="1"/>
  <c r="T992" i="2" s="1"/>
  <c r="K991" i="2"/>
  <c r="V992" i="2" l="1"/>
  <c r="N991" i="2"/>
  <c r="O991" i="2" l="1"/>
  <c r="Q991" i="2" s="1"/>
  <c r="M991" i="2"/>
  <c r="P991" i="2" s="1"/>
  <c r="AG991" i="2" l="1"/>
  <c r="R991" i="2"/>
  <c r="S991" i="2" s="1"/>
  <c r="Y991" i="2" s="1"/>
  <c r="AA991" i="2" s="1"/>
  <c r="Z991" i="2" l="1"/>
  <c r="AB992" i="2"/>
  <c r="B993" i="2" l="1"/>
  <c r="H993" i="2" s="1"/>
  <c r="G992" i="2"/>
  <c r="F992" i="2"/>
  <c r="AC992" i="2"/>
  <c r="AE992" i="2"/>
  <c r="U992" i="2"/>
  <c r="AD992" i="2" l="1"/>
  <c r="L992" i="2" s="1"/>
  <c r="AF993" i="2"/>
  <c r="C993" i="2"/>
  <c r="J992" i="2"/>
  <c r="W992" i="2"/>
  <c r="X992" i="2" s="1"/>
  <c r="K992" i="2" l="1"/>
  <c r="I992" i="2"/>
  <c r="D993" i="2"/>
  <c r="E993" i="2" s="1"/>
  <c r="T993" i="2" s="1"/>
  <c r="N992" i="2" l="1"/>
  <c r="V993" i="2"/>
  <c r="O992" i="2" l="1"/>
  <c r="R992" i="2" s="1"/>
  <c r="M992" i="2"/>
  <c r="P992" i="2" s="1"/>
  <c r="AG992" i="2" l="1"/>
  <c r="Q992" i="2"/>
  <c r="S992" i="2" s="1"/>
  <c r="Z992" i="2" s="1"/>
  <c r="Y992" i="2" l="1"/>
  <c r="AA992" i="2" s="1"/>
  <c r="AB993" i="2" s="1"/>
  <c r="B994" i="2" l="1"/>
  <c r="H994" i="2" s="1"/>
  <c r="G993" i="2"/>
  <c r="F993" i="2"/>
  <c r="AE993" i="2"/>
  <c r="AC993" i="2"/>
  <c r="U993" i="2"/>
  <c r="C994" i="2" l="1"/>
  <c r="AF994" i="2"/>
  <c r="J993" i="2"/>
  <c r="W993" i="2"/>
  <c r="X993" i="2" s="1"/>
  <c r="AD993" i="2"/>
  <c r="L993" i="2" s="1"/>
  <c r="K993" i="2" l="1"/>
  <c r="D994" i="2"/>
  <c r="E994" i="2" s="1"/>
  <c r="T994" i="2" s="1"/>
  <c r="I993" i="2"/>
  <c r="N993" i="2" l="1"/>
  <c r="M993" i="2" s="1"/>
  <c r="P993" i="2" s="1"/>
  <c r="V994" i="2"/>
  <c r="AG993" i="2" l="1"/>
  <c r="O993" i="2"/>
  <c r="R993" i="2" s="1"/>
  <c r="Q993" i="2" l="1"/>
  <c r="S993" i="2" s="1"/>
  <c r="Y993" i="2" s="1"/>
  <c r="AA993" i="2" s="1"/>
  <c r="Z993" i="2" l="1"/>
  <c r="AB994" i="2"/>
  <c r="B995" i="2" l="1"/>
  <c r="H995" i="2" s="1"/>
  <c r="G994" i="2"/>
  <c r="F994" i="2"/>
  <c r="AC994" i="2"/>
  <c r="AE994" i="2"/>
  <c r="U994" i="2"/>
  <c r="AD994" i="2" l="1"/>
  <c r="L994" i="2" s="1"/>
  <c r="AF995" i="2"/>
  <c r="C995" i="2"/>
  <c r="J994" i="2"/>
  <c r="W994" i="2"/>
  <c r="X994" i="2" s="1"/>
  <c r="I994" i="2" l="1"/>
  <c r="K994" i="2"/>
  <c r="D995" i="2"/>
  <c r="E995" i="2" s="1"/>
  <c r="T995" i="2" s="1"/>
  <c r="V995" i="2" l="1"/>
  <c r="N994" i="2"/>
  <c r="O994" i="2" l="1"/>
  <c r="Q994" i="2" s="1"/>
  <c r="M994" i="2"/>
  <c r="P994" i="2" s="1"/>
  <c r="AG994" i="2" l="1"/>
  <c r="R994" i="2"/>
  <c r="S994" i="2" s="1"/>
  <c r="Y994" i="2" s="1"/>
  <c r="AA994" i="2" s="1"/>
  <c r="Z994" i="2" l="1"/>
  <c r="AB995" i="2"/>
  <c r="B996" i="2" l="1"/>
  <c r="H996" i="2" s="1"/>
  <c r="G995" i="2"/>
  <c r="F995" i="2"/>
  <c r="AC995" i="2"/>
  <c r="AE995" i="2"/>
  <c r="U995" i="2"/>
  <c r="AD995" i="2" l="1"/>
  <c r="L995" i="2" s="1"/>
  <c r="C996" i="2"/>
  <c r="AF996" i="2"/>
  <c r="J995" i="2"/>
  <c r="W995" i="2"/>
  <c r="X995" i="2" s="1"/>
  <c r="K995" i="2" l="1"/>
  <c r="I995" i="2"/>
  <c r="D996" i="2"/>
  <c r="E996" i="2" s="1"/>
  <c r="T996" i="2" s="1"/>
  <c r="N995" i="2" l="1"/>
  <c r="V996" i="2"/>
  <c r="O995" i="2" l="1"/>
  <c r="R995" i="2" s="1"/>
  <c r="M995" i="2"/>
  <c r="P995" i="2" s="1"/>
  <c r="AG995" i="2" l="1"/>
  <c r="Q995" i="2"/>
  <c r="S995" i="2" s="1"/>
  <c r="Y995" i="2" s="1"/>
  <c r="AA995" i="2" s="1"/>
  <c r="Z995" i="2" l="1"/>
  <c r="AB996" i="2"/>
  <c r="B997" i="2" l="1"/>
  <c r="H997" i="2" s="1"/>
  <c r="G996" i="2"/>
  <c r="F996" i="2"/>
  <c r="AE996" i="2"/>
  <c r="AC996" i="2"/>
  <c r="U996" i="2"/>
  <c r="AD996" i="2" l="1"/>
  <c r="L996" i="2" s="1"/>
  <c r="AF997" i="2"/>
  <c r="C997" i="2"/>
  <c r="J996" i="2"/>
  <c r="W996" i="2"/>
  <c r="X996" i="2" s="1"/>
  <c r="K996" i="2" l="1"/>
  <c r="I996" i="2"/>
  <c r="D997" i="2"/>
  <c r="E997" i="2" s="1"/>
  <c r="T997" i="2" s="1"/>
  <c r="N996" i="2" l="1"/>
  <c r="V997" i="2"/>
  <c r="O996" i="2" l="1"/>
  <c r="R996" i="2" s="1"/>
  <c r="M996" i="2"/>
  <c r="P996" i="2" s="1"/>
  <c r="AG996" i="2" l="1"/>
  <c r="Q996" i="2"/>
  <c r="S996" i="2" s="1"/>
  <c r="Y996" i="2" s="1"/>
  <c r="AA996" i="2" s="1"/>
  <c r="Z996" i="2" l="1"/>
  <c r="AB997" i="2"/>
  <c r="B998" i="2" l="1"/>
  <c r="H998" i="2" s="1"/>
  <c r="G997" i="2"/>
  <c r="F997" i="2"/>
  <c r="AC997" i="2"/>
  <c r="AE997" i="2"/>
  <c r="U997" i="2"/>
  <c r="AD997" i="2" l="1"/>
  <c r="L997" i="2" s="1"/>
  <c r="J997" i="2"/>
  <c r="W997" i="2"/>
  <c r="X997" i="2" s="1"/>
  <c r="AF998" i="2"/>
  <c r="C998" i="2"/>
  <c r="K997" i="2" l="1"/>
  <c r="I997" i="2"/>
  <c r="D998" i="2"/>
  <c r="E998" i="2" s="1"/>
  <c r="T998" i="2" s="1"/>
  <c r="N997" i="2" l="1"/>
  <c r="V998" i="2"/>
  <c r="O997" i="2" l="1"/>
  <c r="Q997" i="2" s="1"/>
  <c r="M997" i="2"/>
  <c r="P997" i="2" s="1"/>
  <c r="AG997" i="2" l="1"/>
  <c r="R997" i="2"/>
  <c r="S997" i="2" s="1"/>
  <c r="Y997" i="2" l="1"/>
  <c r="AA997" i="2" s="1"/>
  <c r="Z997" i="2"/>
  <c r="AB998" i="2" l="1"/>
  <c r="B999" i="2" l="1"/>
  <c r="H999" i="2" s="1"/>
  <c r="G998" i="2"/>
  <c r="F998" i="2"/>
  <c r="AE998" i="2"/>
  <c r="AC998" i="2"/>
  <c r="U998" i="2"/>
  <c r="J998" i="2" l="1"/>
  <c r="W998" i="2"/>
  <c r="X998" i="2" s="1"/>
  <c r="AD998" i="2"/>
  <c r="L998" i="2" s="1"/>
  <c r="AF999" i="2"/>
  <c r="C999" i="2"/>
  <c r="K998" i="2" l="1"/>
  <c r="D999" i="2"/>
  <c r="E999" i="2" s="1"/>
  <c r="T999" i="2" s="1"/>
  <c r="I998" i="2"/>
  <c r="N998" i="2" l="1"/>
  <c r="M998" i="2" s="1"/>
  <c r="P998" i="2" s="1"/>
  <c r="V999" i="2"/>
  <c r="AG998" i="2" l="1"/>
  <c r="O998" i="2"/>
  <c r="Q998" i="2" s="1"/>
  <c r="R998" i="2" l="1"/>
  <c r="S998" i="2" s="1"/>
  <c r="Y998" i="2" s="1"/>
  <c r="AA998" i="2" s="1"/>
  <c r="Z998" i="2" l="1"/>
  <c r="AB999" i="2"/>
  <c r="B1000" i="2" l="1"/>
  <c r="H1000" i="2" s="1"/>
  <c r="G999" i="2"/>
  <c r="F999" i="2"/>
  <c r="AC999" i="2"/>
  <c r="AE999" i="2"/>
  <c r="U999" i="2"/>
  <c r="AD999" i="2" l="1"/>
  <c r="L999" i="2" s="1"/>
  <c r="J999" i="2"/>
  <c r="W999" i="2"/>
  <c r="X999" i="2" s="1"/>
  <c r="C1000" i="2"/>
  <c r="AF1000" i="2"/>
  <c r="K999" i="2" l="1"/>
  <c r="I999" i="2"/>
  <c r="D1000" i="2"/>
  <c r="E1000" i="2" s="1"/>
  <c r="T1000" i="2" s="1"/>
  <c r="N999" i="2" l="1"/>
  <c r="V1000" i="2"/>
  <c r="O999" i="2" l="1"/>
  <c r="R999" i="2" s="1"/>
  <c r="M999" i="2"/>
  <c r="P999" i="2" s="1"/>
  <c r="AG999" i="2" l="1"/>
  <c r="Q999" i="2"/>
  <c r="S999" i="2" s="1"/>
  <c r="Y999" i="2" s="1"/>
  <c r="AA999" i="2" s="1"/>
  <c r="Z999" i="2" l="1"/>
  <c r="AB1000" i="2"/>
  <c r="B1001" i="2" l="1"/>
  <c r="H1001" i="2" s="1"/>
  <c r="G1000" i="2"/>
  <c r="F1000" i="2"/>
  <c r="AC1000" i="2"/>
  <c r="AE1000" i="2"/>
  <c r="U1000" i="2"/>
  <c r="AD1000" i="2" l="1"/>
  <c r="L1000" i="2" s="1"/>
  <c r="J1000" i="2"/>
  <c r="W1000" i="2"/>
  <c r="X1000" i="2" s="1"/>
  <c r="AF1001" i="2"/>
  <c r="C1001" i="2"/>
  <c r="I1000" i="2" l="1"/>
  <c r="D1001" i="2"/>
  <c r="E1001" i="2" s="1"/>
  <c r="T1001" i="2" s="1"/>
  <c r="K1000" i="2"/>
  <c r="V1001" i="2" l="1"/>
  <c r="N1000" i="2"/>
  <c r="O1000" i="2" l="1"/>
  <c r="R1000" i="2" s="1"/>
  <c r="M1000" i="2"/>
  <c r="P1000" i="2" s="1"/>
  <c r="AG1000" i="2" l="1"/>
  <c r="Q1000" i="2"/>
  <c r="S1000" i="2" s="1"/>
  <c r="Y1000" i="2" s="1"/>
  <c r="AA1000" i="2" s="1"/>
  <c r="Z1000" i="2" l="1"/>
  <c r="AB1001" i="2"/>
  <c r="B1002" i="2" l="1"/>
  <c r="H1002" i="2" s="1"/>
  <c r="G1001" i="2"/>
  <c r="F1001" i="2"/>
  <c r="AC1001" i="2"/>
  <c r="AE1001" i="2"/>
  <c r="U1001" i="2"/>
  <c r="AD1001" i="2" l="1"/>
  <c r="L1001" i="2" s="1"/>
  <c r="AF1002" i="2"/>
  <c r="C1002" i="2"/>
  <c r="J1001" i="2"/>
  <c r="W1001" i="2"/>
  <c r="X1001" i="2" s="1"/>
  <c r="K1001" i="2" l="1"/>
  <c r="I1001" i="2"/>
  <c r="D1002" i="2"/>
  <c r="E1002" i="2" s="1"/>
  <c r="T1002" i="2" s="1"/>
  <c r="N1001" i="2" l="1"/>
  <c r="V1002" i="2"/>
  <c r="O1001" i="2" l="1"/>
  <c r="R1001" i="2" s="1"/>
  <c r="M1001" i="2"/>
  <c r="P1001" i="2" s="1"/>
  <c r="AG1001" i="2" l="1"/>
  <c r="Q1001" i="2"/>
  <c r="S1001" i="2" s="1"/>
  <c r="Y1001" i="2" s="1"/>
  <c r="AA1001" i="2" s="1"/>
  <c r="Z1001" i="2" l="1"/>
  <c r="AB1002" i="2"/>
  <c r="B1003" i="2" l="1"/>
  <c r="H1003" i="2" s="1"/>
  <c r="G1002" i="2"/>
  <c r="F1002" i="2"/>
  <c r="AE1002" i="2"/>
  <c r="AC1002" i="2"/>
  <c r="U1002" i="2"/>
  <c r="J1002" i="2" l="1"/>
  <c r="W1002" i="2"/>
  <c r="X1002" i="2" s="1"/>
  <c r="AD1002" i="2"/>
  <c r="L1002" i="2" s="1"/>
  <c r="AF1003" i="2"/>
  <c r="C1003" i="2"/>
  <c r="D1003" i="2" l="1"/>
  <c r="E1003" i="2" s="1"/>
  <c r="T1003" i="2" s="1"/>
  <c r="K1002" i="2"/>
  <c r="I1002" i="2"/>
  <c r="N1002" i="2" l="1"/>
  <c r="V1003" i="2"/>
  <c r="O1002" i="2" l="1"/>
  <c r="R1002" i="2" s="1"/>
  <c r="M1002" i="2"/>
  <c r="P1002" i="2" s="1"/>
  <c r="AG1002" i="2" l="1"/>
  <c r="Q1002" i="2"/>
  <c r="S1002" i="2" s="1"/>
  <c r="Y1002" i="2" s="1"/>
  <c r="AA1002" i="2" s="1"/>
  <c r="Z1002" i="2" l="1"/>
  <c r="AB1003" i="2"/>
  <c r="B1004" i="2" l="1"/>
  <c r="H1004" i="2" s="1"/>
  <c r="G1003" i="2"/>
  <c r="F1003" i="2"/>
  <c r="AC1003" i="2"/>
  <c r="AE1003" i="2"/>
  <c r="U1003" i="2"/>
  <c r="AD1003" i="2" l="1"/>
  <c r="L1003" i="2" s="1"/>
  <c r="AF1004" i="2"/>
  <c r="C1004" i="2"/>
  <c r="J1003" i="2"/>
  <c r="W1003" i="2"/>
  <c r="X1003" i="2" s="1"/>
  <c r="I1003" i="2" l="1"/>
  <c r="K1003" i="2"/>
  <c r="D1004" i="2"/>
  <c r="E1004" i="2" s="1"/>
  <c r="T1004" i="2" s="1"/>
  <c r="V1004" i="2" l="1"/>
  <c r="N1003" i="2"/>
  <c r="O1003" i="2" l="1"/>
  <c r="R1003" i="2" s="1"/>
  <c r="M1003" i="2"/>
  <c r="P1003" i="2" s="1"/>
  <c r="AG1003" i="2" l="1"/>
  <c r="Q1003" i="2"/>
  <c r="S1003" i="2" s="1"/>
  <c r="Y1003" i="2" s="1"/>
  <c r="AA1003" i="2" s="1"/>
  <c r="Z1003" i="2" l="1"/>
  <c r="AB1004" i="2"/>
  <c r="B1005" i="2" l="1"/>
  <c r="H1005" i="2" s="1"/>
  <c r="G1004" i="2"/>
  <c r="F1004" i="2"/>
  <c r="AC1004" i="2"/>
  <c r="AE1004" i="2"/>
  <c r="U1004" i="2"/>
  <c r="J1004" i="2" l="1"/>
  <c r="W1004" i="2"/>
  <c r="X1004" i="2" s="1"/>
  <c r="AD1004" i="2"/>
  <c r="L1004" i="2" s="1"/>
  <c r="C1005" i="2"/>
  <c r="AF1005" i="2"/>
  <c r="D1005" i="2" l="1"/>
  <c r="E1005" i="2" s="1"/>
  <c r="T1005" i="2" s="1"/>
  <c r="K1004" i="2"/>
  <c r="I1004" i="2"/>
  <c r="N1004" i="2" l="1"/>
  <c r="M1004" i="2" s="1"/>
  <c r="P1004" i="2" s="1"/>
  <c r="V1005" i="2"/>
  <c r="AG1004" i="2" l="1"/>
  <c r="O1004" i="2"/>
  <c r="Q1004" i="2" s="1"/>
  <c r="R1004" i="2" l="1"/>
  <c r="S1004" i="2" s="1"/>
  <c r="Z1004" i="2" s="1"/>
  <c r="Y1004" i="2" l="1"/>
  <c r="AA1004" i="2" s="1"/>
  <c r="AB1005" i="2" s="1"/>
  <c r="B1006" i="2" l="1"/>
  <c r="H1006" i="2" s="1"/>
  <c r="G1005" i="2"/>
  <c r="F1005" i="2"/>
  <c r="AE1005" i="2"/>
  <c r="AC1005" i="2"/>
  <c r="U1005" i="2"/>
  <c r="AF1006" i="2" l="1"/>
  <c r="C1006" i="2"/>
  <c r="AD1005" i="2"/>
  <c r="L1005" i="2" s="1"/>
  <c r="J1005" i="2"/>
  <c r="W1005" i="2"/>
  <c r="X1005" i="2" s="1"/>
  <c r="K1005" i="2" l="1"/>
  <c r="I1005" i="2"/>
  <c r="D1006" i="2"/>
  <c r="E1006" i="2" s="1"/>
  <c r="T1006" i="2" s="1"/>
  <c r="N1005" i="2" l="1"/>
  <c r="V1006" i="2"/>
  <c r="O1005" i="2" l="1"/>
  <c r="R1005" i="2" s="1"/>
  <c r="M1005" i="2"/>
  <c r="P1005" i="2" s="1"/>
  <c r="AG1005" i="2" l="1"/>
  <c r="Q1005" i="2"/>
  <c r="S1005" i="2" s="1"/>
  <c r="Y1005" i="2" s="1"/>
  <c r="AA1005" i="2" s="1"/>
  <c r="Z1005" i="2" l="1"/>
  <c r="AB1006" i="2"/>
  <c r="B1007" i="2" l="1"/>
  <c r="H1007" i="2" s="1"/>
  <c r="G1006" i="2"/>
  <c r="F1006" i="2"/>
  <c r="AE1006" i="2"/>
  <c r="AC1006" i="2"/>
  <c r="U1006" i="2"/>
  <c r="C1007" i="2" l="1"/>
  <c r="AF1007" i="2"/>
  <c r="AD1006" i="2"/>
  <c r="L1006" i="2" s="1"/>
  <c r="J1006" i="2"/>
  <c r="W1006" i="2"/>
  <c r="X1006" i="2" s="1"/>
  <c r="K1006" i="2" l="1"/>
  <c r="I1006" i="2"/>
  <c r="D1007" i="2"/>
  <c r="E1007" i="2" s="1"/>
  <c r="T1007" i="2" s="1"/>
  <c r="N1006" i="2" l="1"/>
  <c r="V1007" i="2"/>
  <c r="O1006" i="2" l="1"/>
  <c r="Q1006" i="2" s="1"/>
  <c r="M1006" i="2"/>
  <c r="P1006" i="2" s="1"/>
  <c r="AG1006" i="2" l="1"/>
  <c r="R1006" i="2"/>
  <c r="S1006" i="2" s="1"/>
  <c r="Y1006" i="2" l="1"/>
  <c r="AA1006" i="2" s="1"/>
  <c r="Z1006" i="2"/>
  <c r="AB1007" i="2" l="1"/>
  <c r="B1008" i="2" l="1"/>
  <c r="H1008" i="2" s="1"/>
  <c r="G1007" i="2"/>
  <c r="F1007" i="2"/>
  <c r="AE1007" i="2"/>
  <c r="AC1007" i="2"/>
  <c r="U1007" i="2"/>
  <c r="C1008" i="2" l="1"/>
  <c r="AF1008" i="2"/>
  <c r="J1007" i="2"/>
  <c r="W1007" i="2"/>
  <c r="X1007" i="2" s="1"/>
  <c r="AD1007" i="2"/>
  <c r="L1007" i="2" s="1"/>
  <c r="K1007" i="2" l="1"/>
  <c r="I1007" i="2"/>
  <c r="D1008" i="2"/>
  <c r="E1008" i="2" s="1"/>
  <c r="T1008" i="2" s="1"/>
  <c r="N1007" i="2" l="1"/>
  <c r="M1007" i="2" s="1"/>
  <c r="P1007" i="2" s="1"/>
  <c r="V1008" i="2"/>
  <c r="AG1007" i="2" l="1"/>
  <c r="O1007" i="2"/>
  <c r="Q1007" i="2" s="1"/>
  <c r="R1007" i="2" l="1"/>
  <c r="S1007" i="2" s="1"/>
  <c r="Y1007" i="2" s="1"/>
  <c r="AA1007" i="2" s="1"/>
  <c r="Z1007" i="2" l="1"/>
  <c r="AB1008" i="2"/>
  <c r="B1009" i="2" l="1"/>
  <c r="H1009" i="2" s="1"/>
  <c r="G1008" i="2"/>
  <c r="F1008" i="2"/>
  <c r="AE1008" i="2"/>
  <c r="AC1008" i="2"/>
  <c r="U1008" i="2"/>
  <c r="C1009" i="2" l="1"/>
  <c r="AF1009" i="2"/>
  <c r="J1008" i="2"/>
  <c r="W1008" i="2"/>
  <c r="X1008" i="2" s="1"/>
  <c r="AD1008" i="2"/>
  <c r="L1008" i="2" s="1"/>
  <c r="D1009" i="2" l="1"/>
  <c r="E1009" i="2" s="1"/>
  <c r="T1009" i="2" s="1"/>
  <c r="K1008" i="2"/>
  <c r="I1008" i="2"/>
  <c r="N1008" i="2" l="1"/>
  <c r="V1009" i="2"/>
  <c r="O1008" i="2" l="1"/>
  <c r="R1008" i="2" s="1"/>
  <c r="M1008" i="2"/>
  <c r="P1008" i="2" s="1"/>
  <c r="AG1008" i="2" l="1"/>
  <c r="Q1008" i="2"/>
  <c r="S1008" i="2" s="1"/>
  <c r="Z1008" i="2" s="1"/>
  <c r="Y1008" i="2" l="1"/>
  <c r="AA1008" i="2" s="1"/>
  <c r="AB1009" i="2" s="1"/>
  <c r="B1010" i="2" l="1"/>
  <c r="H1010" i="2" s="1"/>
  <c r="G1009" i="2"/>
  <c r="F1009" i="2"/>
  <c r="AC1009" i="2"/>
  <c r="AE1009" i="2"/>
  <c r="U1009" i="2"/>
  <c r="J1009" i="2" l="1"/>
  <c r="W1009" i="2"/>
  <c r="X1009" i="2" s="1"/>
  <c r="C1010" i="2"/>
  <c r="AF1010" i="2"/>
  <c r="AD1009" i="2"/>
  <c r="L1009" i="2" s="1"/>
  <c r="I1009" i="2" l="1"/>
  <c r="D1010" i="2"/>
  <c r="E1010" i="2" s="1"/>
  <c r="T1010" i="2" s="1"/>
  <c r="K1009" i="2"/>
  <c r="V1010" i="2" l="1"/>
  <c r="N1009" i="2"/>
  <c r="O1009" i="2" l="1"/>
  <c r="R1009" i="2" s="1"/>
  <c r="M1009" i="2"/>
  <c r="P1009" i="2" s="1"/>
  <c r="AG1009" i="2" l="1"/>
  <c r="Q1009" i="2"/>
  <c r="S1009" i="2" s="1"/>
  <c r="Y1009" i="2" s="1"/>
  <c r="AA1009" i="2" s="1"/>
  <c r="Z1009" i="2" l="1"/>
  <c r="AB1010" i="2"/>
  <c r="B1011" i="2" l="1"/>
  <c r="H1011" i="2" s="1"/>
  <c r="G1010" i="2"/>
  <c r="F1010" i="2"/>
  <c r="AC1010" i="2"/>
  <c r="AE1010" i="2"/>
  <c r="U1010" i="2"/>
  <c r="AD1010" i="2" l="1"/>
  <c r="L1010" i="2" s="1"/>
  <c r="J1010" i="2"/>
  <c r="W1010" i="2"/>
  <c r="X1010" i="2" s="1"/>
  <c r="C1011" i="2"/>
  <c r="AF1011" i="2"/>
  <c r="I1010" i="2" l="1"/>
  <c r="D1011" i="2"/>
  <c r="E1011" i="2" s="1"/>
  <c r="T1011" i="2" s="1"/>
  <c r="K1010" i="2"/>
  <c r="N1010" i="2" l="1"/>
  <c r="M1010" i="2" s="1"/>
  <c r="P1010" i="2" s="1"/>
  <c r="V1011" i="2"/>
  <c r="AG1010" i="2" l="1"/>
  <c r="O1010" i="2"/>
  <c r="Q1010" i="2" s="1"/>
  <c r="R1010" i="2" l="1"/>
  <c r="S1010" i="2" s="1"/>
  <c r="Y1010" i="2" s="1"/>
  <c r="AA1010" i="2" s="1"/>
  <c r="Z1010" i="2" l="1"/>
  <c r="AB1011" i="2"/>
  <c r="B1012" i="2" l="1"/>
  <c r="H1012" i="2" s="1"/>
  <c r="G1011" i="2"/>
  <c r="F1011" i="2"/>
  <c r="AE1011" i="2"/>
  <c r="AC1011" i="2"/>
  <c r="U1011" i="2"/>
  <c r="AD1011" i="2" l="1"/>
  <c r="L1011" i="2" s="1"/>
  <c r="J1011" i="2"/>
  <c r="W1011" i="2"/>
  <c r="X1011" i="2" s="1"/>
  <c r="AF1012" i="2"/>
  <c r="C1012" i="2"/>
  <c r="I1011" i="2" l="1"/>
  <c r="K1011" i="2"/>
  <c r="D1012" i="2"/>
  <c r="E1012" i="2" s="1"/>
  <c r="T1012" i="2" s="1"/>
  <c r="V1012" i="2" l="1"/>
  <c r="N1011" i="2"/>
  <c r="O1011" i="2" l="1"/>
  <c r="R1011" i="2" s="1"/>
  <c r="M1011" i="2"/>
  <c r="P1011" i="2" s="1"/>
  <c r="AG1011" i="2" l="1"/>
  <c r="Q1011" i="2"/>
  <c r="S1011" i="2" s="1"/>
  <c r="Z1011" i="2" s="1"/>
  <c r="Y1011" i="2" l="1"/>
  <c r="AA1011" i="2" s="1"/>
  <c r="AB1012" i="2" s="1"/>
  <c r="B1013" i="2" l="1"/>
  <c r="H1013" i="2" s="1"/>
  <c r="G1012" i="2"/>
  <c r="F1012" i="2"/>
  <c r="AE1012" i="2"/>
  <c r="AC1012" i="2"/>
  <c r="U1012" i="2"/>
  <c r="AD1012" i="2" l="1"/>
  <c r="L1012" i="2" s="1"/>
  <c r="J1012" i="2"/>
  <c r="W1012" i="2"/>
  <c r="X1012" i="2" s="1"/>
  <c r="AF1013" i="2"/>
  <c r="C1013" i="2"/>
  <c r="K1012" i="2" l="1"/>
  <c r="D1013" i="2"/>
  <c r="E1013" i="2" s="1"/>
  <c r="T1013" i="2" s="1"/>
  <c r="I1012" i="2"/>
  <c r="N1012" i="2" l="1"/>
  <c r="V1013" i="2"/>
  <c r="O1012" i="2" l="1"/>
  <c r="R1012" i="2" s="1"/>
  <c r="M1012" i="2"/>
  <c r="P1012" i="2" s="1"/>
  <c r="AG1012" i="2" l="1"/>
  <c r="Q1012" i="2"/>
  <c r="S1012" i="2" s="1"/>
  <c r="Y1012" i="2" s="1"/>
  <c r="AA1012" i="2" s="1"/>
  <c r="Z1012" i="2" l="1"/>
  <c r="AB1013" i="2"/>
  <c r="B1014" i="2" l="1"/>
  <c r="H1014" i="2" s="1"/>
  <c r="G1013" i="2"/>
  <c r="F1013" i="2"/>
  <c r="AC1013" i="2"/>
  <c r="AE1013" i="2"/>
  <c r="U1013" i="2"/>
  <c r="AD1013" i="2" l="1"/>
  <c r="L1013" i="2" s="1"/>
  <c r="J1013" i="2"/>
  <c r="W1013" i="2"/>
  <c r="X1013" i="2" s="1"/>
  <c r="AF1014" i="2"/>
  <c r="C1014" i="2"/>
  <c r="K1013" i="2" l="1"/>
  <c r="I1013" i="2"/>
  <c r="D1014" i="2"/>
  <c r="E1014" i="2" s="1"/>
  <c r="T1014" i="2" s="1"/>
  <c r="N1013" i="2" l="1"/>
  <c r="V1014" i="2"/>
  <c r="O1013" i="2" l="1"/>
  <c r="R1013" i="2" s="1"/>
  <c r="M1013" i="2"/>
  <c r="P1013" i="2" s="1"/>
  <c r="AG1013" i="2" l="1"/>
  <c r="Q1013" i="2"/>
  <c r="S1013" i="2" s="1"/>
  <c r="Y1013" i="2" s="1"/>
  <c r="AA1013" i="2" s="1"/>
  <c r="Z1013" i="2" l="1"/>
  <c r="AB1014" i="2"/>
  <c r="B1015" i="2" l="1"/>
  <c r="H1015" i="2" s="1"/>
  <c r="G1014" i="2"/>
  <c r="F1014" i="2"/>
  <c r="AE1014" i="2"/>
  <c r="AC1014" i="2"/>
  <c r="U1014" i="2"/>
  <c r="AF1015" i="2" l="1"/>
  <c r="C1015" i="2"/>
  <c r="AD1014" i="2"/>
  <c r="L1014" i="2" s="1"/>
  <c r="J1014" i="2"/>
  <c r="W1014" i="2"/>
  <c r="X1014" i="2" s="1"/>
  <c r="K1014" i="2" l="1"/>
  <c r="I1014" i="2"/>
  <c r="D1015" i="2"/>
  <c r="E1015" i="2" s="1"/>
  <c r="T1015" i="2" s="1"/>
  <c r="N1014" i="2" l="1"/>
  <c r="V1015" i="2"/>
  <c r="O1014" i="2" l="1"/>
  <c r="Q1014" i="2" s="1"/>
  <c r="M1014" i="2"/>
  <c r="P1014" i="2" s="1"/>
  <c r="AG1014" i="2" l="1"/>
  <c r="R1014" i="2"/>
  <c r="S1014" i="2" s="1"/>
  <c r="Y1014" i="2" l="1"/>
  <c r="AA1014" i="2" s="1"/>
  <c r="AB1015" i="2" s="1"/>
  <c r="Z1014" i="2"/>
  <c r="B1016" i="2" l="1"/>
  <c r="H1016" i="2" s="1"/>
  <c r="G1015" i="2"/>
  <c r="F1015" i="2"/>
  <c r="AE1015" i="2"/>
  <c r="AC1015" i="2"/>
  <c r="U1015" i="2"/>
  <c r="AF1016" i="2" l="1"/>
  <c r="C1016" i="2"/>
  <c r="AD1015" i="2"/>
  <c r="L1015" i="2" s="1"/>
  <c r="J1015" i="2"/>
  <c r="W1015" i="2"/>
  <c r="X1015" i="2" s="1"/>
  <c r="I1015" i="2" l="1"/>
  <c r="D1016" i="2"/>
  <c r="E1016" i="2" s="1"/>
  <c r="T1016" i="2" s="1"/>
  <c r="K1015" i="2"/>
  <c r="V1016" i="2" l="1"/>
  <c r="N1015" i="2"/>
  <c r="O1015" i="2" l="1"/>
  <c r="R1015" i="2" s="1"/>
  <c r="M1015" i="2"/>
  <c r="P1015" i="2" s="1"/>
  <c r="AG1015" i="2" l="1"/>
  <c r="Q1015" i="2"/>
  <c r="S1015" i="2" s="1"/>
  <c r="Y1015" i="2" s="1"/>
  <c r="AA1015" i="2" s="1"/>
  <c r="Z1015" i="2" l="1"/>
  <c r="AB1016" i="2"/>
  <c r="B1017" i="2" l="1"/>
  <c r="H1017" i="2" s="1"/>
  <c r="G1016" i="2"/>
  <c r="F1016" i="2"/>
  <c r="AE1016" i="2"/>
  <c r="AC1016" i="2"/>
  <c r="U1016" i="2"/>
  <c r="AF1017" i="2" l="1"/>
  <c r="C1017" i="2"/>
  <c r="AD1016" i="2"/>
  <c r="L1016" i="2" s="1"/>
  <c r="J1016" i="2"/>
  <c r="W1016" i="2"/>
  <c r="X1016" i="2" s="1"/>
  <c r="D1017" i="2" l="1"/>
  <c r="E1017" i="2" s="1"/>
  <c r="T1017" i="2" s="1"/>
  <c r="K1016" i="2"/>
  <c r="I1016" i="2"/>
  <c r="N1016" i="2" l="1"/>
  <c r="V1017" i="2"/>
  <c r="O1016" i="2" l="1"/>
  <c r="R1016" i="2" s="1"/>
  <c r="M1016" i="2"/>
  <c r="P1016" i="2" s="1"/>
  <c r="AG1016" i="2" l="1"/>
  <c r="Q1016" i="2"/>
  <c r="S1016" i="2" s="1"/>
  <c r="Y1016" i="2" s="1"/>
  <c r="AA1016" i="2" s="1"/>
  <c r="Z1016" i="2" l="1"/>
  <c r="AB1017" i="2"/>
  <c r="B1018" i="2" l="1"/>
  <c r="H1018" i="2" s="1"/>
  <c r="G1017" i="2"/>
  <c r="F1017" i="2"/>
  <c r="AE1017" i="2"/>
  <c r="AC1017" i="2"/>
  <c r="U1017" i="2"/>
  <c r="J1017" i="2" l="1"/>
  <c r="W1017" i="2"/>
  <c r="X1017" i="2" s="1"/>
  <c r="AF1018" i="2"/>
  <c r="C1018" i="2"/>
  <c r="AD1017" i="2"/>
  <c r="L1017" i="2" s="1"/>
  <c r="K1017" i="2" l="1"/>
  <c r="D1018" i="2"/>
  <c r="E1018" i="2" s="1"/>
  <c r="T1018" i="2" s="1"/>
  <c r="I1017" i="2"/>
  <c r="N1017" i="2" l="1"/>
  <c r="V1018" i="2"/>
  <c r="O1017" i="2" l="1"/>
  <c r="R1017" i="2" s="1"/>
  <c r="M1017" i="2"/>
  <c r="P1017" i="2" s="1"/>
  <c r="AG1017" i="2" l="1"/>
  <c r="Q1017" i="2"/>
  <c r="S1017" i="2" s="1"/>
  <c r="Z1017" i="2" s="1"/>
  <c r="Y1017" i="2" l="1"/>
  <c r="AA1017" i="2" s="1"/>
  <c r="AB1018" i="2" s="1"/>
  <c r="B1019" i="2" l="1"/>
  <c r="H1019" i="2" s="1"/>
  <c r="G1018" i="2"/>
  <c r="F1018" i="2"/>
  <c r="AC1018" i="2"/>
  <c r="AE1018" i="2"/>
  <c r="U1018" i="2"/>
  <c r="AD1018" i="2" l="1"/>
  <c r="L1018" i="2" s="1"/>
  <c r="J1018" i="2"/>
  <c r="W1018" i="2"/>
  <c r="X1018" i="2" s="1"/>
  <c r="AF1019" i="2"/>
  <c r="C1019" i="2"/>
  <c r="I1018" i="2" l="1"/>
  <c r="K1018" i="2"/>
  <c r="D1019" i="2"/>
  <c r="E1019" i="2" s="1"/>
  <c r="T1019" i="2" s="1"/>
  <c r="N1018" i="2" l="1"/>
  <c r="M1018" i="2" s="1"/>
  <c r="P1018" i="2" s="1"/>
  <c r="V1019" i="2"/>
  <c r="AG1018" i="2" l="1"/>
  <c r="O1018" i="2"/>
  <c r="Q1018" i="2" s="1"/>
  <c r="R1018" i="2" l="1"/>
  <c r="S1018" i="2" s="1"/>
  <c r="Y1018" i="2" l="1"/>
  <c r="AA1018" i="2" s="1"/>
  <c r="AB1019" i="2" s="1"/>
  <c r="Z1018" i="2"/>
  <c r="B1020" i="2" l="1"/>
  <c r="H1020" i="2" s="1"/>
  <c r="G1019" i="2"/>
  <c r="F1019" i="2"/>
  <c r="AE1019" i="2"/>
  <c r="AC1019" i="2"/>
  <c r="U1019" i="2"/>
  <c r="AF1020" i="2" l="1"/>
  <c r="C1020" i="2"/>
  <c r="AD1019" i="2"/>
  <c r="L1019" i="2" s="1"/>
  <c r="J1019" i="2"/>
  <c r="W1019" i="2"/>
  <c r="X1019" i="2" s="1"/>
  <c r="I1019" i="2" l="1"/>
  <c r="D1020" i="2"/>
  <c r="E1020" i="2" s="1"/>
  <c r="T1020" i="2" s="1"/>
  <c r="K1019" i="2"/>
  <c r="V1020" i="2" l="1"/>
  <c r="N1019" i="2"/>
  <c r="O1019" i="2" l="1"/>
  <c r="Q1019" i="2" s="1"/>
  <c r="M1019" i="2"/>
  <c r="P1019" i="2" s="1"/>
  <c r="AG1019" i="2" l="1"/>
  <c r="R1019" i="2"/>
  <c r="S1019" i="2" s="1"/>
  <c r="Y1019" i="2" l="1"/>
  <c r="AA1019" i="2" s="1"/>
  <c r="AB1020" i="2" s="1"/>
  <c r="Z1019" i="2"/>
  <c r="B1021" i="2" l="1"/>
  <c r="H1021" i="2" s="1"/>
  <c r="G1020" i="2"/>
  <c r="F1020" i="2"/>
  <c r="AE1020" i="2"/>
  <c r="AC1020" i="2"/>
  <c r="U1020" i="2"/>
  <c r="AF1021" i="2" l="1"/>
  <c r="C1021" i="2"/>
  <c r="AD1020" i="2"/>
  <c r="L1020" i="2" s="1"/>
  <c r="J1020" i="2"/>
  <c r="W1020" i="2"/>
  <c r="X1020" i="2" s="1"/>
  <c r="K1020" i="2" l="1"/>
  <c r="D1021" i="2"/>
  <c r="E1021" i="2" s="1"/>
  <c r="T1021" i="2" s="1"/>
  <c r="I1020" i="2"/>
  <c r="N1020" i="2" l="1"/>
  <c r="M1020" i="2" s="1"/>
  <c r="P1020" i="2" s="1"/>
  <c r="V1021" i="2"/>
  <c r="AG1020" i="2" l="1"/>
  <c r="O1020" i="2"/>
  <c r="R1020" i="2" s="1"/>
  <c r="Q1020" i="2" l="1"/>
  <c r="S1020" i="2" s="1"/>
  <c r="Z1020" i="2" s="1"/>
  <c r="Y1020" i="2" l="1"/>
  <c r="AA1020" i="2" s="1"/>
  <c r="AB1021" i="2" s="1"/>
  <c r="B1022" i="2" l="1"/>
  <c r="H1022" i="2" s="1"/>
  <c r="G1021" i="2"/>
  <c r="F1021" i="2"/>
  <c r="AC1021" i="2"/>
  <c r="AE1021" i="2"/>
  <c r="U1021" i="2"/>
  <c r="AD1021" i="2" l="1"/>
  <c r="L1021" i="2" s="1"/>
  <c r="AF1022" i="2"/>
  <c r="C1022" i="2"/>
  <c r="J1021" i="2"/>
  <c r="W1021" i="2"/>
  <c r="X1021" i="2" s="1"/>
  <c r="K1021" i="2" l="1"/>
  <c r="I1021" i="2"/>
  <c r="D1022" i="2"/>
  <c r="E1022" i="2" s="1"/>
  <c r="T1022" i="2" s="1"/>
  <c r="N1021" i="2" l="1"/>
  <c r="V1022" i="2"/>
  <c r="O1021" i="2" l="1"/>
  <c r="Q1021" i="2" s="1"/>
  <c r="M1021" i="2"/>
  <c r="P1021" i="2" s="1"/>
  <c r="AG1021" i="2" l="1"/>
  <c r="R1021" i="2"/>
  <c r="S1021" i="2" s="1"/>
  <c r="Z1021" i="2" s="1"/>
  <c r="Y1021" i="2" l="1"/>
  <c r="AA1021" i="2" s="1"/>
  <c r="AB1022" i="2" l="1"/>
  <c r="B1023" i="2" l="1"/>
  <c r="H1023" i="2" s="1"/>
  <c r="G1022" i="2"/>
  <c r="AE1022" i="2"/>
  <c r="AD1022" i="2" s="1"/>
  <c r="L1022" i="2" s="1"/>
  <c r="AC1022" i="2"/>
  <c r="F1022" i="2"/>
  <c r="U1022" i="2"/>
  <c r="W1022" i="2" l="1"/>
  <c r="X1022" i="2" s="1"/>
  <c r="J1022" i="2"/>
  <c r="C1023" i="2"/>
  <c r="D1023" i="2" s="1"/>
  <c r="E1023" i="2" s="1"/>
  <c r="T1023" i="2" s="1"/>
  <c r="AF1023" i="2"/>
  <c r="I1022" i="2" l="1"/>
  <c r="K1022" i="2"/>
  <c r="V1023" i="2"/>
  <c r="N1022" i="2" l="1"/>
  <c r="O1022" i="2" s="1"/>
  <c r="Q1022" i="2" s="1"/>
  <c r="M1022" i="2"/>
  <c r="P1022" i="2" s="1"/>
  <c r="AG1022" i="2" l="1"/>
  <c r="R1022" i="2"/>
  <c r="S1022" i="2" s="1"/>
  <c r="Y1022" i="2" s="1"/>
  <c r="AA1022" i="2" s="1"/>
  <c r="Z1022" i="2" l="1"/>
  <c r="AB1023" i="2"/>
  <c r="B1024" i="2" l="1"/>
  <c r="H1024" i="2" s="1"/>
  <c r="G1023" i="2"/>
  <c r="F1023" i="2"/>
  <c r="AC1023" i="2"/>
  <c r="AE1023" i="2"/>
  <c r="U1023" i="2"/>
  <c r="J1023" i="2" l="1"/>
  <c r="W1023" i="2"/>
  <c r="X1023" i="2" s="1"/>
  <c r="AD1023" i="2"/>
  <c r="L1023" i="2" s="1"/>
  <c r="AF1024" i="2"/>
  <c r="C1024" i="2"/>
  <c r="K1023" i="2" l="1"/>
  <c r="D1024" i="2"/>
  <c r="E1024" i="2" s="1"/>
  <c r="T1024" i="2" s="1"/>
  <c r="I1023" i="2"/>
  <c r="N1023" i="2" l="1"/>
  <c r="V1024" i="2"/>
  <c r="O1023" i="2" l="1"/>
  <c r="Q1023" i="2" s="1"/>
  <c r="M1023" i="2"/>
  <c r="P1023" i="2" s="1"/>
  <c r="AG1023" i="2" l="1"/>
  <c r="R1023" i="2"/>
  <c r="S1023" i="2" s="1"/>
  <c r="Y1023" i="2" l="1"/>
  <c r="AA1023" i="2" s="1"/>
  <c r="Z1023" i="2"/>
  <c r="AB1024" i="2" l="1"/>
  <c r="B1025" i="2" l="1"/>
  <c r="H1025" i="2" s="1"/>
  <c r="G1024" i="2"/>
  <c r="U1024" i="2"/>
  <c r="AC1024" i="2"/>
  <c r="AE1024" i="2"/>
  <c r="AD1024" i="2" s="1"/>
  <c r="L1024" i="2" s="1"/>
  <c r="F1024" i="2"/>
  <c r="J1024" i="2" s="1"/>
  <c r="W1024" i="2" l="1"/>
  <c r="X1024" i="2" s="1"/>
  <c r="AF1025" i="2"/>
  <c r="C1025" i="2"/>
  <c r="D1025" i="2" s="1"/>
  <c r="E1025" i="2" s="1"/>
  <c r="T1025" i="2" s="1"/>
  <c r="K1024" i="2"/>
  <c r="I1024" i="2"/>
  <c r="N1024" i="2" l="1"/>
  <c r="V1025" i="2"/>
  <c r="O1024" i="2" l="1"/>
  <c r="R1024" i="2" s="1"/>
  <c r="M1024" i="2"/>
  <c r="P1024" i="2" s="1"/>
  <c r="AG1024" i="2" l="1"/>
  <c r="Q1024" i="2"/>
  <c r="S1024" i="2" s="1"/>
  <c r="Y1024" i="2" s="1"/>
  <c r="AA1024" i="2" s="1"/>
  <c r="Z1024" i="2" l="1"/>
  <c r="AB1025" i="2"/>
  <c r="B1026" i="2" l="1"/>
  <c r="H1026" i="2" s="1"/>
  <c r="G1025" i="2"/>
  <c r="F1025" i="2"/>
  <c r="AE1025" i="2"/>
  <c r="AC1025" i="2"/>
  <c r="U1025" i="2"/>
  <c r="J1025" i="2" l="1"/>
  <c r="W1025" i="2"/>
  <c r="X1025" i="2" s="1"/>
  <c r="AD1025" i="2"/>
  <c r="L1025" i="2" s="1"/>
  <c r="AF1026" i="2"/>
  <c r="C1026" i="2"/>
  <c r="K1025" i="2" l="1"/>
  <c r="I1025" i="2"/>
  <c r="D1026" i="2"/>
  <c r="E1026" i="2" s="1"/>
  <c r="T1026" i="2" s="1"/>
  <c r="N1025" i="2" l="1"/>
  <c r="V1026" i="2"/>
  <c r="O1025" i="2" l="1"/>
  <c r="Q1025" i="2" s="1"/>
  <c r="M1025" i="2"/>
  <c r="P1025" i="2" s="1"/>
  <c r="AG1025" i="2" l="1"/>
  <c r="R1025" i="2"/>
  <c r="S1025" i="2" s="1"/>
  <c r="Y1025" i="2" l="1"/>
  <c r="AA1025" i="2" s="1"/>
  <c r="AB1026" i="2" s="1"/>
  <c r="Z1025" i="2"/>
  <c r="B1027" i="2" l="1"/>
  <c r="H1027" i="2" s="1"/>
  <c r="G1026" i="2"/>
  <c r="F1026" i="2"/>
  <c r="AC1026" i="2"/>
  <c r="AE1026" i="2"/>
  <c r="U1026" i="2"/>
  <c r="AD1026" i="2" l="1"/>
  <c r="L1026" i="2" s="1"/>
  <c r="J1026" i="2"/>
  <c r="W1026" i="2"/>
  <c r="X1026" i="2" s="1"/>
  <c r="AF1027" i="2"/>
  <c r="C1027" i="2"/>
  <c r="I1026" i="2" l="1"/>
  <c r="D1027" i="2"/>
  <c r="E1027" i="2" s="1"/>
  <c r="T1027" i="2" s="1"/>
  <c r="K1026" i="2"/>
  <c r="V1027" i="2" l="1"/>
  <c r="N1026" i="2"/>
  <c r="O1026" i="2" l="1"/>
  <c r="R1026" i="2" s="1"/>
  <c r="M1026" i="2"/>
  <c r="P1026" i="2" s="1"/>
  <c r="AG1026" i="2" l="1"/>
  <c r="Q1026" i="2"/>
  <c r="S1026" i="2" s="1"/>
  <c r="Z1026" i="2" s="1"/>
  <c r="Y1026" i="2" l="1"/>
  <c r="AA1026" i="2" s="1"/>
  <c r="AB1027" i="2" s="1"/>
  <c r="B1028" i="2" l="1"/>
  <c r="H1028" i="2" s="1"/>
  <c r="G1027" i="2"/>
  <c r="F1027" i="2"/>
  <c r="AC1027" i="2"/>
  <c r="AE1027" i="2"/>
  <c r="U1027" i="2"/>
  <c r="J1027" i="2" l="1"/>
  <c r="W1027" i="2"/>
  <c r="X1027" i="2" s="1"/>
  <c r="AD1027" i="2"/>
  <c r="L1027" i="2" s="1"/>
  <c r="AF1028" i="2"/>
  <c r="C1028" i="2"/>
  <c r="D1028" i="2" l="1"/>
  <c r="E1028" i="2" s="1"/>
  <c r="T1028" i="2" s="1"/>
  <c r="K1027" i="2"/>
  <c r="I1027" i="2"/>
  <c r="N1027" i="2" l="1"/>
  <c r="M1027" i="2" s="1"/>
  <c r="P1027" i="2" s="1"/>
  <c r="V1028" i="2"/>
  <c r="AG1027" i="2" l="1"/>
  <c r="O1027" i="2"/>
  <c r="Q1027" i="2" s="1"/>
  <c r="R1027" i="2" l="1"/>
  <c r="S1027" i="2" s="1"/>
  <c r="Y1027" i="2" s="1"/>
  <c r="AA1027" i="2" s="1"/>
  <c r="Z1027" i="2" l="1"/>
  <c r="AB1028" i="2"/>
  <c r="B1029" i="2" l="1"/>
  <c r="H1029" i="2" s="1"/>
  <c r="G1028" i="2"/>
  <c r="F1028" i="2"/>
  <c r="AE1028" i="2"/>
  <c r="AC1028" i="2"/>
  <c r="U1028" i="2"/>
  <c r="AD1028" i="2" l="1"/>
  <c r="L1028" i="2" s="1"/>
  <c r="C1029" i="2"/>
  <c r="AF1029" i="2"/>
  <c r="J1028" i="2"/>
  <c r="W1028" i="2"/>
  <c r="X1028" i="2" s="1"/>
  <c r="K1028" i="2" l="1"/>
  <c r="D1029" i="2"/>
  <c r="E1029" i="2" s="1"/>
  <c r="T1029" i="2" s="1"/>
  <c r="I1028" i="2"/>
  <c r="N1028" i="2" l="1"/>
  <c r="M1028" i="2" s="1"/>
  <c r="P1028" i="2" s="1"/>
  <c r="V1029" i="2"/>
  <c r="AG1028" i="2" l="1"/>
  <c r="O1028" i="2"/>
  <c r="R1028" i="2" s="1"/>
  <c r="Q1028" i="2" l="1"/>
  <c r="S1028" i="2" s="1"/>
  <c r="Z1028" i="2" s="1"/>
  <c r="Y1028" i="2" l="1"/>
  <c r="AA1028" i="2" s="1"/>
  <c r="AB1029" i="2" s="1"/>
  <c r="B1030" i="2" l="1"/>
  <c r="H1030" i="2" s="1"/>
  <c r="G1029" i="2"/>
  <c r="F1029" i="2"/>
  <c r="AE1029" i="2"/>
  <c r="AC1029" i="2"/>
  <c r="U1029" i="2"/>
  <c r="AD1029" i="2" l="1"/>
  <c r="L1029" i="2" s="1"/>
  <c r="J1029" i="2"/>
  <c r="W1029" i="2"/>
  <c r="X1029" i="2" s="1"/>
  <c r="AF1030" i="2"/>
  <c r="C1030" i="2"/>
  <c r="I1029" i="2" l="1"/>
  <c r="D1030" i="2"/>
  <c r="E1030" i="2" s="1"/>
  <c r="T1030" i="2" s="1"/>
  <c r="K1029" i="2"/>
  <c r="V1030" i="2" l="1"/>
  <c r="N1029" i="2"/>
  <c r="O1029" i="2" l="1"/>
  <c r="R1029" i="2" s="1"/>
  <c r="M1029" i="2"/>
  <c r="P1029" i="2" s="1"/>
  <c r="AG1029" i="2" l="1"/>
  <c r="Q1029" i="2"/>
  <c r="S1029" i="2" s="1"/>
  <c r="Y1029" i="2" s="1"/>
  <c r="AA1029" i="2" s="1"/>
  <c r="Z1029" i="2" l="1"/>
  <c r="AB1030" i="2"/>
  <c r="B1031" i="2" l="1"/>
  <c r="H1031" i="2" s="1"/>
  <c r="G1030" i="2"/>
  <c r="F1030" i="2"/>
  <c r="AC1030" i="2"/>
  <c r="AE1030" i="2"/>
  <c r="U1030" i="2"/>
  <c r="AD1030" i="2" l="1"/>
  <c r="L1030" i="2" s="1"/>
  <c r="J1030" i="2"/>
  <c r="W1030" i="2"/>
  <c r="X1030" i="2" s="1"/>
  <c r="C1031" i="2"/>
  <c r="AF1031" i="2"/>
  <c r="I1030" i="2" l="1"/>
  <c r="D1031" i="2"/>
  <c r="E1031" i="2" s="1"/>
  <c r="T1031" i="2" s="1"/>
  <c r="K1030" i="2"/>
  <c r="V1031" i="2" l="1"/>
  <c r="N1030" i="2"/>
  <c r="O1030" i="2" l="1"/>
  <c r="Q1030" i="2" s="1"/>
  <c r="M1030" i="2"/>
  <c r="P1030" i="2" s="1"/>
  <c r="AG1030" i="2" l="1"/>
  <c r="R1030" i="2"/>
  <c r="S1030" i="2" s="1"/>
  <c r="Y1030" i="2" s="1"/>
  <c r="AA1030" i="2" s="1"/>
  <c r="Z1030" i="2" l="1"/>
  <c r="AB1031" i="2"/>
  <c r="B1032" i="2" l="1"/>
  <c r="H1032" i="2" s="1"/>
  <c r="G1031" i="2"/>
  <c r="F1031" i="2"/>
  <c r="AC1031" i="2"/>
  <c r="AE1031" i="2"/>
  <c r="U1031" i="2"/>
  <c r="J1031" i="2" l="1"/>
  <c r="W1031" i="2"/>
  <c r="X1031" i="2" s="1"/>
  <c r="AD1031" i="2"/>
  <c r="L1031" i="2" s="1"/>
  <c r="AF1032" i="2"/>
  <c r="C1032" i="2"/>
  <c r="I1031" i="2" l="1"/>
  <c r="D1032" i="2"/>
  <c r="E1032" i="2" s="1"/>
  <c r="T1032" i="2" s="1"/>
  <c r="K1031" i="2"/>
  <c r="V1032" i="2" l="1"/>
  <c r="N1031" i="2"/>
  <c r="O1031" i="2" l="1"/>
  <c r="R1031" i="2" s="1"/>
  <c r="M1031" i="2"/>
  <c r="P1031" i="2" s="1"/>
  <c r="AG1031" i="2" l="1"/>
  <c r="Q1031" i="2"/>
  <c r="S1031" i="2" s="1"/>
  <c r="Y1031" i="2" s="1"/>
  <c r="AA1031" i="2" s="1"/>
  <c r="Z1031" i="2" l="1"/>
  <c r="AB1032" i="2"/>
  <c r="B1033" i="2" l="1"/>
  <c r="H1033" i="2" s="1"/>
  <c r="G1032" i="2"/>
  <c r="F1032" i="2"/>
  <c r="AE1032" i="2"/>
  <c r="AC1032" i="2"/>
  <c r="U1032" i="2"/>
  <c r="J1032" i="2" l="1"/>
  <c r="W1032" i="2"/>
  <c r="X1032" i="2" s="1"/>
  <c r="AD1032" i="2"/>
  <c r="L1032" i="2" s="1"/>
  <c r="C1033" i="2"/>
  <c r="AF1033" i="2"/>
  <c r="D1033" i="2" l="1"/>
  <c r="E1033" i="2" s="1"/>
  <c r="T1033" i="2" s="1"/>
  <c r="K1032" i="2"/>
  <c r="I1032" i="2"/>
  <c r="N1032" i="2" l="1"/>
  <c r="M1032" i="2" s="1"/>
  <c r="P1032" i="2" s="1"/>
  <c r="V1033" i="2"/>
  <c r="AG1032" i="2" l="1"/>
  <c r="O1032" i="2"/>
  <c r="R1032" i="2" s="1"/>
  <c r="Q1032" i="2" l="1"/>
  <c r="S1032" i="2" s="1"/>
  <c r="Y1032" i="2" s="1"/>
  <c r="AA1032" i="2" s="1"/>
  <c r="Z1032" i="2" l="1"/>
  <c r="AB1033" i="2"/>
  <c r="B1034" i="2" l="1"/>
  <c r="H1034" i="2" s="1"/>
  <c r="G1033" i="2"/>
  <c r="F1033" i="2"/>
  <c r="AC1033" i="2"/>
  <c r="AE1033" i="2"/>
  <c r="U1033" i="2"/>
  <c r="AD1033" i="2" l="1"/>
  <c r="L1033" i="2" s="1"/>
  <c r="J1033" i="2"/>
  <c r="W1033" i="2"/>
  <c r="X1033" i="2" s="1"/>
  <c r="AF1034" i="2"/>
  <c r="C1034" i="2"/>
  <c r="K1033" i="2" l="1"/>
  <c r="D1034" i="2"/>
  <c r="E1034" i="2" s="1"/>
  <c r="T1034" i="2" s="1"/>
  <c r="I1033" i="2"/>
  <c r="N1033" i="2" l="1"/>
  <c r="M1033" i="2" s="1"/>
  <c r="P1033" i="2" s="1"/>
  <c r="V1034" i="2"/>
  <c r="AG1033" i="2" l="1"/>
  <c r="O1033" i="2"/>
  <c r="Q1033" i="2" s="1"/>
  <c r="R1033" i="2" l="1"/>
  <c r="S1033" i="2" s="1"/>
  <c r="Y1033" i="2" l="1"/>
  <c r="AA1033" i="2" s="1"/>
  <c r="AB1034" i="2" s="1"/>
  <c r="Z1033" i="2"/>
  <c r="B1035" i="2" l="1"/>
  <c r="H1035" i="2" s="1"/>
  <c r="G1034" i="2"/>
  <c r="F1034" i="2"/>
  <c r="AE1034" i="2"/>
  <c r="AC1034" i="2"/>
  <c r="U1034" i="2"/>
  <c r="AD1034" i="2" l="1"/>
  <c r="L1034" i="2" s="1"/>
  <c r="AF1035" i="2"/>
  <c r="C1035" i="2"/>
  <c r="J1034" i="2"/>
  <c r="W1034" i="2"/>
  <c r="X1034" i="2" s="1"/>
  <c r="I1034" i="2" l="1"/>
  <c r="K1034" i="2"/>
  <c r="D1035" i="2"/>
  <c r="E1035" i="2" s="1"/>
  <c r="T1035" i="2" s="1"/>
  <c r="V1035" i="2" l="1"/>
  <c r="N1034" i="2"/>
  <c r="O1034" i="2" l="1"/>
  <c r="R1034" i="2" s="1"/>
  <c r="M1034" i="2"/>
  <c r="P1034" i="2" s="1"/>
  <c r="AG1034" i="2" l="1"/>
  <c r="Q1034" i="2"/>
  <c r="S1034" i="2" s="1"/>
  <c r="Z1034" i="2" s="1"/>
  <c r="Y1034" i="2" l="1"/>
  <c r="AA1034" i="2" s="1"/>
  <c r="AB1035" i="2" s="1"/>
  <c r="B1036" i="2" l="1"/>
  <c r="H1036" i="2" s="1"/>
  <c r="G1035" i="2"/>
  <c r="F1035" i="2"/>
  <c r="AE1035" i="2"/>
  <c r="AC1035" i="2"/>
  <c r="U1035" i="2"/>
  <c r="J1035" i="2" l="1"/>
  <c r="W1035" i="2"/>
  <c r="X1035" i="2" s="1"/>
  <c r="AF1036" i="2"/>
  <c r="C1036" i="2"/>
  <c r="AD1035" i="2"/>
  <c r="L1035" i="2" s="1"/>
  <c r="I1035" i="2" l="1"/>
  <c r="D1036" i="2"/>
  <c r="E1036" i="2" s="1"/>
  <c r="T1036" i="2" s="1"/>
  <c r="K1035" i="2"/>
  <c r="V1036" i="2" l="1"/>
  <c r="N1035" i="2"/>
  <c r="O1035" i="2" l="1"/>
  <c r="R1035" i="2" s="1"/>
  <c r="M1035" i="2"/>
  <c r="P1035" i="2" s="1"/>
  <c r="AG1035" i="2" l="1"/>
  <c r="Q1035" i="2"/>
  <c r="S1035" i="2" s="1"/>
  <c r="Y1035" i="2" s="1"/>
  <c r="AA1035" i="2" s="1"/>
  <c r="Z1035" i="2" l="1"/>
  <c r="AB1036" i="2"/>
  <c r="B1037" i="2" l="1"/>
  <c r="H1037" i="2" s="1"/>
  <c r="G1036" i="2"/>
  <c r="F1036" i="2"/>
  <c r="AC1036" i="2"/>
  <c r="AE1036" i="2"/>
  <c r="U1036" i="2"/>
  <c r="C1037" i="2" l="1"/>
  <c r="AF1037" i="2"/>
  <c r="AD1036" i="2"/>
  <c r="L1036" i="2" s="1"/>
  <c r="J1036" i="2"/>
  <c r="W1036" i="2"/>
  <c r="X1036" i="2" s="1"/>
  <c r="K1036" i="2" l="1"/>
  <c r="I1036" i="2"/>
  <c r="D1037" i="2"/>
  <c r="E1037" i="2" s="1"/>
  <c r="T1037" i="2" s="1"/>
  <c r="N1036" i="2" l="1"/>
  <c r="V1037" i="2"/>
  <c r="O1036" i="2" l="1"/>
  <c r="R1036" i="2" s="1"/>
  <c r="M1036" i="2"/>
  <c r="P1036" i="2" s="1"/>
  <c r="AG1036" i="2" l="1"/>
  <c r="Q1036" i="2"/>
  <c r="S1036" i="2" s="1"/>
  <c r="Y1036" i="2" s="1"/>
  <c r="AA1036" i="2" s="1"/>
  <c r="Z1036" i="2" l="1"/>
  <c r="AB1037" i="2"/>
  <c r="B1038" i="2" l="1"/>
  <c r="H1038" i="2" s="1"/>
  <c r="G1037" i="2"/>
  <c r="F1037" i="2"/>
  <c r="AE1037" i="2"/>
  <c r="AC1037" i="2"/>
  <c r="U1037" i="2"/>
  <c r="J1037" i="2" l="1"/>
  <c r="W1037" i="2"/>
  <c r="X1037" i="2" s="1"/>
  <c r="AD1037" i="2"/>
  <c r="L1037" i="2" s="1"/>
  <c r="C1038" i="2"/>
  <c r="AF1038" i="2"/>
  <c r="K1037" i="2" l="1"/>
  <c r="D1038" i="2"/>
  <c r="E1038" i="2" s="1"/>
  <c r="T1038" i="2" s="1"/>
  <c r="I1037" i="2"/>
  <c r="N1037" i="2" l="1"/>
  <c r="V1038" i="2"/>
  <c r="O1037" i="2" l="1"/>
  <c r="Q1037" i="2" s="1"/>
  <c r="M1037" i="2"/>
  <c r="P1037" i="2" s="1"/>
  <c r="AG1037" i="2" l="1"/>
  <c r="R1037" i="2"/>
  <c r="S1037" i="2" s="1"/>
  <c r="Y1037" i="2" l="1"/>
  <c r="AA1037" i="2" s="1"/>
  <c r="AB1038" i="2" s="1"/>
  <c r="Z1037" i="2"/>
  <c r="B1039" i="2" l="1"/>
  <c r="H1039" i="2" s="1"/>
  <c r="G1038" i="2"/>
  <c r="F1038" i="2"/>
  <c r="AE1038" i="2"/>
  <c r="AC1038" i="2"/>
  <c r="U1038" i="2"/>
  <c r="J1038" i="2" l="1"/>
  <c r="W1038" i="2"/>
  <c r="X1038" i="2" s="1"/>
  <c r="AD1038" i="2"/>
  <c r="L1038" i="2" s="1"/>
  <c r="C1039" i="2"/>
  <c r="AF1039" i="2"/>
  <c r="I1038" i="2" l="1"/>
  <c r="D1039" i="2"/>
  <c r="E1039" i="2" s="1"/>
  <c r="T1039" i="2" s="1"/>
  <c r="K1038" i="2"/>
  <c r="V1039" i="2" l="1"/>
  <c r="N1038" i="2"/>
  <c r="O1038" i="2" l="1"/>
  <c r="R1038" i="2" s="1"/>
  <c r="M1038" i="2"/>
  <c r="P1038" i="2" s="1"/>
  <c r="AG1038" i="2" l="1"/>
  <c r="Q1038" i="2"/>
  <c r="S1038" i="2" s="1"/>
  <c r="Z1038" i="2" s="1"/>
  <c r="Y1038" i="2" l="1"/>
  <c r="AA1038" i="2" s="1"/>
  <c r="AB1039" i="2" s="1"/>
  <c r="B1040" i="2" l="1"/>
  <c r="H1040" i="2" s="1"/>
  <c r="G1039" i="2"/>
  <c r="F1039" i="2"/>
  <c r="AE1039" i="2"/>
  <c r="AC1039" i="2"/>
  <c r="U1039" i="2"/>
  <c r="J1039" i="2" l="1"/>
  <c r="W1039" i="2"/>
  <c r="X1039" i="2" s="1"/>
  <c r="AD1039" i="2"/>
  <c r="L1039" i="2" s="1"/>
  <c r="C1040" i="2"/>
  <c r="AF1040" i="2"/>
  <c r="D1040" i="2" l="1"/>
  <c r="E1040" i="2" s="1"/>
  <c r="T1040" i="2" s="1"/>
  <c r="K1039" i="2"/>
  <c r="I1039" i="2"/>
  <c r="N1039" i="2" l="1"/>
  <c r="M1039" i="2" s="1"/>
  <c r="P1039" i="2" s="1"/>
  <c r="V1040" i="2"/>
  <c r="AG1039" i="2" l="1"/>
  <c r="O1039" i="2"/>
  <c r="R1039" i="2" s="1"/>
  <c r="Q1039" i="2" l="1"/>
  <c r="S1039" i="2" s="1"/>
  <c r="Y1039" i="2" s="1"/>
  <c r="AA1039" i="2" s="1"/>
  <c r="Z1039" i="2" l="1"/>
  <c r="AB1040" i="2"/>
  <c r="B1041" i="2" l="1"/>
  <c r="H1041" i="2" s="1"/>
  <c r="G1040" i="2"/>
  <c r="F1040" i="2"/>
  <c r="AE1040" i="2"/>
  <c r="AC1040" i="2"/>
  <c r="U1040" i="2"/>
  <c r="J1040" i="2" l="1"/>
  <c r="W1040" i="2"/>
  <c r="X1040" i="2" s="1"/>
  <c r="AD1040" i="2"/>
  <c r="L1040" i="2" s="1"/>
  <c r="AF1041" i="2"/>
  <c r="C1041" i="2"/>
  <c r="D1041" i="2" l="1"/>
  <c r="E1041" i="2" s="1"/>
  <c r="T1041" i="2" s="1"/>
  <c r="K1040" i="2"/>
  <c r="I1040" i="2"/>
  <c r="N1040" i="2" l="1"/>
  <c r="V1041" i="2"/>
  <c r="O1040" i="2" l="1"/>
  <c r="R1040" i="2" s="1"/>
  <c r="M1040" i="2"/>
  <c r="P1040" i="2" s="1"/>
  <c r="AG1040" i="2" l="1"/>
  <c r="Q1040" i="2"/>
  <c r="S1040" i="2" s="1"/>
  <c r="Y1040" i="2" s="1"/>
  <c r="AA1040" i="2" s="1"/>
  <c r="Z1040" i="2" l="1"/>
  <c r="AB1041" i="2"/>
  <c r="B1042" i="2" l="1"/>
  <c r="H1042" i="2" s="1"/>
  <c r="G1041" i="2"/>
  <c r="F1041" i="2"/>
  <c r="AE1041" i="2"/>
  <c r="AC1041" i="2"/>
  <c r="U1041" i="2"/>
  <c r="AF1042" i="2" l="1"/>
  <c r="C1042" i="2"/>
  <c r="AD1041" i="2"/>
  <c r="L1041" i="2" s="1"/>
  <c r="J1041" i="2"/>
  <c r="W1041" i="2"/>
  <c r="X1041" i="2" s="1"/>
  <c r="K1041" i="2" l="1"/>
  <c r="D1042" i="2"/>
  <c r="E1042" i="2" s="1"/>
  <c r="T1042" i="2" s="1"/>
  <c r="I1041" i="2"/>
  <c r="N1041" i="2" l="1"/>
  <c r="V1042" i="2"/>
  <c r="O1041" i="2" l="1"/>
  <c r="R1041" i="2" s="1"/>
  <c r="M1041" i="2"/>
  <c r="P1041" i="2" s="1"/>
  <c r="AG1041" i="2" l="1"/>
  <c r="Q1041" i="2"/>
  <c r="S1041" i="2" s="1"/>
  <c r="Y1041" i="2" s="1"/>
  <c r="AA1041" i="2" s="1"/>
  <c r="Z1041" i="2" l="1"/>
  <c r="AB1042" i="2"/>
  <c r="B1043" i="2" l="1"/>
  <c r="H1043" i="2" s="1"/>
  <c r="G1042" i="2"/>
  <c r="F1042" i="2"/>
  <c r="AE1042" i="2"/>
  <c r="AC1042" i="2"/>
  <c r="U1042" i="2"/>
  <c r="AD1042" i="2" l="1"/>
  <c r="L1042" i="2" s="1"/>
  <c r="AF1043" i="2"/>
  <c r="C1043" i="2"/>
  <c r="J1042" i="2"/>
  <c r="W1042" i="2"/>
  <c r="X1042" i="2" s="1"/>
  <c r="K1042" i="2" l="1"/>
  <c r="I1042" i="2"/>
  <c r="D1043" i="2"/>
  <c r="E1043" i="2" s="1"/>
  <c r="T1043" i="2" s="1"/>
  <c r="N1042" i="2" l="1"/>
  <c r="V1043" i="2"/>
  <c r="O1042" i="2" l="1"/>
  <c r="R1042" i="2" s="1"/>
  <c r="M1042" i="2"/>
  <c r="P1042" i="2" s="1"/>
  <c r="AG1042" i="2" l="1"/>
  <c r="Q1042" i="2"/>
  <c r="S1042" i="2" s="1"/>
  <c r="Y1042" i="2" s="1"/>
  <c r="AA1042" i="2" s="1"/>
  <c r="Z1042" i="2" l="1"/>
  <c r="AB1043" i="2"/>
  <c r="B1044" i="2" l="1"/>
  <c r="H1044" i="2" s="1"/>
  <c r="G1043" i="2"/>
  <c r="F1043" i="2"/>
  <c r="AE1043" i="2"/>
  <c r="AC1043" i="2"/>
  <c r="U1043" i="2"/>
  <c r="AD1043" i="2" l="1"/>
  <c r="L1043" i="2" s="1"/>
  <c r="AF1044" i="2"/>
  <c r="C1044" i="2"/>
  <c r="J1043" i="2"/>
  <c r="W1043" i="2"/>
  <c r="X1043" i="2" s="1"/>
  <c r="K1043" i="2" l="1"/>
  <c r="I1043" i="2"/>
  <c r="D1044" i="2"/>
  <c r="E1044" i="2" s="1"/>
  <c r="T1044" i="2" s="1"/>
  <c r="N1043" i="2" l="1"/>
  <c r="V1044" i="2"/>
  <c r="O1043" i="2" l="1"/>
  <c r="Q1043" i="2" s="1"/>
  <c r="M1043" i="2"/>
  <c r="P1043" i="2" s="1"/>
  <c r="AG1043" i="2" l="1"/>
  <c r="R1043" i="2"/>
  <c r="S1043" i="2" s="1"/>
  <c r="Y1043" i="2" l="1"/>
  <c r="AA1043" i="2" s="1"/>
  <c r="AB1044" i="2" s="1"/>
  <c r="Z1043" i="2"/>
  <c r="B1045" i="2" l="1"/>
  <c r="H1045" i="2" s="1"/>
  <c r="G1044" i="2"/>
  <c r="F1044" i="2"/>
  <c r="AE1044" i="2"/>
  <c r="AC1044" i="2"/>
  <c r="U1044" i="2"/>
  <c r="AD1044" i="2" l="1"/>
  <c r="L1044" i="2" s="1"/>
  <c r="AF1045" i="2"/>
  <c r="C1045" i="2"/>
  <c r="J1044" i="2"/>
  <c r="W1044" i="2"/>
  <c r="X1044" i="2" s="1"/>
  <c r="K1044" i="2" l="1"/>
  <c r="I1044" i="2"/>
  <c r="D1045" i="2"/>
  <c r="E1045" i="2" s="1"/>
  <c r="T1045" i="2" s="1"/>
  <c r="N1044" i="2" l="1"/>
  <c r="V1045" i="2"/>
  <c r="O1044" i="2" l="1"/>
  <c r="Q1044" i="2" s="1"/>
  <c r="M1044" i="2"/>
  <c r="P1044" i="2" s="1"/>
  <c r="AG1044" i="2" l="1"/>
  <c r="R1044" i="2"/>
  <c r="S1044" i="2" s="1"/>
  <c r="Y1044" i="2" l="1"/>
  <c r="AA1044" i="2" s="1"/>
  <c r="AB1045" i="2" s="1"/>
  <c r="Z1044" i="2"/>
  <c r="B1046" i="2" l="1"/>
  <c r="H1046" i="2" s="1"/>
  <c r="G1045" i="2"/>
  <c r="F1045" i="2"/>
  <c r="AE1045" i="2"/>
  <c r="AC1045" i="2"/>
  <c r="U1045" i="2"/>
  <c r="AF1046" i="2" l="1"/>
  <c r="C1046" i="2"/>
  <c r="J1045" i="2"/>
  <c r="W1045" i="2"/>
  <c r="X1045" i="2" s="1"/>
  <c r="AD1045" i="2"/>
  <c r="L1045" i="2" s="1"/>
  <c r="I1045" i="2" l="1"/>
  <c r="D1046" i="2"/>
  <c r="E1046" i="2" s="1"/>
  <c r="T1046" i="2" s="1"/>
  <c r="K1045" i="2"/>
  <c r="V1046" i="2" l="1"/>
  <c r="N1045" i="2"/>
  <c r="O1045" i="2" l="1"/>
  <c r="Q1045" i="2" s="1"/>
  <c r="M1045" i="2"/>
  <c r="P1045" i="2" s="1"/>
  <c r="AG1045" i="2" l="1"/>
  <c r="R1045" i="2"/>
  <c r="S1045" i="2" s="1"/>
  <c r="Z1045" i="2" s="1"/>
  <c r="Y1045" i="2" l="1"/>
  <c r="AA1045" i="2" s="1"/>
  <c r="AB1046" i="2" l="1"/>
  <c r="B1047" i="2" l="1"/>
  <c r="H1047" i="2" s="1"/>
  <c r="G1046" i="2"/>
  <c r="F1046" i="2"/>
  <c r="U1046" i="2"/>
  <c r="AE1046" i="2"/>
  <c r="AD1046" i="2" s="1"/>
  <c r="L1046" i="2" s="1"/>
  <c r="AC1046" i="2"/>
  <c r="J1046" i="2"/>
  <c r="W1046" i="2" l="1"/>
  <c r="X1046" i="2" s="1"/>
  <c r="I1046" i="2"/>
  <c r="AF1047" i="2"/>
  <c r="C1047" i="2"/>
  <c r="D1047" i="2" s="1"/>
  <c r="E1047" i="2" s="1"/>
  <c r="T1047" i="2" s="1"/>
  <c r="K1046" i="2"/>
  <c r="N1046" i="2" l="1"/>
  <c r="M1046" i="2" s="1"/>
  <c r="P1046" i="2" s="1"/>
  <c r="V1047" i="2"/>
  <c r="AG1046" i="2" l="1"/>
  <c r="O1046" i="2"/>
  <c r="R1046" i="2" s="1"/>
  <c r="Q1046" i="2" l="1"/>
  <c r="S1046" i="2" s="1"/>
  <c r="Y1046" i="2" s="1"/>
  <c r="AA1046" i="2" s="1"/>
  <c r="Z1046" i="2" l="1"/>
  <c r="AB1047" i="2"/>
  <c r="B1048" i="2" l="1"/>
  <c r="H1048" i="2" s="1"/>
  <c r="G1047" i="2"/>
  <c r="F1047" i="2"/>
  <c r="AC1047" i="2"/>
  <c r="AE1047" i="2"/>
  <c r="U1047" i="2"/>
  <c r="AF1048" i="2" l="1"/>
  <c r="C1048" i="2"/>
  <c r="AD1047" i="2"/>
  <c r="L1047" i="2" s="1"/>
  <c r="J1047" i="2"/>
  <c r="W1047" i="2"/>
  <c r="X1047" i="2" s="1"/>
  <c r="K1047" i="2" l="1"/>
  <c r="I1047" i="2"/>
  <c r="D1048" i="2"/>
  <c r="E1048" i="2" s="1"/>
  <c r="T1048" i="2" s="1"/>
  <c r="N1047" i="2" l="1"/>
  <c r="V1048" i="2"/>
  <c r="O1047" i="2" l="1"/>
  <c r="R1047" i="2" s="1"/>
  <c r="M1047" i="2"/>
  <c r="P1047" i="2" s="1"/>
  <c r="AG1047" i="2" l="1"/>
  <c r="Q1047" i="2"/>
  <c r="S1047" i="2" s="1"/>
  <c r="Z1047" i="2" s="1"/>
  <c r="Y1047" i="2" l="1"/>
  <c r="AA1047" i="2" s="1"/>
  <c r="AB1048" i="2" s="1"/>
  <c r="B1049" i="2" l="1"/>
  <c r="H1049" i="2" s="1"/>
  <c r="G1048" i="2"/>
  <c r="F1048" i="2"/>
  <c r="AE1048" i="2"/>
  <c r="AC1048" i="2"/>
  <c r="U1048" i="2"/>
  <c r="AF1049" i="2" l="1"/>
  <c r="C1049" i="2"/>
  <c r="AD1048" i="2"/>
  <c r="L1048" i="2" s="1"/>
  <c r="J1048" i="2"/>
  <c r="W1048" i="2"/>
  <c r="X1048" i="2" s="1"/>
  <c r="I1048" i="2" l="1"/>
  <c r="D1049" i="2"/>
  <c r="E1049" i="2" s="1"/>
  <c r="T1049" i="2" s="1"/>
  <c r="K1048" i="2"/>
  <c r="V1049" i="2" l="1"/>
  <c r="N1048" i="2"/>
  <c r="O1048" i="2" l="1"/>
  <c r="R1048" i="2" s="1"/>
  <c r="M1048" i="2"/>
  <c r="P1048" i="2" s="1"/>
  <c r="AG1048" i="2" l="1"/>
  <c r="Q1048" i="2"/>
  <c r="S1048" i="2" s="1"/>
  <c r="Y1048" i="2" s="1"/>
  <c r="AA1048" i="2" s="1"/>
  <c r="Z1048" i="2" l="1"/>
  <c r="AB1049" i="2"/>
  <c r="B1050" i="2" l="1"/>
  <c r="H1050" i="2" s="1"/>
  <c r="G1049" i="2"/>
  <c r="F1049" i="2"/>
  <c r="AE1049" i="2"/>
  <c r="AC1049" i="2"/>
  <c r="U1049" i="2"/>
  <c r="AF1050" i="2" l="1"/>
  <c r="C1050" i="2"/>
  <c r="AD1049" i="2"/>
  <c r="L1049" i="2" s="1"/>
  <c r="J1049" i="2"/>
  <c r="W1049" i="2"/>
  <c r="X1049" i="2" s="1"/>
  <c r="K1049" i="2" l="1"/>
  <c r="I1049" i="2"/>
  <c r="D1050" i="2"/>
  <c r="E1050" i="2" s="1"/>
  <c r="T1050" i="2" s="1"/>
  <c r="N1049" i="2" l="1"/>
  <c r="V1050" i="2"/>
  <c r="O1049" i="2" l="1"/>
  <c r="Q1049" i="2" s="1"/>
  <c r="M1049" i="2"/>
  <c r="P1049" i="2" s="1"/>
  <c r="AG1049" i="2" l="1"/>
  <c r="R1049" i="2"/>
  <c r="S1049" i="2" s="1"/>
  <c r="Y1049" i="2" s="1"/>
  <c r="AA1049" i="2" s="1"/>
  <c r="Z1049" i="2" l="1"/>
  <c r="AB1050" i="2"/>
  <c r="B1051" i="2" l="1"/>
  <c r="H1051" i="2" s="1"/>
  <c r="G1050" i="2"/>
  <c r="F1050" i="2"/>
  <c r="AE1050" i="2"/>
  <c r="AC1050" i="2"/>
  <c r="U1050" i="2"/>
  <c r="J1050" i="2" l="1"/>
  <c r="W1050" i="2"/>
  <c r="X1050" i="2" s="1"/>
  <c r="AD1050" i="2"/>
  <c r="L1050" i="2" s="1"/>
  <c r="AF1051" i="2"/>
  <c r="C1051" i="2"/>
  <c r="D1051" i="2" l="1"/>
  <c r="E1051" i="2" s="1"/>
  <c r="T1051" i="2" s="1"/>
  <c r="K1050" i="2"/>
  <c r="I1050" i="2"/>
  <c r="N1050" i="2" l="1"/>
  <c r="V1051" i="2"/>
  <c r="O1050" i="2" l="1"/>
  <c r="R1050" i="2" s="1"/>
  <c r="M1050" i="2"/>
  <c r="P1050" i="2" s="1"/>
  <c r="AG1050" i="2" l="1"/>
  <c r="Q1050" i="2"/>
  <c r="S1050" i="2" s="1"/>
  <c r="Y1050" i="2" s="1"/>
  <c r="AA1050" i="2" s="1"/>
  <c r="Z1050" i="2" l="1"/>
  <c r="AB1051" i="2"/>
  <c r="B1052" i="2" l="1"/>
  <c r="H1052" i="2" s="1"/>
  <c r="G1051" i="2"/>
  <c r="F1051" i="2"/>
  <c r="AE1051" i="2"/>
  <c r="AC1051" i="2"/>
  <c r="U1051" i="2"/>
  <c r="AF1052" i="2" l="1"/>
  <c r="C1052" i="2"/>
  <c r="AD1051" i="2"/>
  <c r="L1051" i="2" s="1"/>
  <c r="J1051" i="2"/>
  <c r="W1051" i="2"/>
  <c r="X1051" i="2" s="1"/>
  <c r="K1051" i="2" l="1"/>
  <c r="I1051" i="2"/>
  <c r="D1052" i="2"/>
  <c r="E1052" i="2" s="1"/>
  <c r="T1052" i="2" s="1"/>
  <c r="N1051" i="2" l="1"/>
  <c r="V1052" i="2"/>
  <c r="O1051" i="2" l="1"/>
  <c r="R1051" i="2" s="1"/>
  <c r="M1051" i="2"/>
  <c r="P1051" i="2" s="1"/>
  <c r="AG1051" i="2" l="1"/>
  <c r="Q1051" i="2"/>
  <c r="S1051" i="2" s="1"/>
  <c r="Y1051" i="2" s="1"/>
  <c r="AA1051" i="2" s="1"/>
  <c r="Z1051" i="2" l="1"/>
  <c r="AB1052" i="2"/>
  <c r="B1053" i="2" l="1"/>
  <c r="H1053" i="2" s="1"/>
  <c r="G1052" i="2"/>
  <c r="F1052" i="2"/>
  <c r="AE1052" i="2"/>
  <c r="AC1052" i="2"/>
  <c r="U1052" i="2"/>
  <c r="AD1052" i="2" l="1"/>
  <c r="L1052" i="2" s="1"/>
  <c r="C1053" i="2"/>
  <c r="AF1053" i="2"/>
  <c r="J1052" i="2"/>
  <c r="W1052" i="2"/>
  <c r="X1052" i="2" s="1"/>
  <c r="I1052" i="2" l="1"/>
  <c r="D1053" i="2"/>
  <c r="E1053" i="2" s="1"/>
  <c r="T1053" i="2" s="1"/>
  <c r="K1052" i="2"/>
  <c r="V1053" i="2" l="1"/>
  <c r="N1052" i="2"/>
  <c r="O1052" i="2" l="1"/>
  <c r="R1052" i="2" s="1"/>
  <c r="M1052" i="2"/>
  <c r="P1052" i="2" s="1"/>
  <c r="AG1052" i="2" l="1"/>
  <c r="Q1052" i="2"/>
  <c r="S1052" i="2" s="1"/>
  <c r="Y1052" i="2" s="1"/>
  <c r="AA1052" i="2" s="1"/>
  <c r="Z1052" i="2" l="1"/>
  <c r="AB1053" i="2"/>
  <c r="B1054" i="2" l="1"/>
  <c r="H1054" i="2" s="1"/>
  <c r="G1053" i="2"/>
  <c r="F1053" i="2"/>
  <c r="AE1053" i="2"/>
  <c r="AC1053" i="2"/>
  <c r="U1053" i="2"/>
  <c r="AD1053" i="2" l="1"/>
  <c r="L1053" i="2" s="1"/>
  <c r="C1054" i="2"/>
  <c r="AF1054" i="2"/>
  <c r="J1053" i="2"/>
  <c r="W1053" i="2"/>
  <c r="X1053" i="2" s="1"/>
  <c r="I1053" i="2" l="1"/>
  <c r="D1054" i="2"/>
  <c r="E1054" i="2" s="1"/>
  <c r="T1054" i="2" s="1"/>
  <c r="K1053" i="2"/>
  <c r="V1054" i="2" l="1"/>
  <c r="N1053" i="2"/>
  <c r="O1053" i="2" l="1"/>
  <c r="R1053" i="2" s="1"/>
  <c r="M1053" i="2"/>
  <c r="P1053" i="2" s="1"/>
  <c r="AG1053" i="2" l="1"/>
  <c r="Q1053" i="2"/>
  <c r="S1053" i="2" s="1"/>
  <c r="Y1053" i="2" s="1"/>
  <c r="AA1053" i="2" s="1"/>
  <c r="Z1053" i="2" l="1"/>
  <c r="AB1054" i="2"/>
  <c r="B1055" i="2" l="1"/>
  <c r="H1055" i="2" s="1"/>
  <c r="G1054" i="2"/>
  <c r="F1054" i="2"/>
  <c r="AE1054" i="2"/>
  <c r="AC1054" i="2"/>
  <c r="U1054" i="2"/>
  <c r="J1054" i="2" l="1"/>
  <c r="W1054" i="2"/>
  <c r="X1054" i="2" s="1"/>
  <c r="AD1054" i="2"/>
  <c r="L1054" i="2" s="1"/>
  <c r="AF1055" i="2"/>
  <c r="C1055" i="2"/>
  <c r="D1055" i="2" l="1"/>
  <c r="E1055" i="2" s="1"/>
  <c r="T1055" i="2" s="1"/>
  <c r="K1054" i="2"/>
  <c r="I1054" i="2"/>
  <c r="N1054" i="2" l="1"/>
  <c r="V1055" i="2"/>
  <c r="O1054" i="2" l="1"/>
  <c r="Q1054" i="2" s="1"/>
  <c r="M1054" i="2"/>
  <c r="P1054" i="2" s="1"/>
  <c r="AG1054" i="2" l="1"/>
  <c r="R1054" i="2"/>
  <c r="S1054" i="2" s="1"/>
  <c r="Y1054" i="2" l="1"/>
  <c r="AA1054" i="2" s="1"/>
  <c r="Z1054" i="2"/>
  <c r="AB1055" i="2" l="1"/>
  <c r="B1056" i="2" l="1"/>
  <c r="H1056" i="2" s="1"/>
  <c r="G1055" i="2"/>
  <c r="AC1055" i="2"/>
  <c r="AE1055" i="2"/>
  <c r="AD1055" i="2" s="1"/>
  <c r="L1055" i="2" s="1"/>
  <c r="F1055" i="2"/>
  <c r="J1055" i="2" s="1"/>
  <c r="U1055" i="2"/>
  <c r="C1056" i="2"/>
  <c r="AF1056" i="2" l="1"/>
  <c r="I1055" i="2"/>
  <c r="W1055" i="2"/>
  <c r="X1055" i="2" s="1"/>
  <c r="D1056" i="2"/>
  <c r="E1056" i="2" s="1"/>
  <c r="T1056" i="2" s="1"/>
  <c r="K1055" i="2"/>
  <c r="V1056" i="2" l="1"/>
  <c r="N1055" i="2"/>
  <c r="O1055" i="2" l="1"/>
  <c r="Q1055" i="2" s="1"/>
  <c r="M1055" i="2"/>
  <c r="P1055" i="2" s="1"/>
  <c r="AG1055" i="2" l="1"/>
  <c r="R1055" i="2"/>
  <c r="S1055" i="2" s="1"/>
  <c r="Y1055" i="2" l="1"/>
  <c r="AA1055" i="2" s="1"/>
  <c r="AB1056" i="2" s="1"/>
  <c r="Z1055" i="2"/>
  <c r="B1057" i="2" l="1"/>
  <c r="H1057" i="2" s="1"/>
  <c r="G1056" i="2"/>
  <c r="F1056" i="2"/>
  <c r="AE1056" i="2"/>
  <c r="AC1056" i="2"/>
  <c r="U1056" i="2"/>
  <c r="AD1056" i="2" l="1"/>
  <c r="L1056" i="2" s="1"/>
  <c r="AF1057" i="2"/>
  <c r="C1057" i="2"/>
  <c r="J1056" i="2"/>
  <c r="W1056" i="2"/>
  <c r="X1056" i="2" s="1"/>
  <c r="K1056" i="2" l="1"/>
  <c r="I1056" i="2"/>
  <c r="D1057" i="2"/>
  <c r="E1057" i="2" s="1"/>
  <c r="T1057" i="2" s="1"/>
  <c r="N1056" i="2" l="1"/>
  <c r="V1057" i="2"/>
  <c r="O1056" i="2" l="1"/>
  <c r="R1056" i="2" s="1"/>
  <c r="M1056" i="2"/>
  <c r="P1056" i="2" s="1"/>
  <c r="AG1056" i="2" l="1"/>
  <c r="Q1056" i="2"/>
  <c r="S1056" i="2" s="1"/>
  <c r="Y1056" i="2" s="1"/>
  <c r="AA1056" i="2" s="1"/>
  <c r="Z1056" i="2" l="1"/>
  <c r="AB1057" i="2"/>
  <c r="B1058" i="2" l="1"/>
  <c r="H1058" i="2" s="1"/>
  <c r="G1057" i="2"/>
  <c r="F1057" i="2"/>
  <c r="AC1057" i="2"/>
  <c r="AE1057" i="2"/>
  <c r="U1057" i="2"/>
  <c r="AD1057" i="2" l="1"/>
  <c r="L1057" i="2" s="1"/>
  <c r="AF1058" i="2"/>
  <c r="C1058" i="2"/>
  <c r="J1057" i="2"/>
  <c r="W1057" i="2"/>
  <c r="X1057" i="2" s="1"/>
  <c r="K1057" i="2" l="1"/>
  <c r="I1057" i="2"/>
  <c r="D1058" i="2"/>
  <c r="E1058" i="2" s="1"/>
  <c r="T1058" i="2" s="1"/>
  <c r="N1057" i="2" l="1"/>
  <c r="V1058" i="2"/>
  <c r="O1057" i="2" l="1"/>
  <c r="Q1057" i="2" s="1"/>
  <c r="M1057" i="2"/>
  <c r="P1057" i="2" s="1"/>
  <c r="AG1057" i="2" l="1"/>
  <c r="R1057" i="2"/>
  <c r="S1057" i="2" s="1"/>
  <c r="Y1057" i="2" s="1"/>
  <c r="AA1057" i="2" s="1"/>
  <c r="Z1057" i="2" l="1"/>
  <c r="AB1058" i="2"/>
  <c r="B1059" i="2" l="1"/>
  <c r="H1059" i="2" s="1"/>
  <c r="G1058" i="2"/>
  <c r="F1058" i="2"/>
  <c r="AC1058" i="2"/>
  <c r="AE1058" i="2"/>
  <c r="U1058" i="2"/>
  <c r="AD1058" i="2" l="1"/>
  <c r="L1058" i="2" s="1"/>
  <c r="AF1059" i="2"/>
  <c r="C1059" i="2"/>
  <c r="J1058" i="2"/>
  <c r="W1058" i="2"/>
  <c r="X1058" i="2" s="1"/>
  <c r="D1059" i="2" l="1"/>
  <c r="E1059" i="2" s="1"/>
  <c r="T1059" i="2" s="1"/>
  <c r="K1058" i="2"/>
  <c r="I1058" i="2"/>
  <c r="N1058" i="2" l="1"/>
  <c r="M1058" i="2" s="1"/>
  <c r="P1058" i="2" s="1"/>
  <c r="V1059" i="2"/>
  <c r="AG1058" i="2" l="1"/>
  <c r="O1058" i="2"/>
  <c r="R1058" i="2" s="1"/>
  <c r="Q1058" i="2" l="1"/>
  <c r="S1058" i="2" s="1"/>
  <c r="Y1058" i="2" s="1"/>
  <c r="AA1058" i="2" s="1"/>
  <c r="Z1058" i="2" l="1"/>
  <c r="AB1059" i="2"/>
  <c r="B1060" i="2" l="1"/>
  <c r="H1060" i="2" s="1"/>
  <c r="G1059" i="2"/>
  <c r="F1059" i="2"/>
  <c r="AC1059" i="2"/>
  <c r="AE1059" i="2"/>
  <c r="U1059" i="2"/>
  <c r="AD1059" i="2" l="1"/>
  <c r="L1059" i="2" s="1"/>
  <c r="J1059" i="2"/>
  <c r="W1059" i="2"/>
  <c r="X1059" i="2" s="1"/>
  <c r="C1060" i="2"/>
  <c r="AF1060" i="2"/>
  <c r="I1059" i="2" l="1"/>
  <c r="K1059" i="2"/>
  <c r="D1060" i="2"/>
  <c r="E1060" i="2" s="1"/>
  <c r="T1060" i="2" s="1"/>
  <c r="V1060" i="2" l="1"/>
  <c r="N1059" i="2"/>
  <c r="O1059" i="2" l="1"/>
  <c r="R1059" i="2" s="1"/>
  <c r="M1059" i="2"/>
  <c r="P1059" i="2" s="1"/>
  <c r="AG1059" i="2" l="1"/>
  <c r="Q1059" i="2"/>
  <c r="S1059" i="2" s="1"/>
  <c r="Y1059" i="2" s="1"/>
  <c r="AA1059" i="2" s="1"/>
  <c r="Z1059" i="2" l="1"/>
  <c r="AB1060" i="2"/>
  <c r="B1061" i="2" l="1"/>
  <c r="H1061" i="2" s="1"/>
  <c r="G1060" i="2"/>
  <c r="F1060" i="2"/>
  <c r="AC1060" i="2"/>
  <c r="AE1060" i="2"/>
  <c r="U1060" i="2"/>
  <c r="AD1060" i="2" l="1"/>
  <c r="L1060" i="2" s="1"/>
  <c r="AF1061" i="2"/>
  <c r="C1061" i="2"/>
  <c r="J1060" i="2"/>
  <c r="W1060" i="2"/>
  <c r="X1060" i="2" s="1"/>
  <c r="K1060" i="2" l="1"/>
  <c r="I1060" i="2"/>
  <c r="D1061" i="2"/>
  <c r="E1061" i="2" s="1"/>
  <c r="T1061" i="2" s="1"/>
  <c r="N1060" i="2" l="1"/>
  <c r="V1061" i="2"/>
  <c r="O1060" i="2" l="1"/>
  <c r="R1060" i="2" s="1"/>
  <c r="M1060" i="2"/>
  <c r="P1060" i="2" s="1"/>
  <c r="AG1060" i="2" l="1"/>
  <c r="Q1060" i="2"/>
  <c r="S1060" i="2" s="1"/>
  <c r="Z1060" i="2" s="1"/>
  <c r="Y1060" i="2" l="1"/>
  <c r="AA1060" i="2" s="1"/>
  <c r="AB1061" i="2" s="1"/>
  <c r="B1062" i="2" l="1"/>
  <c r="H1062" i="2" s="1"/>
  <c r="G1061" i="2"/>
  <c r="F1061" i="2"/>
  <c r="AE1061" i="2"/>
  <c r="AC1061" i="2"/>
  <c r="U1061" i="2"/>
  <c r="J1061" i="2" l="1"/>
  <c r="W1061" i="2"/>
  <c r="X1061" i="2" s="1"/>
  <c r="AD1061" i="2"/>
  <c r="L1061" i="2" s="1"/>
  <c r="AF1062" i="2"/>
  <c r="C1062" i="2"/>
  <c r="I1061" i="2" l="1"/>
  <c r="D1062" i="2"/>
  <c r="E1062" i="2" s="1"/>
  <c r="T1062" i="2" s="1"/>
  <c r="K1061" i="2"/>
  <c r="V1062" i="2" l="1"/>
  <c r="N1061" i="2"/>
  <c r="O1061" i="2" l="1"/>
  <c r="R1061" i="2" s="1"/>
  <c r="M1061" i="2"/>
  <c r="P1061" i="2" s="1"/>
  <c r="AG1061" i="2" l="1"/>
  <c r="Q1061" i="2"/>
  <c r="S1061" i="2" s="1"/>
  <c r="Z1061" i="2" s="1"/>
  <c r="Y1061" i="2" l="1"/>
  <c r="AA1061" i="2" s="1"/>
  <c r="AB1062" i="2" s="1"/>
  <c r="B1063" i="2" l="1"/>
  <c r="H1063" i="2" s="1"/>
  <c r="G1062" i="2"/>
  <c r="F1062" i="2"/>
  <c r="AE1062" i="2"/>
  <c r="AC1062" i="2"/>
  <c r="U1062" i="2"/>
  <c r="AD1062" i="2" l="1"/>
  <c r="L1062" i="2" s="1"/>
  <c r="AF1063" i="2"/>
  <c r="C1063" i="2"/>
  <c r="J1062" i="2"/>
  <c r="W1062" i="2"/>
  <c r="X1062" i="2" s="1"/>
  <c r="I1062" i="2" l="1"/>
  <c r="K1062" i="2"/>
  <c r="D1063" i="2"/>
  <c r="E1063" i="2" s="1"/>
  <c r="T1063" i="2" s="1"/>
  <c r="N1062" i="2" l="1"/>
  <c r="M1062" i="2" s="1"/>
  <c r="P1062" i="2" s="1"/>
  <c r="V1063" i="2"/>
  <c r="AG1062" i="2" l="1"/>
  <c r="O1062" i="2"/>
  <c r="Q1062" i="2" s="1"/>
  <c r="R1062" i="2" l="1"/>
  <c r="S1062" i="2" s="1"/>
  <c r="Y1062" i="2" s="1"/>
  <c r="AA1062" i="2" s="1"/>
  <c r="Z1062" i="2" l="1"/>
  <c r="AB1063" i="2"/>
  <c r="B1064" i="2" l="1"/>
  <c r="H1064" i="2" s="1"/>
  <c r="G1063" i="2"/>
  <c r="F1063" i="2"/>
  <c r="AC1063" i="2"/>
  <c r="AE1063" i="2"/>
  <c r="U1063" i="2"/>
  <c r="J1063" i="2" l="1"/>
  <c r="W1063" i="2"/>
  <c r="X1063" i="2" s="1"/>
  <c r="AD1063" i="2"/>
  <c r="L1063" i="2" s="1"/>
  <c r="AF1064" i="2"/>
  <c r="C1064" i="2"/>
  <c r="I1063" i="2" l="1"/>
  <c r="D1064" i="2"/>
  <c r="E1064" i="2" s="1"/>
  <c r="T1064" i="2" s="1"/>
  <c r="K1063" i="2"/>
  <c r="V1064" i="2" l="1"/>
  <c r="N1063" i="2"/>
  <c r="O1063" i="2" l="1"/>
  <c r="R1063" i="2" s="1"/>
  <c r="M1063" i="2"/>
  <c r="P1063" i="2" s="1"/>
  <c r="AG1063" i="2" l="1"/>
  <c r="Q1063" i="2"/>
  <c r="S1063" i="2" s="1"/>
  <c r="Y1063" i="2" s="1"/>
  <c r="AA1063" i="2" s="1"/>
  <c r="Z1063" i="2" l="1"/>
  <c r="AB1064" i="2"/>
  <c r="B1065" i="2" l="1"/>
  <c r="H1065" i="2" s="1"/>
  <c r="G1064" i="2"/>
  <c r="F1064" i="2"/>
  <c r="AE1064" i="2"/>
  <c r="AC1064" i="2"/>
  <c r="U1064" i="2"/>
  <c r="AD1064" i="2" l="1"/>
  <c r="L1064" i="2" s="1"/>
  <c r="J1064" i="2"/>
  <c r="W1064" i="2"/>
  <c r="X1064" i="2" s="1"/>
  <c r="AF1065" i="2"/>
  <c r="C1065" i="2"/>
  <c r="K1064" i="2" l="1"/>
  <c r="D1065" i="2"/>
  <c r="E1065" i="2" s="1"/>
  <c r="T1065" i="2" s="1"/>
  <c r="I1064" i="2"/>
  <c r="N1064" i="2" l="1"/>
  <c r="M1064" i="2" s="1"/>
  <c r="P1064" i="2" s="1"/>
  <c r="V1065" i="2"/>
  <c r="AG1064" i="2" l="1"/>
  <c r="O1064" i="2"/>
  <c r="Q1064" i="2" s="1"/>
  <c r="R1064" i="2" l="1"/>
  <c r="S1064" i="2" s="1"/>
  <c r="Y1064" i="2" s="1"/>
  <c r="AA1064" i="2" s="1"/>
  <c r="Z1064" i="2" l="1"/>
  <c r="AB1065" i="2"/>
  <c r="B1066" i="2" l="1"/>
  <c r="H1066" i="2" s="1"/>
  <c r="G1065" i="2"/>
  <c r="F1065" i="2"/>
  <c r="AE1065" i="2"/>
  <c r="AC1065" i="2"/>
  <c r="U1065" i="2"/>
  <c r="J1065" i="2" l="1"/>
  <c r="W1065" i="2"/>
  <c r="X1065" i="2" s="1"/>
  <c r="AD1065" i="2"/>
  <c r="L1065" i="2" s="1"/>
  <c r="AF1066" i="2"/>
  <c r="C1066" i="2"/>
  <c r="D1066" i="2" l="1"/>
  <c r="E1066" i="2" s="1"/>
  <c r="T1066" i="2" s="1"/>
  <c r="K1065" i="2"/>
  <c r="I1065" i="2"/>
  <c r="N1065" i="2" l="1"/>
  <c r="M1065" i="2" s="1"/>
  <c r="P1065" i="2" s="1"/>
  <c r="V1066" i="2"/>
  <c r="AG1065" i="2" l="1"/>
  <c r="O1065" i="2"/>
  <c r="R1065" i="2" s="1"/>
  <c r="Q1065" i="2" l="1"/>
  <c r="S1065" i="2" s="1"/>
  <c r="Z1065" i="2" s="1"/>
  <c r="Y1065" i="2" l="1"/>
  <c r="AA1065" i="2" s="1"/>
  <c r="AB1066" i="2" s="1"/>
  <c r="B1067" i="2" l="1"/>
  <c r="H1067" i="2" s="1"/>
  <c r="G1066" i="2"/>
  <c r="F1066" i="2"/>
  <c r="AE1066" i="2"/>
  <c r="AC1066" i="2"/>
  <c r="U1066" i="2"/>
  <c r="AD1066" i="2" l="1"/>
  <c r="L1066" i="2" s="1"/>
  <c r="J1066" i="2"/>
  <c r="W1066" i="2"/>
  <c r="X1066" i="2" s="1"/>
  <c r="AF1067" i="2"/>
  <c r="C1067" i="2"/>
  <c r="I1066" i="2" l="1"/>
  <c r="K1066" i="2"/>
  <c r="D1067" i="2"/>
  <c r="E1067" i="2" s="1"/>
  <c r="T1067" i="2" s="1"/>
  <c r="V1067" i="2" l="1"/>
  <c r="N1066" i="2"/>
  <c r="O1066" i="2" l="1"/>
  <c r="R1066" i="2" s="1"/>
  <c r="M1066" i="2"/>
  <c r="P1066" i="2" s="1"/>
  <c r="AG1066" i="2" l="1"/>
  <c r="Q1066" i="2"/>
  <c r="S1066" i="2" s="1"/>
  <c r="Y1066" i="2" s="1"/>
  <c r="AA1066" i="2" s="1"/>
  <c r="Z1066" i="2" l="1"/>
  <c r="AB1067" i="2"/>
  <c r="B1068" i="2" l="1"/>
  <c r="H1068" i="2" s="1"/>
  <c r="G1067" i="2"/>
  <c r="F1067" i="2"/>
  <c r="AE1067" i="2"/>
  <c r="AC1067" i="2"/>
  <c r="U1067" i="2"/>
  <c r="J1067" i="2" l="1"/>
  <c r="W1067" i="2"/>
  <c r="X1067" i="2" s="1"/>
  <c r="AD1067" i="2"/>
  <c r="L1067" i="2" s="1"/>
  <c r="AF1068" i="2"/>
  <c r="C1068" i="2"/>
  <c r="I1067" i="2" l="1"/>
  <c r="D1068" i="2"/>
  <c r="E1068" i="2" s="1"/>
  <c r="T1068" i="2" s="1"/>
  <c r="K1067" i="2"/>
  <c r="V1068" i="2" l="1"/>
  <c r="N1067" i="2"/>
  <c r="O1067" i="2" l="1"/>
  <c r="R1067" i="2" s="1"/>
  <c r="M1067" i="2"/>
  <c r="P1067" i="2" s="1"/>
  <c r="AG1067" i="2" l="1"/>
  <c r="Q1067" i="2"/>
  <c r="S1067" i="2" s="1"/>
  <c r="Y1067" i="2" s="1"/>
  <c r="AA1067" i="2" s="1"/>
  <c r="Z1067" i="2" l="1"/>
  <c r="AB1068" i="2"/>
  <c r="B1069" i="2" l="1"/>
  <c r="H1069" i="2" s="1"/>
  <c r="G1068" i="2"/>
  <c r="F1068" i="2"/>
  <c r="AC1068" i="2"/>
  <c r="AE1068" i="2"/>
  <c r="U1068" i="2"/>
  <c r="AF1069" i="2" l="1"/>
  <c r="C1069" i="2"/>
  <c r="AD1068" i="2"/>
  <c r="L1068" i="2" s="1"/>
  <c r="J1068" i="2"/>
  <c r="W1068" i="2"/>
  <c r="X1068" i="2" s="1"/>
  <c r="I1068" i="2" l="1"/>
  <c r="K1068" i="2"/>
  <c r="D1069" i="2"/>
  <c r="E1069" i="2" s="1"/>
  <c r="T1069" i="2" s="1"/>
  <c r="V1069" i="2" l="1"/>
  <c r="N1068" i="2"/>
  <c r="O1068" i="2" l="1"/>
  <c r="R1068" i="2" s="1"/>
  <c r="M1068" i="2"/>
  <c r="P1068" i="2" s="1"/>
  <c r="AG1068" i="2" l="1"/>
  <c r="Q1068" i="2"/>
  <c r="S1068" i="2" s="1"/>
  <c r="Z1068" i="2" s="1"/>
  <c r="Y1068" i="2" l="1"/>
  <c r="AA1068" i="2" s="1"/>
  <c r="AB1069" i="2" s="1"/>
  <c r="B1070" i="2" l="1"/>
  <c r="H1070" i="2" s="1"/>
  <c r="G1069" i="2"/>
  <c r="F1069" i="2"/>
  <c r="AE1069" i="2"/>
  <c r="AC1069" i="2"/>
  <c r="U1069" i="2"/>
  <c r="J1069" i="2" l="1"/>
  <c r="W1069" i="2"/>
  <c r="X1069" i="2" s="1"/>
  <c r="AF1070" i="2"/>
  <c r="C1070" i="2"/>
  <c r="AD1069" i="2"/>
  <c r="L1069" i="2" s="1"/>
  <c r="K1069" i="2" l="1"/>
  <c r="D1070" i="2"/>
  <c r="E1070" i="2" s="1"/>
  <c r="T1070" i="2" s="1"/>
  <c r="I1069" i="2"/>
  <c r="N1069" i="2" l="1"/>
  <c r="V1070" i="2"/>
  <c r="O1069" i="2" l="1"/>
  <c r="R1069" i="2" s="1"/>
  <c r="M1069" i="2"/>
  <c r="P1069" i="2" s="1"/>
  <c r="AG1069" i="2" l="1"/>
  <c r="Q1069" i="2"/>
  <c r="S1069" i="2" s="1"/>
  <c r="Y1069" i="2" s="1"/>
  <c r="AA1069" i="2" s="1"/>
  <c r="Z1069" i="2" l="1"/>
  <c r="AB1070" i="2"/>
  <c r="B1071" i="2" l="1"/>
  <c r="H1071" i="2" s="1"/>
  <c r="G1070" i="2"/>
  <c r="F1070" i="2"/>
  <c r="AE1070" i="2"/>
  <c r="AC1070" i="2"/>
  <c r="U1070" i="2"/>
  <c r="AD1070" i="2" l="1"/>
  <c r="L1070" i="2" s="1"/>
  <c r="J1070" i="2"/>
  <c r="W1070" i="2"/>
  <c r="X1070" i="2" s="1"/>
  <c r="AF1071" i="2"/>
  <c r="C1071" i="2"/>
  <c r="I1070" i="2" l="1"/>
  <c r="D1071" i="2"/>
  <c r="E1071" i="2" s="1"/>
  <c r="T1071" i="2" s="1"/>
  <c r="K1070" i="2"/>
  <c r="V1071" i="2" l="1"/>
  <c r="N1070" i="2"/>
  <c r="O1070" i="2" l="1"/>
  <c r="Q1070" i="2" s="1"/>
  <c r="M1070" i="2"/>
  <c r="P1070" i="2" s="1"/>
  <c r="AG1070" i="2" l="1"/>
  <c r="R1070" i="2"/>
  <c r="S1070" i="2" s="1"/>
  <c r="Y1070" i="2" s="1"/>
  <c r="AA1070" i="2" s="1"/>
  <c r="Z1070" i="2" l="1"/>
  <c r="AB1071" i="2"/>
  <c r="B1072" i="2" l="1"/>
  <c r="H1072" i="2" s="1"/>
  <c r="G1071" i="2"/>
  <c r="F1071" i="2"/>
  <c r="AE1071" i="2"/>
  <c r="AC1071" i="2"/>
  <c r="U1071" i="2"/>
  <c r="AF1072" i="2" l="1"/>
  <c r="C1072" i="2"/>
  <c r="J1071" i="2"/>
  <c r="W1071" i="2"/>
  <c r="X1071" i="2" s="1"/>
  <c r="AD1071" i="2"/>
  <c r="L1071" i="2" s="1"/>
  <c r="I1071" i="2" l="1"/>
  <c r="D1072" i="2"/>
  <c r="E1072" i="2" s="1"/>
  <c r="T1072" i="2" s="1"/>
  <c r="K1071" i="2"/>
  <c r="V1072" i="2" l="1"/>
  <c r="N1071" i="2"/>
  <c r="O1071" i="2" l="1"/>
  <c r="R1071" i="2" s="1"/>
  <c r="M1071" i="2"/>
  <c r="P1071" i="2" s="1"/>
  <c r="AG1071" i="2" l="1"/>
  <c r="Q1071" i="2"/>
  <c r="S1071" i="2" s="1"/>
  <c r="Y1071" i="2" s="1"/>
  <c r="AA1071" i="2" s="1"/>
  <c r="Z1071" i="2" l="1"/>
  <c r="AB1072" i="2"/>
  <c r="B1073" i="2" l="1"/>
  <c r="H1073" i="2" s="1"/>
  <c r="G1072" i="2"/>
  <c r="F1072" i="2"/>
  <c r="AC1072" i="2"/>
  <c r="AE1072" i="2"/>
  <c r="U1072" i="2"/>
  <c r="AF1073" i="2" l="1"/>
  <c r="C1073" i="2"/>
  <c r="AD1072" i="2"/>
  <c r="L1072" i="2" s="1"/>
  <c r="J1072" i="2"/>
  <c r="W1072" i="2"/>
  <c r="X1072" i="2" s="1"/>
  <c r="I1072" i="2" l="1"/>
  <c r="K1072" i="2"/>
  <c r="D1073" i="2"/>
  <c r="E1073" i="2" s="1"/>
  <c r="T1073" i="2" s="1"/>
  <c r="V1073" i="2" l="1"/>
  <c r="N1072" i="2"/>
  <c r="O1072" i="2" l="1"/>
  <c r="Q1072" i="2" s="1"/>
  <c r="M1072" i="2"/>
  <c r="P1072" i="2" s="1"/>
  <c r="AG1072" i="2" l="1"/>
  <c r="R1072" i="2"/>
  <c r="S1072" i="2" s="1"/>
  <c r="Y1072" i="2" s="1"/>
  <c r="AA1072" i="2" s="1"/>
  <c r="Z1072" i="2" l="1"/>
  <c r="AB1073" i="2"/>
  <c r="B1074" i="2" l="1"/>
  <c r="H1074" i="2" s="1"/>
  <c r="G1073" i="2"/>
  <c r="F1073" i="2"/>
  <c r="AC1073" i="2"/>
  <c r="AE1073" i="2"/>
  <c r="U1073" i="2"/>
  <c r="AD1073" i="2" l="1"/>
  <c r="L1073" i="2" s="1"/>
  <c r="J1073" i="2"/>
  <c r="W1073" i="2"/>
  <c r="X1073" i="2" s="1"/>
  <c r="AF1074" i="2"/>
  <c r="C1074" i="2"/>
  <c r="I1073" i="2" l="1"/>
  <c r="K1073" i="2"/>
  <c r="D1074" i="2"/>
  <c r="E1074" i="2" s="1"/>
  <c r="T1074" i="2" s="1"/>
  <c r="V1074" i="2" l="1"/>
  <c r="N1073" i="2"/>
  <c r="O1073" i="2" l="1"/>
  <c r="R1073" i="2" s="1"/>
  <c r="M1073" i="2"/>
  <c r="P1073" i="2" s="1"/>
  <c r="AG1073" i="2" l="1"/>
  <c r="Q1073" i="2"/>
  <c r="S1073" i="2" s="1"/>
  <c r="Z1073" i="2" s="1"/>
  <c r="Y1073" i="2" l="1"/>
  <c r="AA1073" i="2" s="1"/>
  <c r="AB1074" i="2" s="1"/>
  <c r="B1075" i="2" l="1"/>
  <c r="H1075" i="2" s="1"/>
  <c r="G1074" i="2"/>
  <c r="F1074" i="2"/>
  <c r="AE1074" i="2"/>
  <c r="AC1074" i="2"/>
  <c r="U1074" i="2"/>
  <c r="AF1075" i="2" l="1"/>
  <c r="C1075" i="2"/>
  <c r="J1074" i="2"/>
  <c r="W1074" i="2"/>
  <c r="X1074" i="2" s="1"/>
  <c r="AD1074" i="2"/>
  <c r="L1074" i="2" s="1"/>
  <c r="K1074" i="2" l="1"/>
  <c r="D1075" i="2"/>
  <c r="E1075" i="2" s="1"/>
  <c r="T1075" i="2" s="1"/>
  <c r="I1074" i="2"/>
  <c r="N1074" i="2" l="1"/>
  <c r="V1075" i="2"/>
  <c r="O1074" i="2" l="1"/>
  <c r="Q1074" i="2" s="1"/>
  <c r="M1074" i="2"/>
  <c r="P1074" i="2" s="1"/>
  <c r="AG1074" i="2" l="1"/>
  <c r="R1074" i="2"/>
  <c r="S1074" i="2" s="1"/>
  <c r="Y1074" i="2" l="1"/>
  <c r="AA1074" i="2" s="1"/>
  <c r="AB1075" i="2" s="1"/>
  <c r="Z1074" i="2"/>
  <c r="B1076" i="2" l="1"/>
  <c r="H1076" i="2" s="1"/>
  <c r="G1075" i="2"/>
  <c r="F1075" i="2"/>
  <c r="AE1075" i="2"/>
  <c r="AC1075" i="2"/>
  <c r="U1075" i="2"/>
  <c r="AD1075" i="2" l="1"/>
  <c r="L1075" i="2" s="1"/>
  <c r="C1076" i="2"/>
  <c r="AF1076" i="2"/>
  <c r="J1075" i="2"/>
  <c r="W1075" i="2"/>
  <c r="X1075" i="2" s="1"/>
  <c r="K1075" i="2" l="1"/>
  <c r="I1075" i="2"/>
  <c r="D1076" i="2"/>
  <c r="E1076" i="2" s="1"/>
  <c r="T1076" i="2" s="1"/>
  <c r="N1075" i="2" l="1"/>
  <c r="M1075" i="2" s="1"/>
  <c r="P1075" i="2" s="1"/>
  <c r="V1076" i="2"/>
  <c r="AG1075" i="2" l="1"/>
  <c r="O1075" i="2"/>
  <c r="R1075" i="2" s="1"/>
  <c r="Q1075" i="2" l="1"/>
  <c r="S1075" i="2" s="1"/>
  <c r="Y1075" i="2" s="1"/>
  <c r="AA1075" i="2" s="1"/>
  <c r="Z1075" i="2" l="1"/>
  <c r="AB1076" i="2"/>
  <c r="B1077" i="2" l="1"/>
  <c r="H1077" i="2" s="1"/>
  <c r="G1076" i="2"/>
  <c r="F1076" i="2"/>
  <c r="AE1076" i="2"/>
  <c r="AC1076" i="2"/>
  <c r="U1076" i="2"/>
  <c r="AF1077" i="2" l="1"/>
  <c r="C1077" i="2"/>
  <c r="AD1076" i="2"/>
  <c r="L1076" i="2" s="1"/>
  <c r="J1076" i="2"/>
  <c r="W1076" i="2"/>
  <c r="X1076" i="2" s="1"/>
  <c r="I1076" i="2" l="1"/>
  <c r="D1077" i="2"/>
  <c r="E1077" i="2" s="1"/>
  <c r="T1077" i="2" s="1"/>
  <c r="K1076" i="2"/>
  <c r="V1077" i="2" l="1"/>
  <c r="N1076" i="2"/>
  <c r="O1076" i="2" l="1"/>
  <c r="R1076" i="2" s="1"/>
  <c r="M1076" i="2"/>
  <c r="P1076" i="2" s="1"/>
  <c r="AG1076" i="2" l="1"/>
  <c r="Q1076" i="2"/>
  <c r="S1076" i="2" s="1"/>
  <c r="Y1076" i="2" s="1"/>
  <c r="AA1076" i="2" s="1"/>
  <c r="Z1076" i="2" l="1"/>
  <c r="AB1077" i="2"/>
  <c r="B1078" i="2" l="1"/>
  <c r="H1078" i="2" s="1"/>
  <c r="G1077" i="2"/>
  <c r="F1077" i="2"/>
  <c r="AE1077" i="2"/>
  <c r="AC1077" i="2"/>
  <c r="U1077" i="2"/>
  <c r="J1077" i="2" l="1"/>
  <c r="W1077" i="2"/>
  <c r="X1077" i="2" s="1"/>
  <c r="AD1077" i="2"/>
  <c r="L1077" i="2" s="1"/>
  <c r="AF1078" i="2"/>
  <c r="C1078" i="2"/>
  <c r="I1077" i="2" l="1"/>
  <c r="D1078" i="2"/>
  <c r="E1078" i="2" s="1"/>
  <c r="T1078" i="2" s="1"/>
  <c r="K1077" i="2"/>
  <c r="V1078" i="2" l="1"/>
  <c r="N1077" i="2"/>
  <c r="O1077" i="2" l="1"/>
  <c r="Q1077" i="2" s="1"/>
  <c r="M1077" i="2"/>
  <c r="P1077" i="2" s="1"/>
  <c r="AG1077" i="2" l="1"/>
  <c r="R1077" i="2"/>
  <c r="S1077" i="2" s="1"/>
  <c r="Y1077" i="2" l="1"/>
  <c r="AA1077" i="2" s="1"/>
  <c r="AB1078" i="2" s="1"/>
  <c r="Z1077" i="2"/>
  <c r="B1079" i="2" l="1"/>
  <c r="H1079" i="2" s="1"/>
  <c r="G1078" i="2"/>
  <c r="F1078" i="2"/>
  <c r="AE1078" i="2"/>
  <c r="AC1078" i="2"/>
  <c r="U1078" i="2"/>
  <c r="J1078" i="2" l="1"/>
  <c r="W1078" i="2"/>
  <c r="X1078" i="2" s="1"/>
  <c r="AF1079" i="2"/>
  <c r="C1079" i="2"/>
  <c r="AD1078" i="2"/>
  <c r="L1078" i="2" s="1"/>
  <c r="I1078" i="2" l="1"/>
  <c r="D1079" i="2"/>
  <c r="E1079" i="2" s="1"/>
  <c r="T1079" i="2" s="1"/>
  <c r="K1078" i="2"/>
  <c r="V1079" i="2" l="1"/>
  <c r="N1078" i="2"/>
  <c r="O1078" i="2" l="1"/>
  <c r="R1078" i="2" s="1"/>
  <c r="M1078" i="2"/>
  <c r="P1078" i="2" s="1"/>
  <c r="AG1078" i="2" l="1"/>
  <c r="Q1078" i="2"/>
  <c r="S1078" i="2" s="1"/>
  <c r="Y1078" i="2" s="1"/>
  <c r="AA1078" i="2" s="1"/>
  <c r="Z1078" i="2" l="1"/>
  <c r="AB1079" i="2"/>
  <c r="B1080" i="2" l="1"/>
  <c r="H1080" i="2" s="1"/>
  <c r="G1079" i="2"/>
  <c r="F1079" i="2"/>
  <c r="AC1079" i="2"/>
  <c r="AE1079" i="2"/>
  <c r="U1079" i="2"/>
  <c r="J1079" i="2" l="1"/>
  <c r="W1079" i="2"/>
  <c r="X1079" i="2" s="1"/>
  <c r="AF1080" i="2"/>
  <c r="C1080" i="2"/>
  <c r="AD1079" i="2"/>
  <c r="L1079" i="2" s="1"/>
  <c r="D1080" i="2" l="1"/>
  <c r="E1080" i="2" s="1"/>
  <c r="T1080" i="2" s="1"/>
  <c r="K1079" i="2"/>
  <c r="I1079" i="2"/>
  <c r="N1079" i="2" l="1"/>
  <c r="V1080" i="2"/>
  <c r="O1079" i="2" l="1"/>
  <c r="R1079" i="2" s="1"/>
  <c r="M1079" i="2"/>
  <c r="P1079" i="2" s="1"/>
  <c r="AG1079" i="2" l="1"/>
  <c r="Q1079" i="2"/>
  <c r="S1079" i="2" s="1"/>
  <c r="Y1079" i="2" s="1"/>
  <c r="AA1079" i="2" s="1"/>
  <c r="Z1079" i="2" l="1"/>
  <c r="AB1080" i="2"/>
  <c r="B1081" i="2" l="1"/>
  <c r="H1081" i="2" s="1"/>
  <c r="G1080" i="2"/>
  <c r="F1080" i="2"/>
  <c r="AE1080" i="2"/>
  <c r="AC1080" i="2"/>
  <c r="U1080" i="2"/>
  <c r="AF1081" i="2" l="1"/>
  <c r="C1081" i="2"/>
  <c r="AD1080" i="2"/>
  <c r="L1080" i="2" s="1"/>
  <c r="J1080" i="2"/>
  <c r="W1080" i="2"/>
  <c r="X1080" i="2" s="1"/>
  <c r="K1080" i="2" l="1"/>
  <c r="I1080" i="2"/>
  <c r="D1081" i="2"/>
  <c r="E1081" i="2" s="1"/>
  <c r="T1081" i="2" s="1"/>
  <c r="N1080" i="2" l="1"/>
  <c r="V1081" i="2"/>
  <c r="O1080" i="2" l="1"/>
  <c r="R1080" i="2" s="1"/>
  <c r="M1080" i="2"/>
  <c r="P1080" i="2" s="1"/>
  <c r="AG1080" i="2" l="1"/>
  <c r="Q1080" i="2"/>
  <c r="S1080" i="2" s="1"/>
  <c r="Z1080" i="2" s="1"/>
  <c r="Y1080" i="2" l="1"/>
  <c r="AA1080" i="2" s="1"/>
  <c r="AB1081" i="2" s="1"/>
  <c r="B1082" i="2" l="1"/>
  <c r="H1082" i="2" s="1"/>
  <c r="G1081" i="2"/>
  <c r="F1081" i="2"/>
  <c r="AE1081" i="2"/>
  <c r="AC1081" i="2"/>
  <c r="U1081" i="2"/>
  <c r="J1081" i="2" l="1"/>
  <c r="W1081" i="2"/>
  <c r="X1081" i="2" s="1"/>
  <c r="C1082" i="2"/>
  <c r="AF1082" i="2"/>
  <c r="AD1081" i="2"/>
  <c r="L1081" i="2" s="1"/>
  <c r="K1081" i="2" l="1"/>
  <c r="I1081" i="2"/>
  <c r="D1082" i="2"/>
  <c r="E1082" i="2" s="1"/>
  <c r="T1082" i="2" s="1"/>
  <c r="N1081" i="2" l="1"/>
  <c r="V1082" i="2"/>
  <c r="O1081" i="2" l="1"/>
  <c r="R1081" i="2" s="1"/>
  <c r="M1081" i="2"/>
  <c r="P1081" i="2" s="1"/>
  <c r="AG1081" i="2" l="1"/>
  <c r="Q1081" i="2"/>
  <c r="S1081" i="2" s="1"/>
  <c r="Y1081" i="2" s="1"/>
  <c r="AA1081" i="2" s="1"/>
  <c r="Z1081" i="2" l="1"/>
  <c r="AB1082" i="2"/>
  <c r="B1083" i="2" l="1"/>
  <c r="H1083" i="2" s="1"/>
  <c r="G1082" i="2"/>
  <c r="F1082" i="2"/>
  <c r="AC1082" i="2"/>
  <c r="AE1082" i="2"/>
  <c r="U1082" i="2"/>
  <c r="AD1082" i="2" l="1"/>
  <c r="L1082" i="2" s="1"/>
  <c r="J1082" i="2"/>
  <c r="W1082" i="2"/>
  <c r="X1082" i="2" s="1"/>
  <c r="AF1083" i="2"/>
  <c r="C1083" i="2"/>
  <c r="I1082" i="2" l="1"/>
  <c r="D1083" i="2"/>
  <c r="E1083" i="2" s="1"/>
  <c r="T1083" i="2" s="1"/>
  <c r="K1082" i="2"/>
  <c r="V1083" i="2" l="1"/>
  <c r="N1082" i="2"/>
  <c r="O1082" i="2" l="1"/>
  <c r="Q1082" i="2" s="1"/>
  <c r="M1082" i="2"/>
  <c r="P1082" i="2" s="1"/>
  <c r="AG1082" i="2" l="1"/>
  <c r="R1082" i="2"/>
  <c r="S1082" i="2" s="1"/>
  <c r="Y1082" i="2" s="1"/>
  <c r="AA1082" i="2" s="1"/>
  <c r="Z1082" i="2" l="1"/>
  <c r="AB1083" i="2"/>
  <c r="B1084" i="2" l="1"/>
  <c r="H1084" i="2" s="1"/>
  <c r="G1083" i="2"/>
  <c r="F1083" i="2"/>
  <c r="AC1083" i="2"/>
  <c r="AE1083" i="2"/>
  <c r="U1083" i="2"/>
  <c r="J1083" i="2" l="1"/>
  <c r="W1083" i="2"/>
  <c r="X1083" i="2" s="1"/>
  <c r="AD1083" i="2"/>
  <c r="L1083" i="2" s="1"/>
  <c r="AF1084" i="2"/>
  <c r="C1084" i="2"/>
  <c r="K1083" i="2" l="1"/>
  <c r="D1084" i="2"/>
  <c r="E1084" i="2" s="1"/>
  <c r="T1084" i="2" s="1"/>
  <c r="I1083" i="2"/>
  <c r="N1083" i="2" l="1"/>
  <c r="M1083" i="2" s="1"/>
  <c r="V1084" i="2"/>
  <c r="P1083" i="2" l="1"/>
  <c r="AG1083" i="2" s="1"/>
  <c r="O1083" i="2"/>
  <c r="Q1083" i="2" s="1"/>
  <c r="R1083" i="2" l="1"/>
  <c r="S1083" i="2" s="1"/>
  <c r="Y1083" i="2" s="1"/>
  <c r="AA1083" i="2" s="1"/>
  <c r="Z1083" i="2" l="1"/>
  <c r="AB1084" i="2"/>
  <c r="B1085" i="2" l="1"/>
  <c r="H1085" i="2" s="1"/>
  <c r="G1084" i="2"/>
  <c r="F1084" i="2"/>
  <c r="AE1084" i="2"/>
  <c r="AC1084" i="2"/>
  <c r="U1084" i="2"/>
  <c r="AF1085" i="2" l="1"/>
  <c r="C1085" i="2"/>
  <c r="AD1084" i="2"/>
  <c r="L1084" i="2" s="1"/>
  <c r="J1084" i="2"/>
  <c r="W1084" i="2"/>
  <c r="X1084" i="2" s="1"/>
  <c r="K1084" i="2" l="1"/>
  <c r="D1085" i="2"/>
  <c r="E1085" i="2" s="1"/>
  <c r="T1085" i="2" s="1"/>
  <c r="I1084" i="2"/>
  <c r="N1084" i="2" l="1"/>
  <c r="V1085" i="2"/>
  <c r="O1084" i="2" l="1"/>
  <c r="Q1084" i="2" s="1"/>
  <c r="M1084" i="2"/>
  <c r="P1084" i="2" s="1"/>
  <c r="AG1084" i="2" l="1"/>
  <c r="R1084" i="2"/>
  <c r="S1084" i="2" s="1"/>
  <c r="Y1084" i="2" l="1"/>
  <c r="AA1084" i="2" s="1"/>
  <c r="AB1085" i="2" s="1"/>
  <c r="Z1084" i="2"/>
  <c r="B1086" i="2" l="1"/>
  <c r="H1086" i="2" s="1"/>
  <c r="G1085" i="2"/>
  <c r="F1085" i="2"/>
  <c r="AC1085" i="2"/>
  <c r="AE1085" i="2"/>
  <c r="U1085" i="2"/>
  <c r="J1085" i="2" l="1"/>
  <c r="W1085" i="2"/>
  <c r="X1085" i="2" s="1"/>
  <c r="AD1085" i="2"/>
  <c r="L1085" i="2" s="1"/>
  <c r="AF1086" i="2"/>
  <c r="C1086" i="2"/>
  <c r="D1086" i="2" l="1"/>
  <c r="E1086" i="2" s="1"/>
  <c r="T1086" i="2" s="1"/>
  <c r="K1085" i="2"/>
  <c r="I1085" i="2"/>
  <c r="N1085" i="2" l="1"/>
  <c r="M1085" i="2" s="1"/>
  <c r="P1085" i="2" s="1"/>
  <c r="V1086" i="2"/>
  <c r="AG1085" i="2" l="1"/>
  <c r="O1085" i="2"/>
  <c r="Q1085" i="2" s="1"/>
  <c r="R1085" i="2" l="1"/>
  <c r="S1085" i="2" s="1"/>
  <c r="Y1085" i="2" s="1"/>
  <c r="AA1085" i="2" s="1"/>
  <c r="Z1085" i="2" l="1"/>
  <c r="AB1086" i="2"/>
  <c r="B1087" i="2" l="1"/>
  <c r="H1087" i="2" s="1"/>
  <c r="G1086" i="2"/>
  <c r="F1086" i="2"/>
  <c r="AE1086" i="2"/>
  <c r="AC1086" i="2"/>
  <c r="U1086" i="2"/>
  <c r="AF1087" i="2" l="1"/>
  <c r="C1087" i="2"/>
  <c r="AD1086" i="2"/>
  <c r="L1086" i="2" s="1"/>
  <c r="J1086" i="2"/>
  <c r="W1086" i="2"/>
  <c r="X1086" i="2" s="1"/>
  <c r="I1086" i="2" l="1"/>
  <c r="D1087" i="2"/>
  <c r="E1087" i="2" s="1"/>
  <c r="T1087" i="2" s="1"/>
  <c r="K1086" i="2"/>
  <c r="V1087" i="2" l="1"/>
  <c r="N1086" i="2"/>
  <c r="O1086" i="2" l="1"/>
  <c r="R1086" i="2" s="1"/>
  <c r="M1086" i="2"/>
  <c r="P1086" i="2" s="1"/>
  <c r="AG1086" i="2" l="1"/>
  <c r="Q1086" i="2"/>
  <c r="S1086" i="2" s="1"/>
  <c r="Z1086" i="2" s="1"/>
  <c r="Y1086" i="2" l="1"/>
  <c r="AA1086" i="2" s="1"/>
  <c r="AB1087" i="2" s="1"/>
  <c r="B1088" i="2" l="1"/>
  <c r="H1088" i="2" s="1"/>
  <c r="G1087" i="2"/>
  <c r="F1087" i="2"/>
  <c r="AC1087" i="2"/>
  <c r="AE1087" i="2"/>
  <c r="U1087" i="2"/>
  <c r="AD1087" i="2" l="1"/>
  <c r="L1087" i="2" s="1"/>
  <c r="AF1088" i="2"/>
  <c r="C1088" i="2"/>
  <c r="J1087" i="2"/>
  <c r="W1087" i="2"/>
  <c r="X1087" i="2" s="1"/>
  <c r="K1087" i="2" l="1"/>
  <c r="I1087" i="2"/>
  <c r="D1088" i="2"/>
  <c r="E1088" i="2" s="1"/>
  <c r="T1088" i="2" s="1"/>
  <c r="N1087" i="2" l="1"/>
  <c r="M1087" i="2" s="1"/>
  <c r="P1087" i="2" s="1"/>
  <c r="V1088" i="2"/>
  <c r="AG1087" i="2" l="1"/>
  <c r="O1087" i="2"/>
  <c r="Q1087" i="2" s="1"/>
  <c r="R1087" i="2" l="1"/>
  <c r="S1087" i="2" s="1"/>
  <c r="Z1087" i="2" s="1"/>
  <c r="Y1087" i="2" l="1"/>
  <c r="AA1087" i="2" s="1"/>
  <c r="AB1088" i="2" s="1"/>
  <c r="B1089" i="2" l="1"/>
  <c r="H1089" i="2" s="1"/>
  <c r="G1088" i="2"/>
  <c r="F1088" i="2"/>
  <c r="AC1088" i="2"/>
  <c r="AE1088" i="2"/>
  <c r="U1088" i="2"/>
  <c r="C1089" i="2" l="1"/>
  <c r="AF1089" i="2"/>
  <c r="AD1088" i="2"/>
  <c r="L1088" i="2" s="1"/>
  <c r="J1088" i="2"/>
  <c r="W1088" i="2"/>
  <c r="X1088" i="2" s="1"/>
  <c r="I1088" i="2" l="1"/>
  <c r="K1088" i="2"/>
  <c r="D1089" i="2"/>
  <c r="E1089" i="2" s="1"/>
  <c r="T1089" i="2" s="1"/>
  <c r="N1088" i="2" l="1"/>
  <c r="M1088" i="2" s="1"/>
  <c r="P1088" i="2" s="1"/>
  <c r="V1089" i="2"/>
  <c r="AG1088" i="2" l="1"/>
  <c r="O1088" i="2"/>
  <c r="Q1088" i="2" s="1"/>
  <c r="R1088" i="2" l="1"/>
  <c r="S1088" i="2" s="1"/>
  <c r="Y1088" i="2" s="1"/>
  <c r="AA1088" i="2" s="1"/>
  <c r="Z1088" i="2" l="1"/>
  <c r="AB1089" i="2"/>
  <c r="B1090" i="2" l="1"/>
  <c r="H1090" i="2" s="1"/>
  <c r="G1089" i="2"/>
  <c r="F1089" i="2"/>
  <c r="AE1089" i="2"/>
  <c r="AC1089" i="2"/>
  <c r="U1089" i="2"/>
  <c r="AF1090" i="2" l="1"/>
  <c r="C1090" i="2"/>
  <c r="J1089" i="2"/>
  <c r="W1089" i="2"/>
  <c r="X1089" i="2" s="1"/>
  <c r="AD1089" i="2"/>
  <c r="L1089" i="2" s="1"/>
  <c r="D1090" i="2" l="1"/>
  <c r="E1090" i="2" s="1"/>
  <c r="T1090" i="2" s="1"/>
  <c r="K1089" i="2"/>
  <c r="I1089" i="2"/>
  <c r="N1089" i="2" l="1"/>
  <c r="M1089" i="2" s="1"/>
  <c r="P1089" i="2" s="1"/>
  <c r="V1090" i="2"/>
  <c r="AG1089" i="2" l="1"/>
  <c r="O1089" i="2"/>
  <c r="Q1089" i="2" s="1"/>
  <c r="R1089" i="2" l="1"/>
  <c r="S1089" i="2" s="1"/>
  <c r="Y1089" i="2" l="1"/>
  <c r="AA1089" i="2" s="1"/>
  <c r="AB1090" i="2" s="1"/>
  <c r="Z1089" i="2"/>
  <c r="B1091" i="2" l="1"/>
  <c r="H1091" i="2" s="1"/>
  <c r="G1090" i="2"/>
  <c r="F1090" i="2"/>
  <c r="AC1090" i="2"/>
  <c r="AE1090" i="2"/>
  <c r="U1090" i="2"/>
  <c r="AF1091" i="2" l="1"/>
  <c r="C1091" i="2"/>
  <c r="AD1090" i="2"/>
  <c r="L1090" i="2" s="1"/>
  <c r="J1090" i="2"/>
  <c r="W1090" i="2"/>
  <c r="X1090" i="2" s="1"/>
  <c r="I1090" i="2" l="1"/>
  <c r="K1090" i="2"/>
  <c r="D1091" i="2"/>
  <c r="E1091" i="2" s="1"/>
  <c r="T1091" i="2" s="1"/>
  <c r="N1090" i="2" l="1"/>
  <c r="M1090" i="2" s="1"/>
  <c r="P1090" i="2" s="1"/>
  <c r="V1091" i="2"/>
  <c r="AG1090" i="2" l="1"/>
  <c r="O1090" i="2"/>
  <c r="Q1090" i="2" s="1"/>
  <c r="R1090" i="2" l="1"/>
  <c r="S1090" i="2" s="1"/>
  <c r="Y1090" i="2" s="1"/>
  <c r="AA1090" i="2" s="1"/>
  <c r="Z1090" i="2" l="1"/>
  <c r="AB1091" i="2"/>
  <c r="B1092" i="2" l="1"/>
  <c r="H1092" i="2" s="1"/>
  <c r="G1091" i="2"/>
  <c r="F1091" i="2"/>
  <c r="AC1091" i="2"/>
  <c r="AE1091" i="2"/>
  <c r="U1091" i="2"/>
  <c r="AD1091" i="2" l="1"/>
  <c r="L1091" i="2" s="1"/>
  <c r="J1091" i="2"/>
  <c r="W1091" i="2"/>
  <c r="X1091" i="2" s="1"/>
  <c r="C1092" i="2"/>
  <c r="AF1092" i="2"/>
  <c r="K1091" i="2" l="1"/>
  <c r="D1092" i="2"/>
  <c r="E1092" i="2" s="1"/>
  <c r="T1092" i="2" s="1"/>
  <c r="I1091" i="2"/>
  <c r="N1091" i="2" l="1"/>
  <c r="M1091" i="2" s="1"/>
  <c r="P1091" i="2" s="1"/>
  <c r="V1092" i="2"/>
  <c r="AG1091" i="2" l="1"/>
  <c r="O1091" i="2"/>
  <c r="Q1091" i="2" s="1"/>
  <c r="R1091" i="2" l="1"/>
  <c r="S1091" i="2" s="1"/>
  <c r="Z1091" i="2" s="1"/>
  <c r="Y1091" i="2" l="1"/>
  <c r="AA1091" i="2" s="1"/>
  <c r="AB1092" i="2" s="1"/>
  <c r="B1093" i="2" l="1"/>
  <c r="H1093" i="2" s="1"/>
  <c r="G1092" i="2"/>
  <c r="F1092" i="2"/>
  <c r="AE1092" i="2"/>
  <c r="AC1092" i="2"/>
  <c r="U1092" i="2"/>
  <c r="AD1092" i="2" l="1"/>
  <c r="L1092" i="2" s="1"/>
  <c r="AF1093" i="2"/>
  <c r="C1093" i="2"/>
  <c r="J1092" i="2"/>
  <c r="W1092" i="2"/>
  <c r="X1092" i="2" s="1"/>
  <c r="I1092" i="2" l="1"/>
  <c r="K1092" i="2"/>
  <c r="D1093" i="2"/>
  <c r="E1093" i="2" s="1"/>
  <c r="T1093" i="2" s="1"/>
  <c r="V1093" i="2" l="1"/>
  <c r="N1092" i="2"/>
  <c r="O1092" i="2" l="1"/>
  <c r="Q1092" i="2" s="1"/>
  <c r="M1092" i="2"/>
  <c r="P1092" i="2" s="1"/>
  <c r="AG1092" i="2" l="1"/>
  <c r="R1092" i="2"/>
  <c r="S1092" i="2" s="1"/>
  <c r="Y1092" i="2" l="1"/>
  <c r="AA1092" i="2" s="1"/>
  <c r="AB1093" i="2" s="1"/>
  <c r="Z1092" i="2"/>
  <c r="B1094" i="2" l="1"/>
  <c r="H1094" i="2" s="1"/>
  <c r="G1093" i="2"/>
  <c r="F1093" i="2"/>
  <c r="AE1093" i="2"/>
  <c r="AC1093" i="2"/>
  <c r="U1093" i="2"/>
  <c r="AD1093" i="2" l="1"/>
  <c r="L1093" i="2" s="1"/>
  <c r="AF1094" i="2"/>
  <c r="C1094" i="2"/>
  <c r="J1093" i="2"/>
  <c r="W1093" i="2"/>
  <c r="X1093" i="2" s="1"/>
  <c r="I1093" i="2" l="1"/>
  <c r="K1093" i="2"/>
  <c r="D1094" i="2"/>
  <c r="E1094" i="2" s="1"/>
  <c r="T1094" i="2" s="1"/>
  <c r="V1094" i="2" l="1"/>
  <c r="N1093" i="2"/>
  <c r="O1093" i="2" l="1"/>
  <c r="R1093" i="2" s="1"/>
  <c r="M1093" i="2"/>
  <c r="P1093" i="2" s="1"/>
  <c r="AG1093" i="2" l="1"/>
  <c r="Q1093" i="2"/>
  <c r="S1093" i="2" s="1"/>
  <c r="Y1093" i="2" s="1"/>
  <c r="AA1093" i="2" s="1"/>
  <c r="Z1093" i="2" l="1"/>
  <c r="AB1094" i="2"/>
  <c r="B1095" i="2" l="1"/>
  <c r="H1095" i="2" s="1"/>
  <c r="G1094" i="2"/>
  <c r="F1094" i="2"/>
  <c r="AE1094" i="2"/>
  <c r="AC1094" i="2"/>
  <c r="U1094" i="2"/>
  <c r="AD1094" i="2" l="1"/>
  <c r="L1094" i="2" s="1"/>
  <c r="J1094" i="2"/>
  <c r="W1094" i="2"/>
  <c r="X1094" i="2" s="1"/>
  <c r="AF1095" i="2"/>
  <c r="C1095" i="2"/>
  <c r="I1094" i="2" l="1"/>
  <c r="D1095" i="2"/>
  <c r="E1095" i="2" s="1"/>
  <c r="T1095" i="2" s="1"/>
  <c r="K1094" i="2"/>
  <c r="V1095" i="2" l="1"/>
  <c r="N1094" i="2"/>
  <c r="O1094" i="2" l="1"/>
  <c r="R1094" i="2" s="1"/>
  <c r="M1094" i="2"/>
  <c r="P1094" i="2" s="1"/>
  <c r="AG1094" i="2" l="1"/>
  <c r="Q1094" i="2"/>
  <c r="S1094" i="2" s="1"/>
  <c r="Y1094" i="2" s="1"/>
  <c r="AA1094" i="2" s="1"/>
  <c r="Z1094" i="2" l="1"/>
  <c r="AB1095" i="2"/>
  <c r="B1096" i="2" l="1"/>
  <c r="H1096" i="2" s="1"/>
  <c r="G1095" i="2"/>
  <c r="F1095" i="2"/>
  <c r="AC1095" i="2"/>
  <c r="AE1095" i="2"/>
  <c r="U1095" i="2"/>
  <c r="AD1095" i="2" l="1"/>
  <c r="L1095" i="2" s="1"/>
  <c r="AF1096" i="2"/>
  <c r="C1096" i="2"/>
  <c r="J1095" i="2"/>
  <c r="W1095" i="2"/>
  <c r="X1095" i="2" s="1"/>
  <c r="I1095" i="2" l="1"/>
  <c r="K1095" i="2"/>
  <c r="D1096" i="2"/>
  <c r="E1096" i="2" s="1"/>
  <c r="T1096" i="2" s="1"/>
  <c r="V1096" i="2" l="1"/>
  <c r="N1095" i="2"/>
  <c r="O1095" i="2" l="1"/>
  <c r="R1095" i="2" s="1"/>
  <c r="M1095" i="2"/>
  <c r="P1095" i="2" s="1"/>
  <c r="AG1095" i="2" l="1"/>
  <c r="Q1095" i="2"/>
  <c r="S1095" i="2" s="1"/>
  <c r="Y1095" i="2" s="1"/>
  <c r="AA1095" i="2" s="1"/>
  <c r="Z1095" i="2" l="1"/>
  <c r="AB1096" i="2"/>
  <c r="B1097" i="2" l="1"/>
  <c r="H1097" i="2" s="1"/>
  <c r="G1096" i="2"/>
  <c r="F1096" i="2"/>
  <c r="AE1096" i="2"/>
  <c r="AC1096" i="2"/>
  <c r="U1096" i="2"/>
  <c r="AD1096" i="2" l="1"/>
  <c r="L1096" i="2" s="1"/>
  <c r="J1096" i="2"/>
  <c r="W1096" i="2"/>
  <c r="X1096" i="2" s="1"/>
  <c r="AF1097" i="2"/>
  <c r="C1097" i="2"/>
  <c r="I1096" i="2" l="1"/>
  <c r="D1097" i="2"/>
  <c r="E1097" i="2" s="1"/>
  <c r="T1097" i="2" s="1"/>
  <c r="K1096" i="2"/>
  <c r="V1097" i="2" l="1"/>
  <c r="N1096" i="2"/>
  <c r="O1096" i="2" l="1"/>
  <c r="R1096" i="2" s="1"/>
  <c r="M1096" i="2"/>
  <c r="P1096" i="2" s="1"/>
  <c r="AG1096" i="2" l="1"/>
  <c r="Q1096" i="2"/>
  <c r="S1096" i="2" s="1"/>
  <c r="Z1096" i="2" s="1"/>
  <c r="Y1096" i="2" l="1"/>
  <c r="AA1096" i="2" s="1"/>
  <c r="AB1097" i="2" s="1"/>
  <c r="B1098" i="2" l="1"/>
  <c r="H1098" i="2" s="1"/>
  <c r="G1097" i="2"/>
  <c r="F1097" i="2"/>
  <c r="AE1097" i="2"/>
  <c r="AC1097" i="2"/>
  <c r="U1097" i="2"/>
  <c r="J1097" i="2" l="1"/>
  <c r="W1097" i="2"/>
  <c r="X1097" i="2" s="1"/>
  <c r="AF1098" i="2"/>
  <c r="C1098" i="2"/>
  <c r="AD1097" i="2"/>
  <c r="L1097" i="2" s="1"/>
  <c r="K1097" i="2" l="1"/>
  <c r="D1098" i="2"/>
  <c r="E1098" i="2" s="1"/>
  <c r="T1098" i="2" s="1"/>
  <c r="I1097" i="2"/>
  <c r="N1097" i="2" l="1"/>
  <c r="V1098" i="2"/>
  <c r="O1097" i="2" l="1"/>
  <c r="Q1097" i="2" s="1"/>
  <c r="M1097" i="2"/>
  <c r="P1097" i="2" s="1"/>
  <c r="AG1097" i="2" l="1"/>
  <c r="R1097" i="2"/>
  <c r="S1097" i="2" s="1"/>
  <c r="Y1097" i="2" l="1"/>
  <c r="AA1097" i="2" s="1"/>
  <c r="AB1098" i="2" s="1"/>
  <c r="Z1097" i="2"/>
  <c r="B1099" i="2" l="1"/>
  <c r="H1099" i="2" s="1"/>
  <c r="G1098" i="2"/>
  <c r="F1098" i="2"/>
  <c r="AE1098" i="2"/>
  <c r="AC1098" i="2"/>
  <c r="U1098" i="2"/>
  <c r="AD1098" i="2" l="1"/>
  <c r="L1098" i="2" s="1"/>
  <c r="J1098" i="2"/>
  <c r="W1098" i="2"/>
  <c r="X1098" i="2" s="1"/>
  <c r="AF1099" i="2"/>
  <c r="C1099" i="2"/>
  <c r="K1098" i="2" l="1"/>
  <c r="D1099" i="2"/>
  <c r="E1099" i="2" s="1"/>
  <c r="T1099" i="2" s="1"/>
  <c r="I1098" i="2"/>
  <c r="N1098" i="2" l="1"/>
  <c r="V1099" i="2"/>
  <c r="O1098" i="2" l="1"/>
  <c r="R1098" i="2" s="1"/>
  <c r="M1098" i="2"/>
  <c r="P1098" i="2" s="1"/>
  <c r="AG1098" i="2" l="1"/>
  <c r="Q1098" i="2"/>
  <c r="S1098" i="2" s="1"/>
  <c r="Y1098" i="2" s="1"/>
  <c r="AA1098" i="2" s="1"/>
  <c r="Z1098" i="2" l="1"/>
  <c r="AB1099" i="2"/>
  <c r="B1100" i="2" l="1"/>
  <c r="H1100" i="2" s="1"/>
  <c r="G1099" i="2"/>
  <c r="F1099" i="2"/>
  <c r="AE1099" i="2"/>
  <c r="AC1099" i="2"/>
  <c r="U1099" i="2"/>
  <c r="J1099" i="2" l="1"/>
  <c r="W1099" i="2"/>
  <c r="X1099" i="2" s="1"/>
  <c r="AD1099" i="2"/>
  <c r="L1099" i="2" s="1"/>
  <c r="AF1100" i="2"/>
  <c r="C1100" i="2"/>
  <c r="I1099" i="2" l="1"/>
  <c r="D1100" i="2"/>
  <c r="E1100" i="2" s="1"/>
  <c r="T1100" i="2" s="1"/>
  <c r="K1099" i="2"/>
  <c r="V1100" i="2" l="1"/>
  <c r="N1099" i="2"/>
  <c r="O1099" i="2" l="1"/>
  <c r="R1099" i="2" s="1"/>
  <c r="M1099" i="2"/>
  <c r="P1099" i="2" s="1"/>
  <c r="AG1099" i="2" l="1"/>
  <c r="Q1099" i="2"/>
  <c r="S1099" i="2" s="1"/>
  <c r="Z1099" i="2" s="1"/>
  <c r="Y1099" i="2" l="1"/>
  <c r="AA1099" i="2" s="1"/>
  <c r="AB1100" i="2" s="1"/>
  <c r="B1101" i="2" l="1"/>
  <c r="H1101" i="2" s="1"/>
  <c r="G1100" i="2"/>
  <c r="F1100" i="2"/>
  <c r="AE1100" i="2"/>
  <c r="AC1100" i="2"/>
  <c r="U1100" i="2"/>
  <c r="AD1100" i="2" l="1"/>
  <c r="L1100" i="2" s="1"/>
  <c r="AF1101" i="2"/>
  <c r="C1101" i="2"/>
  <c r="J1100" i="2"/>
  <c r="W1100" i="2"/>
  <c r="X1100" i="2" s="1"/>
  <c r="I1100" i="2" l="1"/>
  <c r="D1101" i="2"/>
  <c r="E1101" i="2" s="1"/>
  <c r="T1101" i="2" s="1"/>
  <c r="K1100" i="2"/>
  <c r="V1101" i="2" l="1"/>
  <c r="N1100" i="2"/>
  <c r="O1100" i="2" l="1"/>
  <c r="R1100" i="2" s="1"/>
  <c r="M1100" i="2"/>
  <c r="P1100" i="2" s="1"/>
  <c r="AG1100" i="2" l="1"/>
  <c r="Q1100" i="2"/>
  <c r="S1100" i="2" s="1"/>
  <c r="Z1100" i="2" s="1"/>
  <c r="Y1100" i="2" l="1"/>
  <c r="AA1100" i="2" s="1"/>
  <c r="AB1101" i="2" s="1"/>
  <c r="B1102" i="2" l="1"/>
  <c r="H1102" i="2" s="1"/>
  <c r="G1101" i="2"/>
  <c r="F1101" i="2"/>
  <c r="AC1101" i="2"/>
  <c r="AE1101" i="2"/>
  <c r="U1101" i="2"/>
  <c r="J1101" i="2" l="1"/>
  <c r="W1101" i="2"/>
  <c r="X1101" i="2" s="1"/>
  <c r="AD1101" i="2"/>
  <c r="L1101" i="2" s="1"/>
  <c r="AF1102" i="2"/>
  <c r="C1102" i="2"/>
  <c r="K1101" i="2" l="1"/>
  <c r="D1102" i="2"/>
  <c r="E1102" i="2" s="1"/>
  <c r="T1102" i="2" s="1"/>
  <c r="I1101" i="2"/>
  <c r="N1101" i="2" l="1"/>
  <c r="V1102" i="2"/>
  <c r="O1101" i="2" l="1"/>
  <c r="Q1101" i="2" s="1"/>
  <c r="M1101" i="2"/>
  <c r="P1101" i="2" s="1"/>
  <c r="AG1101" i="2" l="1"/>
  <c r="R1101" i="2"/>
  <c r="S1101" i="2" s="1"/>
  <c r="Y1101" i="2" s="1"/>
  <c r="AA1101" i="2" s="1"/>
  <c r="Z1101" i="2" l="1"/>
  <c r="AB1102" i="2"/>
  <c r="B1103" i="2" l="1"/>
  <c r="H1103" i="2" s="1"/>
  <c r="G1102" i="2"/>
  <c r="F1102" i="2"/>
  <c r="AE1102" i="2"/>
  <c r="AC1102" i="2"/>
  <c r="U1102" i="2"/>
  <c r="AD1102" i="2" l="1"/>
  <c r="L1102" i="2" s="1"/>
  <c r="J1102" i="2"/>
  <c r="W1102" i="2"/>
  <c r="X1102" i="2" s="1"/>
  <c r="AF1103" i="2"/>
  <c r="C1103" i="2"/>
  <c r="K1102" i="2" l="1"/>
  <c r="D1103" i="2"/>
  <c r="E1103" i="2" s="1"/>
  <c r="T1103" i="2" s="1"/>
  <c r="I1102" i="2"/>
  <c r="N1102" i="2" l="1"/>
  <c r="M1102" i="2" s="1"/>
  <c r="P1102" i="2" s="1"/>
  <c r="V1103" i="2"/>
  <c r="AG1102" i="2" l="1"/>
  <c r="O1102" i="2"/>
  <c r="R1102" i="2" s="1"/>
  <c r="Q1102" i="2" l="1"/>
  <c r="S1102" i="2" s="1"/>
  <c r="Y1102" i="2" s="1"/>
  <c r="AA1102" i="2" s="1"/>
  <c r="Z1102" i="2" l="1"/>
  <c r="AB1103" i="2"/>
  <c r="B1104" i="2" l="1"/>
  <c r="H1104" i="2" s="1"/>
  <c r="G1103" i="2"/>
  <c r="F1103" i="2"/>
  <c r="AE1103" i="2"/>
  <c r="AC1103" i="2"/>
  <c r="U1103" i="2"/>
  <c r="AD1103" i="2" l="1"/>
  <c r="L1103" i="2" s="1"/>
  <c r="J1103" i="2"/>
  <c r="W1103" i="2"/>
  <c r="X1103" i="2" s="1"/>
  <c r="C1104" i="2"/>
  <c r="AF1104" i="2"/>
  <c r="I1103" i="2" l="1"/>
  <c r="D1104" i="2"/>
  <c r="E1104" i="2" s="1"/>
  <c r="T1104" i="2" s="1"/>
  <c r="K1103" i="2"/>
  <c r="V1104" i="2" l="1"/>
  <c r="N1103" i="2"/>
  <c r="O1103" i="2" l="1"/>
  <c r="R1103" i="2" s="1"/>
  <c r="M1103" i="2"/>
  <c r="P1103" i="2" s="1"/>
  <c r="AG1103" i="2" l="1"/>
  <c r="Q1103" i="2"/>
  <c r="S1103" i="2" s="1"/>
  <c r="Y1103" i="2" s="1"/>
  <c r="AA1103" i="2" s="1"/>
  <c r="Z1103" i="2" l="1"/>
  <c r="AB1104" i="2"/>
  <c r="B1105" i="2" l="1"/>
  <c r="H1105" i="2" s="1"/>
  <c r="G1104" i="2"/>
  <c r="F1104" i="2"/>
  <c r="AC1104" i="2"/>
  <c r="AE1104" i="2"/>
  <c r="U1104" i="2"/>
  <c r="AD1104" i="2" l="1"/>
  <c r="L1104" i="2" s="1"/>
  <c r="AF1105" i="2"/>
  <c r="C1105" i="2"/>
  <c r="J1104" i="2"/>
  <c r="W1104" i="2"/>
  <c r="X1104" i="2" s="1"/>
  <c r="I1104" i="2" l="1"/>
  <c r="K1104" i="2"/>
  <c r="D1105" i="2"/>
  <c r="E1105" i="2" s="1"/>
  <c r="T1105" i="2" s="1"/>
  <c r="V1105" i="2" l="1"/>
  <c r="N1104" i="2"/>
  <c r="O1104" i="2" l="1"/>
  <c r="R1104" i="2" s="1"/>
  <c r="M1104" i="2"/>
  <c r="P1104" i="2" s="1"/>
  <c r="AG1104" i="2" l="1"/>
  <c r="Q1104" i="2"/>
  <c r="S1104" i="2" s="1"/>
  <c r="Z1104" i="2" s="1"/>
  <c r="Y1104" i="2" l="1"/>
  <c r="AA1104" i="2" s="1"/>
  <c r="AB1105" i="2" s="1"/>
  <c r="B1106" i="2" l="1"/>
  <c r="H1106" i="2" s="1"/>
  <c r="G1105" i="2"/>
  <c r="F1105" i="2"/>
  <c r="AC1105" i="2"/>
  <c r="AE1105" i="2"/>
  <c r="U1105" i="2"/>
  <c r="AD1105" i="2" l="1"/>
  <c r="L1105" i="2" s="1"/>
  <c r="C1106" i="2"/>
  <c r="AF1106" i="2"/>
  <c r="J1105" i="2"/>
  <c r="W1105" i="2"/>
  <c r="X1105" i="2" s="1"/>
  <c r="K1105" i="2" l="1"/>
  <c r="D1106" i="2"/>
  <c r="E1106" i="2" s="1"/>
  <c r="T1106" i="2" s="1"/>
  <c r="I1105" i="2"/>
  <c r="N1105" i="2" l="1"/>
  <c r="V1106" i="2"/>
  <c r="O1105" i="2" l="1"/>
  <c r="R1105" i="2" s="1"/>
  <c r="M1105" i="2"/>
  <c r="P1105" i="2" s="1"/>
  <c r="AG1105" i="2" l="1"/>
  <c r="Q1105" i="2"/>
  <c r="S1105" i="2" s="1"/>
  <c r="Y1105" i="2" s="1"/>
  <c r="AA1105" i="2" s="1"/>
  <c r="Z1105" i="2" l="1"/>
  <c r="AB1106" i="2"/>
  <c r="B1107" i="2" l="1"/>
  <c r="H1107" i="2" s="1"/>
  <c r="G1106" i="2"/>
  <c r="F1106" i="2"/>
  <c r="AC1106" i="2"/>
  <c r="AE1106" i="2"/>
  <c r="U1106" i="2"/>
  <c r="AD1106" i="2" l="1"/>
  <c r="L1106" i="2" s="1"/>
  <c r="AF1107" i="2"/>
  <c r="C1107" i="2"/>
  <c r="J1106" i="2"/>
  <c r="W1106" i="2"/>
  <c r="X1106" i="2" s="1"/>
  <c r="I1106" i="2" l="1"/>
  <c r="K1106" i="2"/>
  <c r="D1107" i="2"/>
  <c r="E1107" i="2" s="1"/>
  <c r="T1107" i="2" s="1"/>
  <c r="N1106" i="2" l="1"/>
  <c r="M1106" i="2" s="1"/>
  <c r="P1106" i="2" s="1"/>
  <c r="V1107" i="2"/>
  <c r="AG1106" i="2" l="1"/>
  <c r="O1106" i="2"/>
  <c r="Q1106" i="2" s="1"/>
  <c r="R1106" i="2" l="1"/>
  <c r="S1106" i="2" s="1"/>
  <c r="Y1106" i="2" s="1"/>
  <c r="AA1106" i="2" s="1"/>
  <c r="Z1106" i="2" l="1"/>
  <c r="AB1107" i="2"/>
  <c r="B1108" i="2" l="1"/>
  <c r="H1108" i="2" s="1"/>
  <c r="G1107" i="2"/>
  <c r="F1107" i="2"/>
  <c r="AC1107" i="2"/>
  <c r="AE1107" i="2"/>
  <c r="U1107" i="2"/>
  <c r="AF1108" i="2" l="1"/>
  <c r="C1108" i="2"/>
  <c r="AD1107" i="2"/>
  <c r="L1107" i="2" s="1"/>
  <c r="J1107" i="2"/>
  <c r="W1107" i="2"/>
  <c r="X1107" i="2" s="1"/>
  <c r="I1107" i="2" l="1"/>
  <c r="K1107" i="2"/>
  <c r="D1108" i="2"/>
  <c r="E1108" i="2" s="1"/>
  <c r="T1108" i="2" s="1"/>
  <c r="N1107" i="2" l="1"/>
  <c r="M1107" i="2" s="1"/>
  <c r="P1107" i="2" s="1"/>
  <c r="V1108" i="2"/>
  <c r="AG1107" i="2" l="1"/>
  <c r="O1107" i="2"/>
  <c r="Q1107" i="2" s="1"/>
  <c r="R1107" i="2" l="1"/>
  <c r="S1107" i="2" s="1"/>
  <c r="Y1107" i="2" s="1"/>
  <c r="AA1107" i="2" s="1"/>
  <c r="Z1107" i="2" l="1"/>
  <c r="AB1108" i="2"/>
  <c r="B1109" i="2" l="1"/>
  <c r="H1109" i="2" s="1"/>
  <c r="G1108" i="2"/>
  <c r="F1108" i="2"/>
  <c r="AE1108" i="2"/>
  <c r="AC1108" i="2"/>
  <c r="U1108" i="2"/>
  <c r="AD1108" i="2" l="1"/>
  <c r="L1108" i="2" s="1"/>
  <c r="J1108" i="2"/>
  <c r="W1108" i="2"/>
  <c r="X1108" i="2" s="1"/>
  <c r="AF1109" i="2"/>
  <c r="C1109" i="2"/>
  <c r="K1108" i="2" l="1"/>
  <c r="D1109" i="2"/>
  <c r="E1109" i="2" s="1"/>
  <c r="T1109" i="2" s="1"/>
  <c r="I1108" i="2"/>
  <c r="N1108" i="2" l="1"/>
  <c r="V1109" i="2"/>
  <c r="O1108" i="2" l="1"/>
  <c r="Q1108" i="2" s="1"/>
  <c r="M1108" i="2"/>
  <c r="P1108" i="2" s="1"/>
  <c r="AG1108" i="2" l="1"/>
  <c r="R1108" i="2"/>
  <c r="S1108" i="2" s="1"/>
  <c r="Y1108" i="2" s="1"/>
  <c r="AA1108" i="2" s="1"/>
  <c r="Z1108" i="2" l="1"/>
  <c r="AB1109" i="2"/>
  <c r="B1110" i="2" l="1"/>
  <c r="H1110" i="2" s="1"/>
  <c r="G1109" i="2"/>
  <c r="F1109" i="2"/>
  <c r="AE1109" i="2"/>
  <c r="AC1109" i="2"/>
  <c r="U1109" i="2"/>
  <c r="AF1110" i="2" l="1"/>
  <c r="C1110" i="2"/>
  <c r="AD1109" i="2"/>
  <c r="L1109" i="2" s="1"/>
  <c r="J1109" i="2"/>
  <c r="W1109" i="2"/>
  <c r="X1109" i="2" s="1"/>
  <c r="I1109" i="2" l="1"/>
  <c r="D1110" i="2"/>
  <c r="E1110" i="2" s="1"/>
  <c r="T1110" i="2" s="1"/>
  <c r="K1109" i="2"/>
  <c r="V1110" i="2" l="1"/>
  <c r="N1109" i="2"/>
  <c r="O1109" i="2" l="1"/>
  <c r="R1109" i="2" s="1"/>
  <c r="M1109" i="2"/>
  <c r="P1109" i="2" s="1"/>
  <c r="AG1109" i="2" l="1"/>
  <c r="Q1109" i="2"/>
  <c r="S1109" i="2" s="1"/>
  <c r="Z1109" i="2" s="1"/>
  <c r="Y1109" i="2" l="1"/>
  <c r="AA1109" i="2" s="1"/>
  <c r="AB1110" i="2" s="1"/>
  <c r="B1111" i="2" l="1"/>
  <c r="H1111" i="2" s="1"/>
  <c r="G1110" i="2"/>
  <c r="F1110" i="2"/>
  <c r="AE1110" i="2"/>
  <c r="AC1110" i="2"/>
  <c r="U1110" i="2"/>
  <c r="J1110" i="2" l="1"/>
  <c r="W1110" i="2"/>
  <c r="X1110" i="2" s="1"/>
  <c r="AD1110" i="2"/>
  <c r="L1110" i="2" s="1"/>
  <c r="AF1111" i="2"/>
  <c r="C1111" i="2"/>
  <c r="K1110" i="2" l="1"/>
  <c r="I1110" i="2"/>
  <c r="D1111" i="2"/>
  <c r="E1111" i="2" s="1"/>
  <c r="T1111" i="2" s="1"/>
  <c r="N1110" i="2" l="1"/>
  <c r="V1111" i="2"/>
  <c r="O1110" i="2" l="1"/>
  <c r="R1110" i="2" s="1"/>
  <c r="M1110" i="2"/>
  <c r="P1110" i="2" s="1"/>
  <c r="AG1110" i="2" l="1"/>
  <c r="Q1110" i="2"/>
  <c r="S1110" i="2" s="1"/>
  <c r="Y1110" i="2" s="1"/>
  <c r="AA1110" i="2" s="1"/>
  <c r="Z1110" i="2" l="1"/>
  <c r="AB1111" i="2"/>
  <c r="B1112" i="2" l="1"/>
  <c r="H1112" i="2" s="1"/>
  <c r="G1111" i="2"/>
  <c r="F1111" i="2"/>
  <c r="AC1111" i="2"/>
  <c r="AE1111" i="2"/>
  <c r="U1111" i="2"/>
  <c r="AD1111" i="2" l="1"/>
  <c r="L1111" i="2" s="1"/>
  <c r="J1111" i="2"/>
  <c r="W1111" i="2"/>
  <c r="X1111" i="2" s="1"/>
  <c r="AF1112" i="2"/>
  <c r="C1112" i="2"/>
  <c r="I1111" i="2" l="1"/>
  <c r="D1112" i="2"/>
  <c r="E1112" i="2" s="1"/>
  <c r="T1112" i="2" s="1"/>
  <c r="K1111" i="2"/>
  <c r="V1112" i="2" l="1"/>
  <c r="N1111" i="2"/>
  <c r="O1111" i="2" l="1"/>
  <c r="Q1111" i="2" s="1"/>
  <c r="M1111" i="2"/>
  <c r="P1111" i="2" s="1"/>
  <c r="AG1111" i="2" l="1"/>
  <c r="R1111" i="2"/>
  <c r="S1111" i="2" s="1"/>
  <c r="Y1111" i="2" l="1"/>
  <c r="AA1111" i="2" s="1"/>
  <c r="Z1111" i="2"/>
  <c r="AB1112" i="2" l="1"/>
  <c r="B1113" i="2" l="1"/>
  <c r="H1113" i="2" s="1"/>
  <c r="G1112" i="2"/>
  <c r="AE1112" i="2"/>
  <c r="AD1112" i="2" s="1"/>
  <c r="L1112" i="2" s="1"/>
  <c r="AC1112" i="2"/>
  <c r="F1112" i="2"/>
  <c r="J1112" i="2" s="1"/>
  <c r="U1112" i="2"/>
  <c r="AF1113" i="2" l="1"/>
  <c r="C1113" i="2"/>
  <c r="D1113" i="2" s="1"/>
  <c r="E1113" i="2" s="1"/>
  <c r="T1113" i="2" s="1"/>
  <c r="W1112" i="2"/>
  <c r="X1112" i="2" s="1"/>
  <c r="I1112" i="2"/>
  <c r="K1112" i="2"/>
  <c r="N1112" i="2" l="1"/>
  <c r="V1113" i="2"/>
  <c r="O1112" i="2" l="1"/>
  <c r="Q1112" i="2" s="1"/>
  <c r="M1112" i="2"/>
  <c r="P1112" i="2" s="1"/>
  <c r="AG1112" i="2" l="1"/>
  <c r="R1112" i="2"/>
  <c r="S1112" i="2" s="1"/>
  <c r="Y1112" i="2" s="1"/>
  <c r="AA1112" i="2" s="1"/>
  <c r="Z1112" i="2" l="1"/>
  <c r="AB1113" i="2"/>
  <c r="B1114" i="2" l="1"/>
  <c r="H1114" i="2" s="1"/>
  <c r="G1113" i="2"/>
  <c r="F1113" i="2"/>
  <c r="AC1113" i="2"/>
  <c r="AE1113" i="2"/>
  <c r="U1113" i="2"/>
  <c r="J1113" i="2" l="1"/>
  <c r="W1113" i="2"/>
  <c r="X1113" i="2" s="1"/>
  <c r="AD1113" i="2"/>
  <c r="L1113" i="2" s="1"/>
  <c r="AF1114" i="2"/>
  <c r="C1114" i="2"/>
  <c r="K1113" i="2" l="1"/>
  <c r="I1113" i="2"/>
  <c r="D1114" i="2"/>
  <c r="E1114" i="2" s="1"/>
  <c r="T1114" i="2" s="1"/>
  <c r="N1113" i="2" l="1"/>
  <c r="V1114" i="2"/>
  <c r="O1113" i="2" l="1"/>
  <c r="R1113" i="2" s="1"/>
  <c r="M1113" i="2"/>
  <c r="P1113" i="2" s="1"/>
  <c r="AG1113" i="2" l="1"/>
  <c r="Q1113" i="2"/>
  <c r="S1113" i="2" s="1"/>
  <c r="Y1113" i="2" s="1"/>
  <c r="AA1113" i="2" s="1"/>
  <c r="Z1113" i="2" l="1"/>
  <c r="AB1114" i="2"/>
  <c r="B1115" i="2" l="1"/>
  <c r="H1115" i="2" s="1"/>
  <c r="G1114" i="2"/>
  <c r="F1114" i="2"/>
  <c r="AC1114" i="2"/>
  <c r="AE1114" i="2"/>
  <c r="U1114" i="2"/>
  <c r="AF1115" i="2" l="1"/>
  <c r="C1115" i="2"/>
  <c r="AD1114" i="2"/>
  <c r="L1114" i="2" s="1"/>
  <c r="J1114" i="2"/>
  <c r="W1114" i="2"/>
  <c r="X1114" i="2" s="1"/>
  <c r="K1114" i="2" l="1"/>
  <c r="I1114" i="2"/>
  <c r="D1115" i="2"/>
  <c r="E1115" i="2" s="1"/>
  <c r="T1115" i="2" s="1"/>
  <c r="N1114" i="2" l="1"/>
  <c r="V1115" i="2"/>
  <c r="O1114" i="2" l="1"/>
  <c r="R1114" i="2" s="1"/>
  <c r="M1114" i="2"/>
  <c r="P1114" i="2" s="1"/>
  <c r="AG1114" i="2" l="1"/>
  <c r="Q1114" i="2"/>
  <c r="S1114" i="2" s="1"/>
  <c r="Y1114" i="2" s="1"/>
  <c r="AA1114" i="2" s="1"/>
  <c r="Z1114" i="2" l="1"/>
  <c r="AB1115" i="2"/>
  <c r="B1116" i="2" l="1"/>
  <c r="H1116" i="2" s="1"/>
  <c r="G1115" i="2"/>
  <c r="F1115" i="2"/>
  <c r="AC1115" i="2"/>
  <c r="AE1115" i="2"/>
  <c r="U1115" i="2"/>
  <c r="AD1115" i="2" l="1"/>
  <c r="L1115" i="2" s="1"/>
  <c r="J1115" i="2"/>
  <c r="W1115" i="2"/>
  <c r="X1115" i="2" s="1"/>
  <c r="AF1116" i="2"/>
  <c r="C1116" i="2"/>
  <c r="I1115" i="2" l="1"/>
  <c r="D1116" i="2"/>
  <c r="E1116" i="2" s="1"/>
  <c r="T1116" i="2" s="1"/>
  <c r="K1115" i="2"/>
  <c r="V1116" i="2" l="1"/>
  <c r="N1115" i="2"/>
  <c r="O1115" i="2" l="1"/>
  <c r="R1115" i="2" s="1"/>
  <c r="M1115" i="2"/>
  <c r="P1115" i="2" s="1"/>
  <c r="AG1115" i="2" l="1"/>
  <c r="Q1115" i="2"/>
  <c r="S1115" i="2" s="1"/>
  <c r="Y1115" i="2" s="1"/>
  <c r="AA1115" i="2" s="1"/>
  <c r="Z1115" i="2" l="1"/>
  <c r="AB1116" i="2"/>
  <c r="B1117" i="2" l="1"/>
  <c r="H1117" i="2" s="1"/>
  <c r="G1116" i="2"/>
  <c r="F1116" i="2"/>
  <c r="AE1116" i="2"/>
  <c r="AC1116" i="2"/>
  <c r="U1116" i="2"/>
  <c r="AD1116" i="2" l="1"/>
  <c r="L1116" i="2" s="1"/>
  <c r="J1116" i="2"/>
  <c r="W1116" i="2"/>
  <c r="X1116" i="2" s="1"/>
  <c r="AF1117" i="2"/>
  <c r="C1117" i="2"/>
  <c r="I1116" i="2" l="1"/>
  <c r="D1117" i="2"/>
  <c r="E1117" i="2" s="1"/>
  <c r="T1117" i="2" s="1"/>
  <c r="K1116" i="2"/>
  <c r="N1116" i="2" l="1"/>
  <c r="M1116" i="2" s="1"/>
  <c r="P1116" i="2" s="1"/>
  <c r="V1117" i="2"/>
  <c r="AG1116" i="2" l="1"/>
  <c r="O1116" i="2"/>
  <c r="R1116" i="2" s="1"/>
  <c r="Q1116" i="2" l="1"/>
  <c r="S1116" i="2" s="1"/>
  <c r="Y1116" i="2" s="1"/>
  <c r="AA1116" i="2" s="1"/>
  <c r="Z1116" i="2" l="1"/>
  <c r="AB1117" i="2"/>
  <c r="B1118" i="2" l="1"/>
  <c r="H1118" i="2" s="1"/>
  <c r="G1117" i="2"/>
  <c r="F1117" i="2"/>
  <c r="AC1117" i="2"/>
  <c r="AE1117" i="2"/>
  <c r="U1117" i="2"/>
  <c r="J1117" i="2" l="1"/>
  <c r="W1117" i="2"/>
  <c r="X1117" i="2" s="1"/>
  <c r="AF1118" i="2"/>
  <c r="C1118" i="2"/>
  <c r="AD1117" i="2"/>
  <c r="L1117" i="2" s="1"/>
  <c r="D1118" i="2" l="1"/>
  <c r="E1118" i="2" s="1"/>
  <c r="T1118" i="2" s="1"/>
  <c r="K1117" i="2"/>
  <c r="I1117" i="2"/>
  <c r="N1117" i="2" l="1"/>
  <c r="V1118" i="2"/>
  <c r="O1117" i="2" l="1"/>
  <c r="Q1117" i="2" s="1"/>
  <c r="M1117" i="2"/>
  <c r="P1117" i="2" s="1"/>
  <c r="AG1117" i="2" l="1"/>
  <c r="R1117" i="2"/>
  <c r="S1117" i="2" s="1"/>
  <c r="Y1117" i="2" s="1"/>
  <c r="AA1117" i="2" s="1"/>
  <c r="Z1117" i="2" l="1"/>
  <c r="AB1118" i="2"/>
  <c r="B1119" i="2" l="1"/>
  <c r="H1119" i="2" s="1"/>
  <c r="G1118" i="2"/>
  <c r="F1118" i="2"/>
  <c r="AE1118" i="2"/>
  <c r="AC1118" i="2"/>
  <c r="U1118" i="2"/>
  <c r="AF1119" i="2" l="1"/>
  <c r="C1119" i="2"/>
  <c r="AD1118" i="2"/>
  <c r="L1118" i="2" s="1"/>
  <c r="J1118" i="2"/>
  <c r="W1118" i="2"/>
  <c r="X1118" i="2" s="1"/>
  <c r="K1118" i="2" l="1"/>
  <c r="I1118" i="2"/>
  <c r="D1119" i="2"/>
  <c r="E1119" i="2" s="1"/>
  <c r="T1119" i="2" s="1"/>
  <c r="N1118" i="2" l="1"/>
  <c r="M1118" i="2" s="1"/>
  <c r="P1118" i="2" s="1"/>
  <c r="V1119" i="2"/>
  <c r="AG1118" i="2" l="1"/>
  <c r="O1118" i="2"/>
  <c r="R1118" i="2" s="1"/>
  <c r="Q1118" i="2" l="1"/>
  <c r="S1118" i="2" s="1"/>
  <c r="Y1118" i="2" s="1"/>
  <c r="AA1118" i="2" s="1"/>
  <c r="Z1118" i="2" l="1"/>
  <c r="AB1119" i="2"/>
  <c r="B1120" i="2" l="1"/>
  <c r="H1120" i="2" s="1"/>
  <c r="G1119" i="2"/>
  <c r="F1119" i="2"/>
  <c r="AC1119" i="2"/>
  <c r="AE1119" i="2"/>
  <c r="U1119" i="2"/>
  <c r="AD1119" i="2" l="1"/>
  <c r="L1119" i="2" s="1"/>
  <c r="J1119" i="2"/>
  <c r="W1119" i="2"/>
  <c r="X1119" i="2" s="1"/>
  <c r="C1120" i="2"/>
  <c r="AF1120" i="2"/>
  <c r="K1119" i="2" l="1"/>
  <c r="I1119" i="2"/>
  <c r="D1120" i="2"/>
  <c r="E1120" i="2" s="1"/>
  <c r="T1120" i="2" s="1"/>
  <c r="N1119" i="2" l="1"/>
  <c r="V1120" i="2"/>
  <c r="O1119" i="2" l="1"/>
  <c r="Q1119" i="2" s="1"/>
  <c r="M1119" i="2"/>
  <c r="P1119" i="2" s="1"/>
  <c r="AG1119" i="2" l="1"/>
  <c r="R1119" i="2"/>
  <c r="S1119" i="2" s="1"/>
  <c r="Y1119" i="2" l="1"/>
  <c r="AA1119" i="2" s="1"/>
  <c r="AB1120" i="2" s="1"/>
  <c r="Z1119" i="2"/>
  <c r="B1121" i="2" l="1"/>
  <c r="H1121" i="2" s="1"/>
  <c r="G1120" i="2"/>
  <c r="F1120" i="2"/>
  <c r="AE1120" i="2"/>
  <c r="AC1120" i="2"/>
  <c r="U1120" i="2"/>
  <c r="AD1120" i="2" l="1"/>
  <c r="L1120" i="2" s="1"/>
  <c r="J1120" i="2"/>
  <c r="W1120" i="2"/>
  <c r="X1120" i="2" s="1"/>
  <c r="AF1121" i="2"/>
  <c r="C1121" i="2"/>
  <c r="I1120" i="2" l="1"/>
  <c r="D1121" i="2"/>
  <c r="E1121" i="2" s="1"/>
  <c r="T1121" i="2" s="1"/>
  <c r="K1120" i="2"/>
  <c r="V1121" i="2" l="1"/>
  <c r="N1120" i="2"/>
  <c r="O1120" i="2" l="1"/>
  <c r="Q1120" i="2" s="1"/>
  <c r="M1120" i="2"/>
  <c r="P1120" i="2" s="1"/>
  <c r="AG1120" i="2" l="1"/>
  <c r="R1120" i="2"/>
  <c r="S1120" i="2" s="1"/>
  <c r="Y1120" i="2" s="1"/>
  <c r="AA1120" i="2" s="1"/>
  <c r="Z1120" i="2" l="1"/>
  <c r="AB1121" i="2"/>
  <c r="B1122" i="2" l="1"/>
  <c r="H1122" i="2" s="1"/>
  <c r="G1121" i="2"/>
  <c r="F1121" i="2"/>
  <c r="AC1121" i="2"/>
  <c r="AE1121" i="2"/>
  <c r="U1121" i="2"/>
  <c r="J1121" i="2" l="1"/>
  <c r="W1121" i="2"/>
  <c r="X1121" i="2" s="1"/>
  <c r="C1122" i="2"/>
  <c r="AF1122" i="2"/>
  <c r="AD1121" i="2"/>
  <c r="L1121" i="2" s="1"/>
  <c r="I1121" i="2" l="1"/>
  <c r="D1122" i="2"/>
  <c r="E1122" i="2" s="1"/>
  <c r="T1122" i="2" s="1"/>
  <c r="K1121" i="2"/>
  <c r="V1122" i="2" l="1"/>
  <c r="N1121" i="2"/>
  <c r="O1121" i="2" l="1"/>
  <c r="Q1121" i="2" s="1"/>
  <c r="M1121" i="2"/>
  <c r="P1121" i="2" s="1"/>
  <c r="AG1121" i="2" l="1"/>
  <c r="R1121" i="2"/>
  <c r="S1121" i="2" s="1"/>
  <c r="Y1121" i="2" s="1"/>
  <c r="AA1121" i="2" s="1"/>
  <c r="Z1121" i="2" l="1"/>
  <c r="AB1122" i="2"/>
  <c r="B1123" i="2" l="1"/>
  <c r="H1123" i="2" s="1"/>
  <c r="G1122" i="2"/>
  <c r="F1122" i="2"/>
  <c r="AE1122" i="2"/>
  <c r="AC1122" i="2"/>
  <c r="U1122" i="2"/>
  <c r="AF1123" i="2" l="1"/>
  <c r="C1123" i="2"/>
  <c r="AD1122" i="2"/>
  <c r="L1122" i="2" s="1"/>
  <c r="J1122" i="2"/>
  <c r="W1122" i="2"/>
  <c r="X1122" i="2" s="1"/>
  <c r="K1122" i="2" l="1"/>
  <c r="D1123" i="2"/>
  <c r="E1123" i="2" s="1"/>
  <c r="T1123" i="2" s="1"/>
  <c r="I1122" i="2"/>
  <c r="N1122" i="2" l="1"/>
  <c r="M1122" i="2" s="1"/>
  <c r="P1122" i="2" s="1"/>
  <c r="V1123" i="2"/>
  <c r="AG1122" i="2" l="1"/>
  <c r="O1122" i="2"/>
  <c r="R1122" i="2" s="1"/>
  <c r="Q1122" i="2" l="1"/>
  <c r="S1122" i="2" s="1"/>
  <c r="Y1122" i="2" s="1"/>
  <c r="AA1122" i="2" s="1"/>
  <c r="Z1122" i="2" l="1"/>
  <c r="AB1123" i="2"/>
  <c r="B1124" i="2" l="1"/>
  <c r="H1124" i="2" s="1"/>
  <c r="G1123" i="2"/>
  <c r="F1123" i="2"/>
  <c r="AC1123" i="2"/>
  <c r="AE1123" i="2"/>
  <c r="U1123" i="2"/>
  <c r="AD1123" i="2" l="1"/>
  <c r="L1123" i="2" s="1"/>
  <c r="AF1124" i="2"/>
  <c r="C1124" i="2"/>
  <c r="J1123" i="2"/>
  <c r="W1123" i="2"/>
  <c r="X1123" i="2" s="1"/>
  <c r="I1123" i="2" l="1"/>
  <c r="K1123" i="2"/>
  <c r="D1124" i="2"/>
  <c r="E1124" i="2" s="1"/>
  <c r="T1124" i="2" s="1"/>
  <c r="V1124" i="2" l="1"/>
  <c r="N1123" i="2"/>
  <c r="O1123" i="2" l="1"/>
  <c r="Q1123" i="2" s="1"/>
  <c r="M1123" i="2"/>
  <c r="P1123" i="2" s="1"/>
  <c r="AG1123" i="2" l="1"/>
  <c r="R1123" i="2"/>
  <c r="S1123" i="2" s="1"/>
  <c r="Y1123" i="2" l="1"/>
  <c r="AA1123" i="2" s="1"/>
  <c r="AB1124" i="2" s="1"/>
  <c r="Z1123" i="2"/>
  <c r="B1125" i="2" l="1"/>
  <c r="H1125" i="2" s="1"/>
  <c r="G1124" i="2"/>
  <c r="F1124" i="2"/>
  <c r="AC1124" i="2"/>
  <c r="AE1124" i="2"/>
  <c r="U1124" i="2"/>
  <c r="C1125" i="2" l="1"/>
  <c r="AF1125" i="2"/>
  <c r="AD1124" i="2"/>
  <c r="L1124" i="2" s="1"/>
  <c r="J1124" i="2"/>
  <c r="W1124" i="2"/>
  <c r="X1124" i="2" s="1"/>
  <c r="K1124" i="2" l="1"/>
  <c r="I1124" i="2"/>
  <c r="D1125" i="2"/>
  <c r="E1125" i="2" s="1"/>
  <c r="T1125" i="2" s="1"/>
  <c r="N1124" i="2" l="1"/>
  <c r="V1125" i="2"/>
  <c r="O1124" i="2" l="1"/>
  <c r="R1124" i="2" s="1"/>
  <c r="M1124" i="2"/>
  <c r="P1124" i="2" s="1"/>
  <c r="AG1124" i="2" l="1"/>
  <c r="Q1124" i="2"/>
  <c r="S1124" i="2" s="1"/>
  <c r="Z1124" i="2" s="1"/>
  <c r="Y1124" i="2" l="1"/>
  <c r="AA1124" i="2" s="1"/>
  <c r="AB1125" i="2" s="1"/>
  <c r="B1126" i="2" l="1"/>
  <c r="H1126" i="2" s="1"/>
  <c r="G1125" i="2"/>
  <c r="F1125" i="2"/>
  <c r="AE1125" i="2"/>
  <c r="AC1125" i="2"/>
  <c r="U1125" i="2"/>
  <c r="J1125" i="2" l="1"/>
  <c r="W1125" i="2"/>
  <c r="X1125" i="2" s="1"/>
  <c r="AD1125" i="2"/>
  <c r="L1125" i="2" s="1"/>
  <c r="C1126" i="2"/>
  <c r="AF1126" i="2"/>
  <c r="D1126" i="2" l="1"/>
  <c r="E1126" i="2" s="1"/>
  <c r="T1126" i="2" s="1"/>
  <c r="K1125" i="2"/>
  <c r="I1125" i="2"/>
  <c r="N1125" i="2" l="1"/>
  <c r="M1125" i="2" s="1"/>
  <c r="P1125" i="2" s="1"/>
  <c r="V1126" i="2"/>
  <c r="AG1125" i="2" l="1"/>
  <c r="O1125" i="2"/>
  <c r="Q1125" i="2" s="1"/>
  <c r="R1125" i="2" l="1"/>
  <c r="S1125" i="2" s="1"/>
  <c r="Y1125" i="2" s="1"/>
  <c r="AA1125" i="2" s="1"/>
  <c r="Z1125" i="2" l="1"/>
  <c r="AB1126" i="2"/>
  <c r="B1127" i="2" l="1"/>
  <c r="H1127" i="2" s="1"/>
  <c r="G1126" i="2"/>
  <c r="F1126" i="2"/>
  <c r="AE1126" i="2"/>
  <c r="AC1126" i="2"/>
  <c r="U1126" i="2"/>
  <c r="AD1126" i="2" l="1"/>
  <c r="L1126" i="2" s="1"/>
  <c r="J1126" i="2"/>
  <c r="W1126" i="2"/>
  <c r="X1126" i="2" s="1"/>
  <c r="AF1127" i="2"/>
  <c r="C1127" i="2"/>
  <c r="I1126" i="2" l="1"/>
  <c r="D1127" i="2"/>
  <c r="E1127" i="2" s="1"/>
  <c r="T1127" i="2" s="1"/>
  <c r="K1126" i="2"/>
  <c r="V1127" i="2" l="1"/>
  <c r="N1126" i="2"/>
  <c r="O1126" i="2" l="1"/>
  <c r="R1126" i="2" s="1"/>
  <c r="M1126" i="2"/>
  <c r="P1126" i="2" s="1"/>
  <c r="AG1126" i="2" l="1"/>
  <c r="Q1126" i="2"/>
  <c r="S1126" i="2" s="1"/>
  <c r="Y1126" i="2" s="1"/>
  <c r="AA1126" i="2" s="1"/>
  <c r="Z1126" i="2" l="1"/>
  <c r="AB1127" i="2"/>
  <c r="B1128" i="2" l="1"/>
  <c r="H1128" i="2" s="1"/>
  <c r="G1127" i="2"/>
  <c r="F1127" i="2"/>
  <c r="AE1127" i="2"/>
  <c r="AC1127" i="2"/>
  <c r="U1127" i="2"/>
  <c r="J1127" i="2" l="1"/>
  <c r="W1127" i="2"/>
  <c r="X1127" i="2" s="1"/>
  <c r="AF1128" i="2"/>
  <c r="C1128" i="2"/>
  <c r="AD1127" i="2"/>
  <c r="L1127" i="2" s="1"/>
  <c r="D1128" i="2" l="1"/>
  <c r="E1128" i="2" s="1"/>
  <c r="T1128" i="2" s="1"/>
  <c r="K1127" i="2"/>
  <c r="I1127" i="2"/>
  <c r="N1127" i="2" l="1"/>
  <c r="M1127" i="2" s="1"/>
  <c r="P1127" i="2" s="1"/>
  <c r="V1128" i="2"/>
  <c r="AG1127" i="2" l="1"/>
  <c r="O1127" i="2"/>
  <c r="R1127" i="2" s="1"/>
  <c r="Q1127" i="2" l="1"/>
  <c r="S1127" i="2" s="1"/>
  <c r="Y1127" i="2" s="1"/>
  <c r="AA1127" i="2" s="1"/>
  <c r="Z1127" i="2" l="1"/>
  <c r="AB1128" i="2"/>
  <c r="B1129" i="2" l="1"/>
  <c r="H1129" i="2" s="1"/>
  <c r="G1128" i="2"/>
  <c r="F1128" i="2"/>
  <c r="AC1128" i="2"/>
  <c r="AE1128" i="2"/>
  <c r="U1128" i="2"/>
  <c r="J1128" i="2" l="1"/>
  <c r="W1128" i="2"/>
  <c r="X1128" i="2" s="1"/>
  <c r="AD1128" i="2"/>
  <c r="L1128" i="2" s="1"/>
  <c r="AF1129" i="2"/>
  <c r="C1129" i="2"/>
  <c r="I1128" i="2" l="1"/>
  <c r="D1129" i="2"/>
  <c r="E1129" i="2" s="1"/>
  <c r="T1129" i="2" s="1"/>
  <c r="K1128" i="2"/>
  <c r="V1129" i="2" l="1"/>
  <c r="N1128" i="2"/>
  <c r="O1128" i="2" l="1"/>
  <c r="Q1128" i="2" s="1"/>
  <c r="M1128" i="2"/>
  <c r="P1128" i="2" s="1"/>
  <c r="AG1128" i="2" l="1"/>
  <c r="R1128" i="2"/>
  <c r="S1128" i="2" s="1"/>
  <c r="Z1128" i="2" s="1"/>
  <c r="Y1128" i="2" l="1"/>
  <c r="AA1128" i="2" s="1"/>
  <c r="AB1129" i="2" l="1"/>
  <c r="B1130" i="2" l="1"/>
  <c r="H1130" i="2" s="1"/>
  <c r="G1129" i="2"/>
  <c r="F1129" i="2"/>
  <c r="AE1129" i="2"/>
  <c r="AD1129" i="2" s="1"/>
  <c r="L1129" i="2" s="1"/>
  <c r="AC1129" i="2"/>
  <c r="U1129" i="2"/>
  <c r="W1129" i="2" l="1"/>
  <c r="X1129" i="2" s="1"/>
  <c r="J1129" i="2"/>
  <c r="AF1130" i="2"/>
  <c r="C1130" i="2"/>
  <c r="D1130" i="2" s="1"/>
  <c r="E1130" i="2" s="1"/>
  <c r="T1130" i="2" s="1"/>
  <c r="K1129" i="2" l="1"/>
  <c r="I1129" i="2"/>
  <c r="V1130" i="2"/>
  <c r="N1129" i="2" l="1"/>
  <c r="O1129" i="2" s="1"/>
  <c r="R1129" i="2" s="1"/>
  <c r="M1129" i="2"/>
  <c r="P1129" i="2" s="1"/>
  <c r="AG1129" i="2" l="1"/>
  <c r="Q1129" i="2"/>
  <c r="S1129" i="2" s="1"/>
  <c r="Y1129" i="2" s="1"/>
  <c r="AA1129" i="2" s="1"/>
  <c r="Z1129" i="2" l="1"/>
  <c r="AB1130" i="2"/>
  <c r="B1131" i="2" l="1"/>
  <c r="H1131" i="2" s="1"/>
  <c r="G1130" i="2"/>
  <c r="F1130" i="2"/>
  <c r="AE1130" i="2"/>
  <c r="AC1130" i="2"/>
  <c r="U1130" i="2"/>
  <c r="J1130" i="2" l="1"/>
  <c r="W1130" i="2"/>
  <c r="X1130" i="2" s="1"/>
  <c r="AF1131" i="2"/>
  <c r="C1131" i="2"/>
  <c r="AD1130" i="2"/>
  <c r="L1130" i="2" s="1"/>
  <c r="I1130" i="2" l="1"/>
  <c r="D1131" i="2"/>
  <c r="E1131" i="2" s="1"/>
  <c r="T1131" i="2" s="1"/>
  <c r="K1130" i="2"/>
  <c r="V1131" i="2" l="1"/>
  <c r="N1130" i="2"/>
  <c r="O1130" i="2" l="1"/>
  <c r="Q1130" i="2" s="1"/>
  <c r="M1130" i="2"/>
  <c r="P1130" i="2" s="1"/>
  <c r="AG1130" i="2" l="1"/>
  <c r="R1130" i="2"/>
  <c r="S1130" i="2" s="1"/>
  <c r="Y1130" i="2" l="1"/>
  <c r="AA1130" i="2" s="1"/>
  <c r="AB1131" i="2" s="1"/>
  <c r="Z1130" i="2"/>
  <c r="B1132" i="2" l="1"/>
  <c r="H1132" i="2" s="1"/>
  <c r="G1131" i="2"/>
  <c r="F1131" i="2"/>
  <c r="AE1131" i="2"/>
  <c r="AC1131" i="2"/>
  <c r="U1131" i="2"/>
  <c r="AD1131" i="2" l="1"/>
  <c r="L1131" i="2" s="1"/>
  <c r="AF1132" i="2"/>
  <c r="C1132" i="2"/>
  <c r="J1131" i="2"/>
  <c r="W1131" i="2"/>
  <c r="X1131" i="2" s="1"/>
  <c r="K1131" i="2" l="1"/>
  <c r="D1132" i="2"/>
  <c r="E1132" i="2" s="1"/>
  <c r="T1132" i="2" s="1"/>
  <c r="I1131" i="2"/>
  <c r="N1131" i="2" l="1"/>
  <c r="M1131" i="2" s="1"/>
  <c r="P1131" i="2" s="1"/>
  <c r="V1132" i="2"/>
  <c r="AG1131" i="2" l="1"/>
  <c r="O1131" i="2"/>
  <c r="Q1131" i="2" s="1"/>
  <c r="R1131" i="2" l="1"/>
  <c r="S1131" i="2" s="1"/>
  <c r="Z1131" i="2" s="1"/>
  <c r="Y1131" i="2" l="1"/>
  <c r="AA1131" i="2" s="1"/>
  <c r="AB1132" i="2" s="1"/>
  <c r="B1133" i="2" l="1"/>
  <c r="H1133" i="2" s="1"/>
  <c r="G1132" i="2"/>
  <c r="F1132" i="2"/>
  <c r="AE1132" i="2"/>
  <c r="AC1132" i="2"/>
  <c r="U1132" i="2"/>
  <c r="C1133" i="2" l="1"/>
  <c r="AF1133" i="2"/>
  <c r="J1132" i="2"/>
  <c r="W1132" i="2"/>
  <c r="X1132" i="2" s="1"/>
  <c r="AD1132" i="2"/>
  <c r="L1132" i="2" s="1"/>
  <c r="K1132" i="2" l="1"/>
  <c r="D1133" i="2"/>
  <c r="E1133" i="2" s="1"/>
  <c r="T1133" i="2" s="1"/>
  <c r="I1132" i="2"/>
  <c r="N1132" i="2" l="1"/>
  <c r="V1133" i="2"/>
  <c r="O1132" i="2" l="1"/>
  <c r="R1132" i="2" s="1"/>
  <c r="M1132" i="2"/>
  <c r="P1132" i="2" s="1"/>
  <c r="AG1132" i="2" l="1"/>
  <c r="Q1132" i="2"/>
  <c r="S1132" i="2" s="1"/>
  <c r="Y1132" i="2" s="1"/>
  <c r="AA1132" i="2" s="1"/>
  <c r="Z1132" i="2" l="1"/>
  <c r="AB1133" i="2"/>
  <c r="B1134" i="2" l="1"/>
  <c r="H1134" i="2" s="1"/>
  <c r="G1133" i="2"/>
  <c r="F1133" i="2"/>
  <c r="AC1133" i="2"/>
  <c r="AE1133" i="2"/>
  <c r="U1133" i="2"/>
  <c r="AD1133" i="2" l="1"/>
  <c r="L1133" i="2" s="1"/>
  <c r="C1134" i="2"/>
  <c r="AF1134" i="2"/>
  <c r="J1133" i="2"/>
  <c r="W1133" i="2"/>
  <c r="X1133" i="2" s="1"/>
  <c r="K1133" i="2" l="1"/>
  <c r="I1133" i="2"/>
  <c r="D1134" i="2"/>
  <c r="E1134" i="2" s="1"/>
  <c r="T1134" i="2" s="1"/>
  <c r="N1133" i="2" l="1"/>
  <c r="V1134" i="2"/>
  <c r="O1133" i="2" l="1"/>
  <c r="Q1133" i="2" s="1"/>
  <c r="M1133" i="2"/>
  <c r="P1133" i="2" s="1"/>
  <c r="AG1133" i="2" l="1"/>
  <c r="R1133" i="2"/>
  <c r="S1133" i="2" s="1"/>
  <c r="Y1133" i="2" l="1"/>
  <c r="AA1133" i="2" s="1"/>
  <c r="AB1134" i="2" s="1"/>
  <c r="Z1133" i="2"/>
  <c r="B1135" i="2" l="1"/>
  <c r="H1135" i="2" s="1"/>
  <c r="G1134" i="2"/>
  <c r="F1134" i="2"/>
  <c r="AE1134" i="2"/>
  <c r="AC1134" i="2"/>
  <c r="U1134" i="2"/>
  <c r="AF1135" i="2" l="1"/>
  <c r="C1135" i="2"/>
  <c r="AD1134" i="2"/>
  <c r="L1134" i="2" s="1"/>
  <c r="J1134" i="2"/>
  <c r="W1134" i="2"/>
  <c r="X1134" i="2" s="1"/>
  <c r="D1135" i="2" l="1"/>
  <c r="E1135" i="2" s="1"/>
  <c r="T1135" i="2" s="1"/>
  <c r="K1134" i="2"/>
  <c r="I1134" i="2"/>
  <c r="N1134" i="2" l="1"/>
  <c r="M1134" i="2" s="1"/>
  <c r="P1134" i="2" s="1"/>
  <c r="V1135" i="2"/>
  <c r="AG1134" i="2" l="1"/>
  <c r="O1134" i="2"/>
  <c r="Q1134" i="2" s="1"/>
  <c r="R1134" i="2" l="1"/>
  <c r="S1134" i="2" s="1"/>
  <c r="Y1134" i="2" s="1"/>
  <c r="AA1134" i="2" s="1"/>
  <c r="Z1134" i="2" l="1"/>
  <c r="AB1135" i="2"/>
  <c r="B1136" i="2" l="1"/>
  <c r="H1136" i="2" s="1"/>
  <c r="G1135" i="2"/>
  <c r="F1135" i="2"/>
  <c r="AC1135" i="2"/>
  <c r="AE1135" i="2"/>
  <c r="U1135" i="2"/>
  <c r="J1135" i="2" l="1"/>
  <c r="W1135" i="2"/>
  <c r="X1135" i="2" s="1"/>
  <c r="AD1135" i="2"/>
  <c r="L1135" i="2" s="1"/>
  <c r="AF1136" i="2"/>
  <c r="C1136" i="2"/>
  <c r="D1136" i="2" l="1"/>
  <c r="E1136" i="2" s="1"/>
  <c r="T1136" i="2" s="1"/>
  <c r="K1135" i="2"/>
  <c r="I1135" i="2"/>
  <c r="N1135" i="2" l="1"/>
  <c r="M1135" i="2" s="1"/>
  <c r="P1135" i="2" s="1"/>
  <c r="V1136" i="2"/>
  <c r="AG1135" i="2" l="1"/>
  <c r="O1135" i="2"/>
  <c r="R1135" i="2" s="1"/>
  <c r="Q1135" i="2" l="1"/>
  <c r="S1135" i="2" s="1"/>
  <c r="Y1135" i="2" s="1"/>
  <c r="AA1135" i="2" s="1"/>
  <c r="Z1135" i="2" l="1"/>
  <c r="AB1136" i="2"/>
  <c r="B1137" i="2" l="1"/>
  <c r="H1137" i="2" s="1"/>
  <c r="G1136" i="2"/>
  <c r="F1136" i="2"/>
  <c r="AE1136" i="2"/>
  <c r="AC1136" i="2"/>
  <c r="U1136" i="2"/>
  <c r="C1137" i="2" l="1"/>
  <c r="AF1137" i="2"/>
  <c r="AD1136" i="2"/>
  <c r="L1136" i="2" s="1"/>
  <c r="J1136" i="2"/>
  <c r="W1136" i="2"/>
  <c r="X1136" i="2" s="1"/>
  <c r="K1136" i="2" l="1"/>
  <c r="I1136" i="2"/>
  <c r="D1137" i="2"/>
  <c r="E1137" i="2" s="1"/>
  <c r="T1137" i="2" s="1"/>
  <c r="N1136" i="2" l="1"/>
  <c r="V1137" i="2"/>
  <c r="O1136" i="2" l="1"/>
  <c r="Q1136" i="2" s="1"/>
  <c r="M1136" i="2"/>
  <c r="P1136" i="2" s="1"/>
  <c r="AG1136" i="2" l="1"/>
  <c r="R1136" i="2"/>
  <c r="S1136" i="2" s="1"/>
  <c r="Y1136" i="2" l="1"/>
  <c r="AA1136" i="2" s="1"/>
  <c r="AB1137" i="2" s="1"/>
  <c r="Z1136" i="2"/>
  <c r="B1138" i="2" l="1"/>
  <c r="H1138" i="2" s="1"/>
  <c r="G1137" i="2"/>
  <c r="F1137" i="2"/>
  <c r="AC1137" i="2"/>
  <c r="AE1137" i="2"/>
  <c r="U1137" i="2"/>
  <c r="AD1137" i="2" l="1"/>
  <c r="L1137" i="2" s="1"/>
  <c r="AF1138" i="2"/>
  <c r="C1138" i="2"/>
  <c r="J1137" i="2"/>
  <c r="W1137" i="2"/>
  <c r="X1137" i="2" s="1"/>
  <c r="K1137" i="2" l="1"/>
  <c r="I1137" i="2"/>
  <c r="D1138" i="2"/>
  <c r="E1138" i="2" s="1"/>
  <c r="T1138" i="2" s="1"/>
  <c r="N1137" i="2" l="1"/>
  <c r="V1138" i="2"/>
  <c r="O1137" i="2" l="1"/>
  <c r="R1137" i="2" s="1"/>
  <c r="M1137" i="2"/>
  <c r="P1137" i="2" s="1"/>
  <c r="AG1137" i="2" l="1"/>
  <c r="Q1137" i="2"/>
  <c r="S1137" i="2" s="1"/>
  <c r="Y1137" i="2" s="1"/>
  <c r="AA1137" i="2" s="1"/>
  <c r="Z1137" i="2" l="1"/>
  <c r="AB1138" i="2"/>
  <c r="B1139" i="2" l="1"/>
  <c r="H1139" i="2" s="1"/>
  <c r="G1138" i="2"/>
  <c r="F1138" i="2"/>
  <c r="AE1138" i="2"/>
  <c r="AC1138" i="2"/>
  <c r="U1138" i="2"/>
  <c r="AF1139" i="2" l="1"/>
  <c r="C1139" i="2"/>
  <c r="AD1138" i="2"/>
  <c r="L1138" i="2" s="1"/>
  <c r="J1138" i="2"/>
  <c r="W1138" i="2"/>
  <c r="X1138" i="2" s="1"/>
  <c r="I1138" i="2" l="1"/>
  <c r="K1138" i="2"/>
  <c r="D1139" i="2"/>
  <c r="E1139" i="2" s="1"/>
  <c r="T1139" i="2" s="1"/>
  <c r="V1139" i="2" l="1"/>
  <c r="N1138" i="2"/>
  <c r="O1138" i="2" l="1"/>
  <c r="R1138" i="2" s="1"/>
  <c r="M1138" i="2"/>
  <c r="P1138" i="2" s="1"/>
  <c r="AG1138" i="2" l="1"/>
  <c r="Q1138" i="2"/>
  <c r="S1138" i="2" s="1"/>
  <c r="Y1138" i="2" s="1"/>
  <c r="AA1138" i="2" s="1"/>
  <c r="Z1138" i="2" l="1"/>
  <c r="AB1139" i="2"/>
  <c r="B1140" i="2" l="1"/>
  <c r="H1140" i="2" s="1"/>
  <c r="G1139" i="2"/>
  <c r="F1139" i="2"/>
  <c r="AE1139" i="2"/>
  <c r="AC1139" i="2"/>
  <c r="U1139" i="2"/>
  <c r="J1139" i="2" l="1"/>
  <c r="W1139" i="2"/>
  <c r="X1139" i="2" s="1"/>
  <c r="AF1140" i="2"/>
  <c r="C1140" i="2"/>
  <c r="AD1139" i="2"/>
  <c r="L1139" i="2" s="1"/>
  <c r="K1139" i="2" l="1"/>
  <c r="D1140" i="2"/>
  <c r="E1140" i="2" s="1"/>
  <c r="T1140" i="2" s="1"/>
  <c r="I1139" i="2"/>
  <c r="N1139" i="2" s="1"/>
  <c r="M1139" i="2" s="1"/>
  <c r="P1139" i="2" s="1"/>
  <c r="AG1139" i="2" l="1"/>
  <c r="V1140" i="2"/>
  <c r="O1139" i="2"/>
  <c r="R1139" i="2" l="1"/>
  <c r="Q1139" i="2"/>
  <c r="S1139" i="2" l="1"/>
  <c r="Z1139" i="2" s="1"/>
  <c r="Y1139" i="2" l="1"/>
  <c r="AA1139" i="2" s="1"/>
  <c r="AB1140" i="2" s="1"/>
  <c r="B1141" i="2" l="1"/>
  <c r="H1141" i="2" s="1"/>
  <c r="G1140" i="2"/>
  <c r="F1140" i="2"/>
  <c r="AE1140" i="2"/>
  <c r="AC1140" i="2"/>
  <c r="U1140" i="2"/>
  <c r="J1140" i="2" l="1"/>
  <c r="W1140" i="2"/>
  <c r="X1140" i="2" s="1"/>
  <c r="AD1140" i="2"/>
  <c r="L1140" i="2" s="1"/>
  <c r="AF1141" i="2"/>
  <c r="C1141" i="2"/>
  <c r="K1140" i="2" l="1"/>
  <c r="D1141" i="2"/>
  <c r="E1141" i="2" s="1"/>
  <c r="T1141" i="2" s="1"/>
  <c r="I1140" i="2"/>
  <c r="N1140" i="2" l="1"/>
  <c r="M1140" i="2" s="1"/>
  <c r="P1140" i="2" s="1"/>
  <c r="V1141" i="2"/>
  <c r="AG1140" i="2" l="1"/>
  <c r="O1140" i="2"/>
  <c r="R1140" i="2" s="1"/>
  <c r="Q1140" i="2" l="1"/>
  <c r="S1140" i="2" s="1"/>
  <c r="Z1140" i="2" s="1"/>
  <c r="Y1140" i="2" l="1"/>
  <c r="AA1140" i="2" s="1"/>
  <c r="AB1141" i="2" s="1"/>
  <c r="B1142" i="2" l="1"/>
  <c r="H1142" i="2" s="1"/>
  <c r="G1141" i="2"/>
  <c r="F1141" i="2"/>
  <c r="AE1141" i="2"/>
  <c r="AC1141" i="2"/>
  <c r="U1141" i="2"/>
  <c r="AF1142" i="2" l="1"/>
  <c r="C1142" i="2"/>
  <c r="AD1141" i="2"/>
  <c r="L1141" i="2" s="1"/>
  <c r="J1141" i="2"/>
  <c r="W1141" i="2"/>
  <c r="X1141" i="2" s="1"/>
  <c r="I1141" i="2" l="1"/>
  <c r="K1141" i="2"/>
  <c r="D1142" i="2"/>
  <c r="E1142" i="2" s="1"/>
  <c r="T1142" i="2" s="1"/>
  <c r="V1142" i="2" l="1"/>
  <c r="N1141" i="2"/>
  <c r="O1141" i="2" l="1"/>
  <c r="Q1141" i="2" s="1"/>
  <c r="M1141" i="2"/>
  <c r="P1141" i="2" s="1"/>
  <c r="AG1141" i="2" l="1"/>
  <c r="R1141" i="2"/>
  <c r="S1141" i="2" s="1"/>
  <c r="Y1141" i="2" s="1"/>
  <c r="AA1141" i="2" s="1"/>
  <c r="Z1141" i="2" l="1"/>
  <c r="AB1142" i="2"/>
  <c r="B1143" i="2" l="1"/>
  <c r="H1143" i="2" s="1"/>
  <c r="G1142" i="2"/>
  <c r="F1142" i="2"/>
  <c r="AC1142" i="2"/>
  <c r="AE1142" i="2"/>
  <c r="U1142" i="2"/>
  <c r="AD1142" i="2" l="1"/>
  <c r="L1142" i="2" s="1"/>
  <c r="J1142" i="2"/>
  <c r="W1142" i="2"/>
  <c r="X1142" i="2" s="1"/>
  <c r="AF1143" i="2"/>
  <c r="C1143" i="2"/>
  <c r="I1142" i="2" l="1"/>
  <c r="K1142" i="2"/>
  <c r="D1143" i="2"/>
  <c r="E1143" i="2" s="1"/>
  <c r="T1143" i="2" s="1"/>
  <c r="V1143" i="2" l="1"/>
  <c r="N1142" i="2"/>
  <c r="O1142" i="2" l="1"/>
  <c r="Q1142" i="2" s="1"/>
  <c r="M1142" i="2"/>
  <c r="P1142" i="2" s="1"/>
  <c r="AG1142" i="2" l="1"/>
  <c r="R1142" i="2"/>
  <c r="S1142" i="2" s="1"/>
  <c r="Y1142" i="2" s="1"/>
  <c r="AA1142" i="2" s="1"/>
  <c r="Z1142" i="2" l="1"/>
  <c r="AB1143" i="2"/>
  <c r="B1144" i="2" l="1"/>
  <c r="H1144" i="2" s="1"/>
  <c r="G1143" i="2"/>
  <c r="F1143" i="2"/>
  <c r="AC1143" i="2"/>
  <c r="AE1143" i="2"/>
  <c r="U1143" i="2"/>
  <c r="AF1144" i="2" l="1"/>
  <c r="C1144" i="2"/>
  <c r="AD1143" i="2"/>
  <c r="L1143" i="2" s="1"/>
  <c r="J1143" i="2"/>
  <c r="W1143" i="2"/>
  <c r="X1143" i="2" s="1"/>
  <c r="I1143" i="2" l="1"/>
  <c r="K1143" i="2"/>
  <c r="D1144" i="2"/>
  <c r="E1144" i="2" s="1"/>
  <c r="T1144" i="2" s="1"/>
  <c r="V1144" i="2" l="1"/>
  <c r="N1143" i="2"/>
  <c r="O1143" i="2" l="1"/>
  <c r="Q1143" i="2" s="1"/>
  <c r="M1143" i="2"/>
  <c r="P1143" i="2" s="1"/>
  <c r="AG1143" i="2" l="1"/>
  <c r="R1143" i="2"/>
  <c r="S1143" i="2" s="1"/>
  <c r="Y1143" i="2" l="1"/>
  <c r="AA1143" i="2" s="1"/>
  <c r="AB1144" i="2" s="1"/>
  <c r="Z1143" i="2"/>
  <c r="B1145" i="2" l="1"/>
  <c r="H1145" i="2" s="1"/>
  <c r="G1144" i="2"/>
  <c r="F1144" i="2"/>
  <c r="AE1144" i="2"/>
  <c r="AC1144" i="2"/>
  <c r="U1144" i="2"/>
  <c r="AD1144" i="2" l="1"/>
  <c r="L1144" i="2" s="1"/>
  <c r="J1144" i="2"/>
  <c r="W1144" i="2"/>
  <c r="X1144" i="2" s="1"/>
  <c r="AF1145" i="2"/>
  <c r="C1145" i="2"/>
  <c r="I1144" i="2" l="1"/>
  <c r="D1145" i="2"/>
  <c r="E1145" i="2" s="1"/>
  <c r="T1145" i="2" s="1"/>
  <c r="K1144" i="2"/>
  <c r="V1145" i="2" l="1"/>
  <c r="N1144" i="2"/>
  <c r="O1144" i="2" l="1"/>
  <c r="R1144" i="2" s="1"/>
  <c r="M1144" i="2"/>
  <c r="P1144" i="2" s="1"/>
  <c r="AG1144" i="2" l="1"/>
  <c r="Q1144" i="2"/>
  <c r="S1144" i="2" s="1"/>
  <c r="Y1144" i="2" s="1"/>
  <c r="AA1144" i="2" s="1"/>
  <c r="Z1144" i="2" l="1"/>
  <c r="AB1145" i="2"/>
  <c r="B1146" i="2" l="1"/>
  <c r="H1146" i="2" s="1"/>
  <c r="G1145" i="2"/>
  <c r="F1145" i="2"/>
  <c r="AC1145" i="2"/>
  <c r="AE1145" i="2"/>
  <c r="U1145" i="2"/>
  <c r="AD1145" i="2" l="1"/>
  <c r="L1145" i="2" s="1"/>
  <c r="J1145" i="2"/>
  <c r="W1145" i="2"/>
  <c r="X1145" i="2" s="1"/>
  <c r="AF1146" i="2"/>
  <c r="C1146" i="2"/>
  <c r="I1145" i="2" l="1"/>
  <c r="D1146" i="2"/>
  <c r="E1146" i="2" s="1"/>
  <c r="T1146" i="2" s="1"/>
  <c r="K1145" i="2"/>
  <c r="V1146" i="2" l="1"/>
  <c r="N1145" i="2"/>
  <c r="O1145" i="2" l="1"/>
  <c r="R1145" i="2" s="1"/>
  <c r="M1145" i="2"/>
  <c r="P1145" i="2" s="1"/>
  <c r="AG1145" i="2" l="1"/>
  <c r="Q1145" i="2"/>
  <c r="S1145" i="2" s="1"/>
  <c r="Y1145" i="2" s="1"/>
  <c r="AA1145" i="2" s="1"/>
  <c r="Z1145" i="2" l="1"/>
  <c r="AB1146" i="2"/>
  <c r="B1147" i="2" l="1"/>
  <c r="H1147" i="2" s="1"/>
  <c r="G1146" i="2"/>
  <c r="F1146" i="2"/>
  <c r="AE1146" i="2"/>
  <c r="AC1146" i="2"/>
  <c r="U1146" i="2"/>
  <c r="J1146" i="2" l="1"/>
  <c r="W1146" i="2"/>
  <c r="X1146" i="2" s="1"/>
  <c r="AF1147" i="2"/>
  <c r="C1147" i="2"/>
  <c r="AD1146" i="2"/>
  <c r="L1146" i="2" s="1"/>
  <c r="K1146" i="2" l="1"/>
  <c r="D1147" i="2"/>
  <c r="E1147" i="2" s="1"/>
  <c r="T1147" i="2" s="1"/>
  <c r="I1146" i="2"/>
  <c r="N1146" i="2" l="1"/>
  <c r="M1146" i="2" s="1"/>
  <c r="P1146" i="2" s="1"/>
  <c r="V1147" i="2"/>
  <c r="AG1146" i="2" l="1"/>
  <c r="O1146" i="2"/>
  <c r="R1146" i="2" s="1"/>
  <c r="Q1146" i="2" l="1"/>
  <c r="S1146" i="2" s="1"/>
  <c r="Y1146" i="2" s="1"/>
  <c r="AA1146" i="2" s="1"/>
  <c r="Z1146" i="2" l="1"/>
  <c r="AB1147" i="2"/>
  <c r="B1148" i="2" l="1"/>
  <c r="H1148" i="2" s="1"/>
  <c r="G1147" i="2"/>
  <c r="F1147" i="2"/>
  <c r="AC1147" i="2"/>
  <c r="AE1147" i="2"/>
  <c r="U1147" i="2"/>
  <c r="AD1147" i="2" l="1"/>
  <c r="L1147" i="2" s="1"/>
  <c r="AF1148" i="2"/>
  <c r="C1148" i="2"/>
  <c r="J1147" i="2"/>
  <c r="W1147" i="2"/>
  <c r="X1147" i="2" s="1"/>
  <c r="K1147" i="2" l="1"/>
  <c r="I1147" i="2"/>
  <c r="D1148" i="2"/>
  <c r="E1148" i="2" s="1"/>
  <c r="T1148" i="2" s="1"/>
  <c r="N1147" i="2" l="1"/>
  <c r="V1148" i="2"/>
  <c r="O1147" i="2" l="1"/>
  <c r="R1147" i="2" s="1"/>
  <c r="M1147" i="2"/>
  <c r="P1147" i="2" s="1"/>
  <c r="AG1147" i="2" l="1"/>
  <c r="Q1147" i="2"/>
  <c r="S1147" i="2" s="1"/>
  <c r="Z1147" i="2" s="1"/>
  <c r="Y1147" i="2" l="1"/>
  <c r="AA1147" i="2" s="1"/>
  <c r="AB1148" i="2" s="1"/>
  <c r="B1149" i="2" l="1"/>
  <c r="H1149" i="2" s="1"/>
  <c r="G1148" i="2"/>
  <c r="F1148" i="2"/>
  <c r="AC1148" i="2"/>
  <c r="AE1148" i="2"/>
  <c r="U1148" i="2"/>
  <c r="C1149" i="2" l="1"/>
  <c r="AF1149" i="2"/>
  <c r="AD1148" i="2"/>
  <c r="L1148" i="2" s="1"/>
  <c r="J1148" i="2"/>
  <c r="W1148" i="2"/>
  <c r="X1148" i="2" s="1"/>
  <c r="K1148" i="2" l="1"/>
  <c r="I1148" i="2"/>
  <c r="D1149" i="2"/>
  <c r="E1149" i="2" s="1"/>
  <c r="T1149" i="2" s="1"/>
  <c r="N1148" i="2" l="1"/>
  <c r="V1149" i="2"/>
  <c r="O1148" i="2" l="1"/>
  <c r="R1148" i="2" s="1"/>
  <c r="M1148" i="2"/>
  <c r="P1148" i="2" s="1"/>
  <c r="AG1148" i="2" l="1"/>
  <c r="Q1148" i="2"/>
  <c r="S1148" i="2" s="1"/>
  <c r="Z1148" i="2" s="1"/>
  <c r="Y1148" i="2" l="1"/>
  <c r="AA1148" i="2" s="1"/>
  <c r="AB1149" i="2" s="1"/>
  <c r="B1150" i="2" l="1"/>
  <c r="H1150" i="2" s="1"/>
  <c r="G1149" i="2"/>
  <c r="F1149" i="2"/>
  <c r="AE1149" i="2"/>
  <c r="AC1149" i="2"/>
  <c r="U1149" i="2"/>
  <c r="J1149" i="2" l="1"/>
  <c r="W1149" i="2"/>
  <c r="X1149" i="2" s="1"/>
  <c r="AD1149" i="2"/>
  <c r="L1149" i="2" s="1"/>
  <c r="AF1150" i="2"/>
  <c r="C1150" i="2"/>
  <c r="D1150" i="2" l="1"/>
  <c r="E1150" i="2" s="1"/>
  <c r="T1150" i="2" s="1"/>
  <c r="K1149" i="2"/>
  <c r="I1149" i="2"/>
  <c r="N1149" i="2" l="1"/>
  <c r="M1149" i="2" s="1"/>
  <c r="P1149" i="2" s="1"/>
  <c r="V1150" i="2"/>
  <c r="AG1149" i="2" l="1"/>
  <c r="O1149" i="2"/>
  <c r="Q1149" i="2" s="1"/>
  <c r="R1149" i="2" l="1"/>
  <c r="S1149" i="2" s="1"/>
  <c r="Y1149" i="2" s="1"/>
  <c r="AA1149" i="2" s="1"/>
  <c r="Z1149" i="2" l="1"/>
  <c r="AB1150" i="2"/>
  <c r="B1151" i="2" l="1"/>
  <c r="H1151" i="2" s="1"/>
  <c r="G1150" i="2"/>
  <c r="F1150" i="2"/>
  <c r="AC1150" i="2"/>
  <c r="AE1150" i="2"/>
  <c r="U1150" i="2"/>
  <c r="J1150" i="2" l="1"/>
  <c r="W1150" i="2"/>
  <c r="X1150" i="2" s="1"/>
  <c r="AF1151" i="2"/>
  <c r="C1151" i="2"/>
  <c r="AD1150" i="2"/>
  <c r="L1150" i="2" s="1"/>
  <c r="K1150" i="2" l="1"/>
  <c r="D1151" i="2"/>
  <c r="E1151" i="2" s="1"/>
  <c r="T1151" i="2" s="1"/>
  <c r="I1150" i="2"/>
  <c r="N1150" i="2" l="1"/>
  <c r="M1150" i="2" s="1"/>
  <c r="P1150" i="2" s="1"/>
  <c r="V1151" i="2"/>
  <c r="AG1150" i="2" l="1"/>
  <c r="O1150" i="2"/>
  <c r="R1150" i="2" s="1"/>
  <c r="Q1150" i="2" l="1"/>
  <c r="S1150" i="2" s="1"/>
  <c r="Y1150" i="2" s="1"/>
  <c r="AA1150" i="2" s="1"/>
  <c r="Z1150" i="2" l="1"/>
  <c r="AB1151" i="2"/>
  <c r="B1152" i="2" l="1"/>
  <c r="H1152" i="2" s="1"/>
  <c r="G1151" i="2"/>
  <c r="F1151" i="2"/>
  <c r="AE1151" i="2"/>
  <c r="AC1151" i="2"/>
  <c r="U1151" i="2"/>
  <c r="J1151" i="2" l="1"/>
  <c r="W1151" i="2"/>
  <c r="X1151" i="2" s="1"/>
  <c r="AF1152" i="2"/>
  <c r="C1152" i="2"/>
  <c r="AD1151" i="2"/>
  <c r="L1151" i="2" s="1"/>
  <c r="D1152" i="2" l="1"/>
  <c r="E1152" i="2" s="1"/>
  <c r="T1152" i="2" s="1"/>
  <c r="K1151" i="2"/>
  <c r="I1151" i="2"/>
  <c r="N1151" i="2" l="1"/>
  <c r="M1151" i="2" s="1"/>
  <c r="P1151" i="2" s="1"/>
  <c r="V1152" i="2"/>
  <c r="AG1151" i="2" l="1"/>
  <c r="O1151" i="2"/>
  <c r="R1151" i="2" s="1"/>
  <c r="Q1151" i="2" l="1"/>
  <c r="S1151" i="2" s="1"/>
  <c r="Y1151" i="2" s="1"/>
  <c r="AA1151" i="2" s="1"/>
  <c r="Z1151" i="2" l="1"/>
  <c r="AB1152" i="2"/>
  <c r="B1153" i="2" l="1"/>
  <c r="H1153" i="2" s="1"/>
  <c r="G1152" i="2"/>
  <c r="F1152" i="2"/>
  <c r="AE1152" i="2"/>
  <c r="AC1152" i="2"/>
  <c r="U1152" i="2"/>
  <c r="J1152" i="2" l="1"/>
  <c r="W1152" i="2"/>
  <c r="X1152" i="2" s="1"/>
  <c r="AD1152" i="2"/>
  <c r="L1152" i="2" s="1"/>
  <c r="AF1153" i="2"/>
  <c r="C1153" i="2"/>
  <c r="K1152" i="2" l="1"/>
  <c r="D1153" i="2"/>
  <c r="E1153" i="2" s="1"/>
  <c r="T1153" i="2" s="1"/>
  <c r="I1152" i="2"/>
  <c r="N1152" i="2" l="1"/>
  <c r="M1152" i="2" s="1"/>
  <c r="P1152" i="2" s="1"/>
  <c r="V1153" i="2"/>
  <c r="AG1152" i="2" l="1"/>
  <c r="O1152" i="2"/>
  <c r="R1152" i="2" s="1"/>
  <c r="Q1152" i="2" l="1"/>
  <c r="S1152" i="2" s="1"/>
  <c r="Z1152" i="2" s="1"/>
  <c r="Y1152" i="2" l="1"/>
  <c r="AA1152" i="2" s="1"/>
  <c r="AB1153" i="2" s="1"/>
  <c r="B1154" i="2" l="1"/>
  <c r="H1154" i="2" s="1"/>
  <c r="G1153" i="2"/>
  <c r="F1153" i="2"/>
  <c r="AC1153" i="2"/>
  <c r="AE1153" i="2"/>
  <c r="U1153" i="2"/>
  <c r="J1153" i="2" l="1"/>
  <c r="W1153" i="2"/>
  <c r="X1153" i="2" s="1"/>
  <c r="AD1153" i="2"/>
  <c r="L1153" i="2" s="1"/>
  <c r="C1154" i="2"/>
  <c r="AF1154" i="2"/>
  <c r="D1154" i="2" l="1"/>
  <c r="E1154" i="2" s="1"/>
  <c r="T1154" i="2" s="1"/>
  <c r="K1153" i="2"/>
  <c r="I1153" i="2"/>
  <c r="N1153" i="2" l="1"/>
  <c r="M1153" i="2" s="1"/>
  <c r="P1153" i="2" s="1"/>
  <c r="V1154" i="2"/>
  <c r="AG1153" i="2" l="1"/>
  <c r="O1153" i="2"/>
  <c r="R1153" i="2" s="1"/>
  <c r="Q1153" i="2" l="1"/>
  <c r="S1153" i="2" s="1"/>
  <c r="Y1153" i="2" s="1"/>
  <c r="AA1153" i="2" s="1"/>
  <c r="Z1153" i="2" l="1"/>
  <c r="AB1154" i="2"/>
  <c r="B1155" i="2" l="1"/>
  <c r="H1155" i="2" s="1"/>
  <c r="G1154" i="2"/>
  <c r="F1154" i="2"/>
  <c r="AE1154" i="2"/>
  <c r="AC1154" i="2"/>
  <c r="U1154" i="2"/>
  <c r="AD1154" i="2" l="1"/>
  <c r="L1154" i="2" s="1"/>
  <c r="J1154" i="2"/>
  <c r="W1154" i="2"/>
  <c r="X1154" i="2" s="1"/>
  <c r="C1155" i="2"/>
  <c r="AF1155" i="2"/>
  <c r="I1154" i="2" l="1"/>
  <c r="K1154" i="2"/>
  <c r="D1155" i="2"/>
  <c r="E1155" i="2" s="1"/>
  <c r="T1155" i="2" s="1"/>
  <c r="N1154" i="2" l="1"/>
  <c r="M1154" i="2" s="1"/>
  <c r="P1154" i="2" s="1"/>
  <c r="V1155" i="2"/>
  <c r="AG1154" i="2" l="1"/>
  <c r="O1154" i="2"/>
  <c r="Q1154" i="2" s="1"/>
  <c r="R1154" i="2" l="1"/>
  <c r="S1154" i="2" s="1"/>
  <c r="Y1154" i="2" l="1"/>
  <c r="AA1154" i="2" s="1"/>
  <c r="AB1155" i="2" s="1"/>
  <c r="Z1154" i="2"/>
  <c r="B1156" i="2" l="1"/>
  <c r="H1156" i="2" s="1"/>
  <c r="G1155" i="2"/>
  <c r="F1155" i="2"/>
  <c r="AE1155" i="2"/>
  <c r="AC1155" i="2"/>
  <c r="U1155" i="2"/>
  <c r="AF1156" i="2" l="1"/>
  <c r="C1156" i="2"/>
  <c r="J1155" i="2"/>
  <c r="W1155" i="2"/>
  <c r="X1155" i="2" s="1"/>
  <c r="AD1155" i="2"/>
  <c r="L1155" i="2" s="1"/>
  <c r="D1156" i="2" l="1"/>
  <c r="E1156" i="2" s="1"/>
  <c r="T1156" i="2" s="1"/>
  <c r="K1155" i="2"/>
  <c r="I1155" i="2"/>
  <c r="N1155" i="2" l="1"/>
  <c r="M1155" i="2" s="1"/>
  <c r="P1155" i="2" s="1"/>
  <c r="V1156" i="2"/>
  <c r="AG1155" i="2" l="1"/>
  <c r="O1155" i="2"/>
  <c r="R1155" i="2" s="1"/>
  <c r="Q1155" i="2" l="1"/>
  <c r="S1155" i="2" s="1"/>
  <c r="Z1155" i="2" s="1"/>
  <c r="Y1155" i="2" l="1"/>
  <c r="AA1155" i="2" s="1"/>
  <c r="AB1156" i="2" s="1"/>
  <c r="B1157" i="2" l="1"/>
  <c r="H1157" i="2" s="1"/>
  <c r="G1156" i="2"/>
  <c r="F1156" i="2"/>
  <c r="AC1156" i="2"/>
  <c r="AE1156" i="2"/>
  <c r="U1156" i="2"/>
  <c r="J1156" i="2" l="1"/>
  <c r="W1156" i="2"/>
  <c r="X1156" i="2" s="1"/>
  <c r="AD1156" i="2"/>
  <c r="L1156" i="2" s="1"/>
  <c r="AF1157" i="2"/>
  <c r="C1157" i="2"/>
  <c r="K1156" i="2" l="1"/>
  <c r="D1157" i="2"/>
  <c r="E1157" i="2" s="1"/>
  <c r="T1157" i="2" s="1"/>
  <c r="I1156" i="2"/>
  <c r="N1156" i="2" l="1"/>
  <c r="V1157" i="2"/>
  <c r="O1156" i="2" l="1"/>
  <c r="R1156" i="2" s="1"/>
  <c r="M1156" i="2"/>
  <c r="P1156" i="2" s="1"/>
  <c r="AG1156" i="2" l="1"/>
  <c r="Q1156" i="2"/>
  <c r="S1156" i="2" s="1"/>
  <c r="Z1156" i="2" s="1"/>
  <c r="Y1156" i="2" l="1"/>
  <c r="AA1156" i="2" s="1"/>
  <c r="AB1157" i="2" s="1"/>
  <c r="B1158" i="2" l="1"/>
  <c r="H1158" i="2" s="1"/>
  <c r="G1157" i="2"/>
  <c r="F1157" i="2"/>
  <c r="AE1157" i="2"/>
  <c r="AC1157" i="2"/>
  <c r="U1157" i="2"/>
  <c r="AD1157" i="2" l="1"/>
  <c r="L1157" i="2" s="1"/>
  <c r="AF1158" i="2"/>
  <c r="C1158" i="2"/>
  <c r="J1157" i="2"/>
  <c r="W1157" i="2"/>
  <c r="X1157" i="2" s="1"/>
  <c r="I1157" i="2" l="1"/>
  <c r="K1157" i="2"/>
  <c r="D1158" i="2"/>
  <c r="E1158" i="2" s="1"/>
  <c r="T1158" i="2" s="1"/>
  <c r="V1158" i="2" l="1"/>
  <c r="N1157" i="2"/>
  <c r="O1157" i="2" l="1"/>
  <c r="Q1157" i="2" s="1"/>
  <c r="M1157" i="2"/>
  <c r="P1157" i="2" s="1"/>
  <c r="AG1157" i="2" l="1"/>
  <c r="R1157" i="2"/>
  <c r="S1157" i="2" s="1"/>
  <c r="Z1157" i="2" s="1"/>
  <c r="Y1157" i="2" l="1"/>
  <c r="AA1157" i="2" s="1"/>
  <c r="AB1158" i="2" l="1"/>
  <c r="B1159" i="2" l="1"/>
  <c r="H1159" i="2" s="1"/>
  <c r="G1158" i="2"/>
  <c r="F1158" i="2"/>
  <c r="AC1158" i="2"/>
  <c r="AE1158" i="2"/>
  <c r="AD1158" i="2" s="1"/>
  <c r="L1158" i="2" s="1"/>
  <c r="U1158" i="2"/>
  <c r="J1158" i="2"/>
  <c r="W1158" i="2" l="1"/>
  <c r="X1158" i="2" s="1"/>
  <c r="C1159" i="2"/>
  <c r="D1159" i="2" s="1"/>
  <c r="E1159" i="2" s="1"/>
  <c r="T1159" i="2" s="1"/>
  <c r="AF1159" i="2"/>
  <c r="K1158" i="2"/>
  <c r="I1158" i="2"/>
  <c r="N1158" i="2" l="1"/>
  <c r="M1158" i="2" s="1"/>
  <c r="V1159" i="2"/>
  <c r="P1158" i="2" l="1"/>
  <c r="AG1158" i="2" s="1"/>
  <c r="O1158" i="2"/>
  <c r="Q1158" i="2" s="1"/>
  <c r="R1158" i="2" l="1"/>
  <c r="S1158" i="2"/>
  <c r="Y1158" i="2" l="1"/>
  <c r="AA1158" i="2" s="1"/>
  <c r="Z1158" i="2"/>
  <c r="AB1159" i="2" l="1"/>
  <c r="B1160" i="2" l="1"/>
  <c r="H1160" i="2" s="1"/>
  <c r="G1159" i="2"/>
  <c r="F1159" i="2"/>
  <c r="AC1159" i="2"/>
  <c r="AE1159" i="2"/>
  <c r="U1159" i="2"/>
  <c r="C1160" i="2" l="1"/>
  <c r="AF1160" i="2"/>
  <c r="AD1159" i="2"/>
  <c r="L1159" i="2" s="1"/>
  <c r="J1159" i="2"/>
  <c r="W1159" i="2"/>
  <c r="X1159" i="2" s="1"/>
  <c r="I1159" i="2" l="1"/>
  <c r="K1159" i="2"/>
  <c r="D1160" i="2"/>
  <c r="E1160" i="2" s="1"/>
  <c r="T1160" i="2" s="1"/>
  <c r="V1160" i="2" l="1"/>
  <c r="N1159" i="2"/>
  <c r="O1159" i="2" l="1"/>
  <c r="R1159" i="2" s="1"/>
  <c r="M1159" i="2"/>
  <c r="P1159" i="2" s="1"/>
  <c r="AG1159" i="2" l="1"/>
  <c r="Q1159" i="2"/>
  <c r="S1159" i="2" s="1"/>
  <c r="Z1159" i="2" s="1"/>
  <c r="Y1159" i="2" l="1"/>
  <c r="AA1159" i="2" s="1"/>
  <c r="AB1160" i="2" s="1"/>
  <c r="B1161" i="2" l="1"/>
  <c r="H1161" i="2" s="1"/>
  <c r="G1160" i="2"/>
  <c r="F1160" i="2"/>
  <c r="AE1160" i="2"/>
  <c r="AC1160" i="2"/>
  <c r="U1160" i="2"/>
  <c r="AF1161" i="2" l="1"/>
  <c r="C1161" i="2"/>
  <c r="AD1160" i="2"/>
  <c r="L1160" i="2" s="1"/>
  <c r="J1160" i="2"/>
  <c r="W1160" i="2"/>
  <c r="X1160" i="2" s="1"/>
  <c r="K1160" i="2" l="1"/>
  <c r="I1160" i="2"/>
  <c r="D1161" i="2"/>
  <c r="E1161" i="2" s="1"/>
  <c r="T1161" i="2" s="1"/>
  <c r="N1160" i="2" l="1"/>
  <c r="V1161" i="2"/>
  <c r="O1160" i="2" l="1"/>
  <c r="R1160" i="2" s="1"/>
  <c r="M1160" i="2"/>
  <c r="P1160" i="2" s="1"/>
  <c r="AG1160" i="2" l="1"/>
  <c r="Q1160" i="2"/>
  <c r="S1160" i="2" s="1"/>
  <c r="Y1160" i="2" s="1"/>
  <c r="AA1160" i="2" s="1"/>
  <c r="Z1160" i="2" l="1"/>
  <c r="AB1161" i="2"/>
  <c r="B1162" i="2" l="1"/>
  <c r="H1162" i="2" s="1"/>
  <c r="G1161" i="2"/>
  <c r="F1161" i="2"/>
  <c r="AC1161" i="2"/>
  <c r="AE1161" i="2"/>
  <c r="U1161" i="2"/>
  <c r="J1161" i="2" l="1"/>
  <c r="W1161" i="2"/>
  <c r="X1161" i="2" s="1"/>
  <c r="AD1161" i="2"/>
  <c r="L1161" i="2" s="1"/>
  <c r="AF1162" i="2"/>
  <c r="C1162" i="2"/>
  <c r="K1161" i="2" l="1"/>
  <c r="D1162" i="2"/>
  <c r="E1162" i="2" s="1"/>
  <c r="T1162" i="2" s="1"/>
  <c r="I1161" i="2"/>
  <c r="N1161" i="2" l="1"/>
  <c r="V1162" i="2"/>
  <c r="O1161" i="2" l="1"/>
  <c r="Q1161" i="2" s="1"/>
  <c r="M1161" i="2"/>
  <c r="P1161" i="2" s="1"/>
  <c r="AG1161" i="2" l="1"/>
  <c r="R1161" i="2"/>
  <c r="S1161" i="2" s="1"/>
  <c r="Y1161" i="2" s="1"/>
  <c r="AA1161" i="2" s="1"/>
  <c r="Z1161" i="2" l="1"/>
  <c r="AB1162" i="2"/>
  <c r="B1163" i="2" l="1"/>
  <c r="H1163" i="2" s="1"/>
  <c r="G1162" i="2"/>
  <c r="F1162" i="2"/>
  <c r="AE1162" i="2"/>
  <c r="AC1162" i="2"/>
  <c r="U1162" i="2"/>
  <c r="AD1162" i="2" l="1"/>
  <c r="L1162" i="2" s="1"/>
  <c r="J1162" i="2"/>
  <c r="W1162" i="2"/>
  <c r="X1162" i="2" s="1"/>
  <c r="AF1163" i="2"/>
  <c r="C1163" i="2"/>
  <c r="I1162" i="2" l="1"/>
  <c r="D1163" i="2"/>
  <c r="E1163" i="2" s="1"/>
  <c r="T1163" i="2" s="1"/>
  <c r="K1162" i="2"/>
  <c r="V1163" i="2" l="1"/>
  <c r="N1162" i="2"/>
  <c r="O1162" i="2" l="1"/>
  <c r="Q1162" i="2" s="1"/>
  <c r="M1162" i="2"/>
  <c r="P1162" i="2" s="1"/>
  <c r="AG1162" i="2" l="1"/>
  <c r="R1162" i="2"/>
  <c r="S1162" i="2" s="1"/>
  <c r="Y1162" i="2" s="1"/>
  <c r="AA1162" i="2" s="1"/>
  <c r="Z1162" i="2" l="1"/>
  <c r="AB1163" i="2"/>
  <c r="B1164" i="2" l="1"/>
  <c r="H1164" i="2" s="1"/>
  <c r="G1163" i="2"/>
  <c r="F1163" i="2"/>
  <c r="AE1163" i="2"/>
  <c r="AC1163" i="2"/>
  <c r="U1163" i="2"/>
  <c r="AD1163" i="2" l="1"/>
  <c r="L1163" i="2" s="1"/>
  <c r="J1163" i="2"/>
  <c r="W1163" i="2"/>
  <c r="X1163" i="2" s="1"/>
  <c r="AF1164" i="2"/>
  <c r="C1164" i="2"/>
  <c r="I1163" i="2" l="1"/>
  <c r="D1164" i="2"/>
  <c r="E1164" i="2" s="1"/>
  <c r="T1164" i="2" s="1"/>
  <c r="K1163" i="2"/>
  <c r="V1164" i="2" l="1"/>
  <c r="N1163" i="2"/>
  <c r="O1163" i="2" l="1"/>
  <c r="R1163" i="2" s="1"/>
  <c r="M1163" i="2"/>
  <c r="P1163" i="2" s="1"/>
  <c r="AG1163" i="2" l="1"/>
  <c r="Q1163" i="2"/>
  <c r="S1163" i="2" s="1"/>
  <c r="Z1163" i="2" s="1"/>
  <c r="Y1163" i="2" l="1"/>
  <c r="AA1163" i="2" s="1"/>
  <c r="AB1164" i="2" s="1"/>
  <c r="B1165" i="2" l="1"/>
  <c r="H1165" i="2" s="1"/>
  <c r="G1164" i="2"/>
  <c r="F1164" i="2"/>
  <c r="AE1164" i="2"/>
  <c r="AC1164" i="2"/>
  <c r="U1164" i="2"/>
  <c r="AF1165" i="2" l="1"/>
  <c r="C1165" i="2"/>
  <c r="J1164" i="2"/>
  <c r="W1164" i="2"/>
  <c r="X1164" i="2" s="1"/>
  <c r="AD1164" i="2"/>
  <c r="L1164" i="2" s="1"/>
  <c r="D1165" i="2" l="1"/>
  <c r="E1165" i="2" s="1"/>
  <c r="T1165" i="2" s="1"/>
  <c r="K1164" i="2"/>
  <c r="I1164" i="2"/>
  <c r="N1164" i="2" l="1"/>
  <c r="V1165" i="2"/>
  <c r="O1164" i="2" l="1"/>
  <c r="R1164" i="2" s="1"/>
  <c r="M1164" i="2"/>
  <c r="P1164" i="2" s="1"/>
  <c r="AG1164" i="2" l="1"/>
  <c r="Q1164" i="2"/>
  <c r="S1164" i="2" s="1"/>
  <c r="Y1164" i="2" s="1"/>
  <c r="AA1164" i="2" s="1"/>
  <c r="Z1164" i="2" l="1"/>
  <c r="AB1165" i="2"/>
  <c r="B1166" i="2" l="1"/>
  <c r="H1166" i="2" s="1"/>
  <c r="G1165" i="2"/>
  <c r="F1165" i="2"/>
  <c r="AC1165" i="2"/>
  <c r="AE1165" i="2"/>
  <c r="U1165" i="2"/>
  <c r="J1165" i="2" l="1"/>
  <c r="W1165" i="2"/>
  <c r="X1165" i="2" s="1"/>
  <c r="AD1165" i="2"/>
  <c r="L1165" i="2" s="1"/>
  <c r="AF1166" i="2"/>
  <c r="C1166" i="2"/>
  <c r="I1165" i="2" l="1"/>
  <c r="D1166" i="2"/>
  <c r="E1166" i="2" s="1"/>
  <c r="T1166" i="2" s="1"/>
  <c r="K1165" i="2"/>
  <c r="V1166" i="2" l="1"/>
  <c r="N1165" i="2"/>
  <c r="O1165" i="2" l="1"/>
  <c r="R1165" i="2" s="1"/>
  <c r="M1165" i="2"/>
  <c r="P1165" i="2" s="1"/>
  <c r="AG1165" i="2" l="1"/>
  <c r="Q1165" i="2"/>
  <c r="S1165" i="2" s="1"/>
  <c r="Y1165" i="2" s="1"/>
  <c r="AA1165" i="2" s="1"/>
  <c r="Z1165" i="2" l="1"/>
  <c r="AB1166" i="2"/>
  <c r="B1167" i="2" l="1"/>
  <c r="H1167" i="2" s="1"/>
  <c r="G1166" i="2"/>
  <c r="F1166" i="2"/>
  <c r="AE1166" i="2"/>
  <c r="AC1166" i="2"/>
  <c r="U1166" i="2"/>
  <c r="J1166" i="2" l="1"/>
  <c r="W1166" i="2"/>
  <c r="X1166" i="2" s="1"/>
  <c r="AF1167" i="2"/>
  <c r="C1167" i="2"/>
  <c r="AD1166" i="2"/>
  <c r="L1166" i="2" s="1"/>
  <c r="K1166" i="2" l="1"/>
  <c r="D1167" i="2"/>
  <c r="E1167" i="2" s="1"/>
  <c r="T1167" i="2" s="1"/>
  <c r="I1166" i="2"/>
  <c r="N1166" i="2" l="1"/>
  <c r="M1166" i="2" s="1"/>
  <c r="V1167" i="2"/>
  <c r="P1166" i="2" l="1"/>
  <c r="AG1166" i="2" s="1"/>
  <c r="O1166" i="2"/>
  <c r="Q1166" i="2" s="1"/>
  <c r="R1166" i="2" l="1"/>
  <c r="S1166" i="2" s="1"/>
  <c r="Z1166" i="2" s="1"/>
  <c r="Y1166" i="2" l="1"/>
  <c r="AA1166" i="2" s="1"/>
  <c r="AB1167" i="2" s="1"/>
  <c r="B1168" i="2" l="1"/>
  <c r="H1168" i="2" s="1"/>
  <c r="G1167" i="2"/>
  <c r="F1167" i="2"/>
  <c r="AC1167" i="2"/>
  <c r="AE1167" i="2"/>
  <c r="U1167" i="2"/>
  <c r="J1167" i="2" l="1"/>
  <c r="W1167" i="2"/>
  <c r="X1167" i="2" s="1"/>
  <c r="AD1167" i="2"/>
  <c r="L1167" i="2" s="1"/>
  <c r="AF1168" i="2"/>
  <c r="C1168" i="2"/>
  <c r="I1167" i="2" l="1"/>
  <c r="D1168" i="2"/>
  <c r="E1168" i="2" s="1"/>
  <c r="T1168" i="2" s="1"/>
  <c r="K1167" i="2"/>
  <c r="V1168" i="2" l="1"/>
  <c r="N1167" i="2"/>
  <c r="O1167" i="2" l="1"/>
  <c r="R1167" i="2" s="1"/>
  <c r="M1167" i="2"/>
  <c r="P1167" i="2" s="1"/>
  <c r="AG1167" i="2" l="1"/>
  <c r="Q1167" i="2"/>
  <c r="S1167" i="2" s="1"/>
  <c r="Y1167" i="2" s="1"/>
  <c r="AA1167" i="2" s="1"/>
  <c r="Z1167" i="2" l="1"/>
  <c r="AB1168" i="2"/>
  <c r="B1169" i="2" l="1"/>
  <c r="H1169" i="2" s="1"/>
  <c r="G1168" i="2"/>
  <c r="F1168" i="2"/>
  <c r="AE1168" i="2"/>
  <c r="AC1168" i="2"/>
  <c r="U1168" i="2"/>
  <c r="AF1169" i="2" l="1"/>
  <c r="C1169" i="2"/>
  <c r="AD1168" i="2"/>
  <c r="L1168" i="2" s="1"/>
  <c r="J1168" i="2"/>
  <c r="W1168" i="2"/>
  <c r="X1168" i="2" s="1"/>
  <c r="I1168" i="2" l="1"/>
  <c r="D1169" i="2"/>
  <c r="E1169" i="2" s="1"/>
  <c r="T1169" i="2" s="1"/>
  <c r="K1168" i="2"/>
  <c r="V1169" i="2" l="1"/>
  <c r="N1168" i="2"/>
  <c r="O1168" i="2" l="1"/>
  <c r="Q1168" i="2" s="1"/>
  <c r="M1168" i="2"/>
  <c r="P1168" i="2" s="1"/>
  <c r="AG1168" i="2" l="1"/>
  <c r="R1168" i="2"/>
  <c r="S1168" i="2" s="1"/>
  <c r="Y1168" i="2" s="1"/>
  <c r="AA1168" i="2" s="1"/>
  <c r="Z1168" i="2" l="1"/>
  <c r="AB1169" i="2"/>
  <c r="B1170" i="2" l="1"/>
  <c r="H1170" i="2" s="1"/>
  <c r="G1169" i="2"/>
  <c r="F1169" i="2"/>
  <c r="AC1169" i="2"/>
  <c r="AE1169" i="2"/>
  <c r="U1169" i="2"/>
  <c r="J1169" i="2" l="1"/>
  <c r="W1169" i="2"/>
  <c r="X1169" i="2" s="1"/>
  <c r="AD1169" i="2"/>
  <c r="L1169" i="2" s="1"/>
  <c r="AF1170" i="2"/>
  <c r="C1170" i="2"/>
  <c r="D1170" i="2" l="1"/>
  <c r="E1170" i="2" s="1"/>
  <c r="T1170" i="2" s="1"/>
  <c r="K1169" i="2"/>
  <c r="I1169" i="2"/>
  <c r="N1169" i="2" l="1"/>
  <c r="V1170" i="2"/>
  <c r="O1169" i="2" l="1"/>
  <c r="R1169" i="2" s="1"/>
  <c r="M1169" i="2"/>
  <c r="P1169" i="2" s="1"/>
  <c r="AG1169" i="2" l="1"/>
  <c r="Q1169" i="2"/>
  <c r="S1169" i="2" s="1"/>
  <c r="Z1169" i="2" s="1"/>
  <c r="Y1169" i="2" l="1"/>
  <c r="AA1169" i="2" s="1"/>
  <c r="AB1170" i="2" s="1"/>
  <c r="B1171" i="2" l="1"/>
  <c r="H1171" i="2" s="1"/>
  <c r="G1170" i="2"/>
  <c r="F1170" i="2"/>
  <c r="AE1170" i="2"/>
  <c r="AC1170" i="2"/>
  <c r="U1170" i="2"/>
  <c r="AD1170" i="2" l="1"/>
  <c r="L1170" i="2" s="1"/>
  <c r="AF1171" i="2"/>
  <c r="C1171" i="2"/>
  <c r="J1170" i="2"/>
  <c r="W1170" i="2"/>
  <c r="X1170" i="2" s="1"/>
  <c r="K1170" i="2" l="1"/>
  <c r="I1170" i="2"/>
  <c r="D1171" i="2"/>
  <c r="E1171" i="2" s="1"/>
  <c r="T1171" i="2" s="1"/>
  <c r="N1170" i="2" l="1"/>
  <c r="V1171" i="2"/>
  <c r="O1170" i="2" l="1"/>
  <c r="R1170" i="2" s="1"/>
  <c r="M1170" i="2"/>
  <c r="P1170" i="2" s="1"/>
  <c r="AG1170" i="2" l="1"/>
  <c r="Q1170" i="2"/>
  <c r="S1170" i="2" s="1"/>
  <c r="Y1170" i="2" s="1"/>
  <c r="AA1170" i="2" s="1"/>
  <c r="Z1170" i="2" l="1"/>
  <c r="AB1171" i="2"/>
  <c r="B1172" i="2" l="1"/>
  <c r="H1172" i="2" s="1"/>
  <c r="G1171" i="2"/>
  <c r="F1171" i="2"/>
  <c r="AE1171" i="2"/>
  <c r="AC1171" i="2"/>
  <c r="U1171" i="2"/>
  <c r="AD1171" i="2" l="1"/>
  <c r="L1171" i="2" s="1"/>
  <c r="J1171" i="2"/>
  <c r="W1171" i="2"/>
  <c r="X1171" i="2" s="1"/>
  <c r="AF1172" i="2"/>
  <c r="C1172" i="2"/>
  <c r="I1171" i="2" l="1"/>
  <c r="D1172" i="2"/>
  <c r="E1172" i="2" s="1"/>
  <c r="T1172" i="2" s="1"/>
  <c r="K1171" i="2"/>
  <c r="V1172" i="2" l="1"/>
  <c r="N1171" i="2"/>
  <c r="O1171" i="2" l="1"/>
  <c r="R1171" i="2" s="1"/>
  <c r="M1171" i="2"/>
  <c r="P1171" i="2" s="1"/>
  <c r="AG1171" i="2" l="1"/>
  <c r="Q1171" i="2"/>
  <c r="S1171" i="2" s="1"/>
  <c r="Z1171" i="2" s="1"/>
  <c r="Y1171" i="2" l="1"/>
  <c r="AA1171" i="2" s="1"/>
  <c r="AB1172" i="2" s="1"/>
  <c r="B1173" i="2" l="1"/>
  <c r="H1173" i="2" s="1"/>
  <c r="G1172" i="2"/>
  <c r="F1172" i="2"/>
  <c r="AE1172" i="2"/>
  <c r="AC1172" i="2"/>
  <c r="U1172" i="2"/>
  <c r="AF1173" i="2" l="1"/>
  <c r="C1173" i="2"/>
  <c r="AD1172" i="2"/>
  <c r="L1172" i="2" s="1"/>
  <c r="J1172" i="2"/>
  <c r="W1172" i="2"/>
  <c r="X1172" i="2" s="1"/>
  <c r="I1172" i="2" l="1"/>
  <c r="D1173" i="2"/>
  <c r="E1173" i="2" s="1"/>
  <c r="T1173" i="2" s="1"/>
  <c r="K1172" i="2"/>
  <c r="N1172" i="2" l="1"/>
  <c r="M1172" i="2" s="1"/>
  <c r="P1172" i="2" s="1"/>
  <c r="V1173" i="2"/>
  <c r="AG1172" i="2" l="1"/>
  <c r="O1172" i="2"/>
  <c r="R1172" i="2" s="1"/>
  <c r="Q1172" i="2" l="1"/>
  <c r="S1172" i="2" s="1"/>
  <c r="Z1172" i="2" s="1"/>
  <c r="Y1172" i="2" l="1"/>
  <c r="AA1172" i="2" s="1"/>
  <c r="AB1173" i="2" s="1"/>
  <c r="B1174" i="2" l="1"/>
  <c r="H1174" i="2" s="1"/>
  <c r="G1173" i="2"/>
  <c r="F1173" i="2"/>
  <c r="AC1173" i="2"/>
  <c r="AE1173" i="2"/>
  <c r="U1173" i="2"/>
  <c r="AF1174" i="2" l="1"/>
  <c r="C1174" i="2"/>
  <c r="AD1173" i="2"/>
  <c r="L1173" i="2" s="1"/>
  <c r="J1173" i="2"/>
  <c r="W1173" i="2"/>
  <c r="X1173" i="2" s="1"/>
  <c r="K1173" i="2" l="1"/>
  <c r="I1173" i="2"/>
  <c r="D1174" i="2"/>
  <c r="E1174" i="2" s="1"/>
  <c r="T1174" i="2" s="1"/>
  <c r="N1173" i="2" l="1"/>
  <c r="V1174" i="2"/>
  <c r="O1173" i="2" l="1"/>
  <c r="Q1173" i="2" s="1"/>
  <c r="M1173" i="2"/>
  <c r="P1173" i="2" s="1"/>
  <c r="AG1173" i="2" l="1"/>
  <c r="R1173" i="2"/>
  <c r="S1173" i="2" s="1"/>
  <c r="Y1173" i="2" l="1"/>
  <c r="AA1173" i="2" s="1"/>
  <c r="Z1173" i="2"/>
  <c r="AB1174" i="2" l="1"/>
  <c r="B1175" i="2" l="1"/>
  <c r="H1175" i="2" s="1"/>
  <c r="G1174" i="2"/>
  <c r="U1174" i="2"/>
  <c r="AC1174" i="2"/>
  <c r="AE1174" i="2"/>
  <c r="AD1174" i="2" s="1"/>
  <c r="L1174" i="2" s="1"/>
  <c r="F1174" i="2"/>
  <c r="W1174" i="2" l="1"/>
  <c r="X1174" i="2" s="1"/>
  <c r="C1175" i="2"/>
  <c r="D1175" i="2" s="1"/>
  <c r="E1175" i="2" s="1"/>
  <c r="T1175" i="2" s="1"/>
  <c r="J1174" i="2"/>
  <c r="AF1175" i="2"/>
  <c r="K1174" i="2" l="1"/>
  <c r="I1174" i="2"/>
  <c r="V1175" i="2"/>
  <c r="N1174" i="2" l="1"/>
  <c r="O1174" i="2" s="1"/>
  <c r="R1174" i="2" s="1"/>
  <c r="M1174" i="2"/>
  <c r="P1174" i="2" s="1"/>
  <c r="AG1174" i="2" l="1"/>
  <c r="Q1174" i="2"/>
  <c r="S1174" i="2" s="1"/>
  <c r="Y1174" i="2" s="1"/>
  <c r="AA1174" i="2" s="1"/>
  <c r="Z1174" i="2" l="1"/>
  <c r="AB1175" i="2"/>
  <c r="B1176" i="2" l="1"/>
  <c r="H1176" i="2" s="1"/>
  <c r="G1175" i="2"/>
  <c r="F1175" i="2"/>
  <c r="AE1175" i="2"/>
  <c r="AC1175" i="2"/>
  <c r="U1175" i="2"/>
  <c r="J1175" i="2" l="1"/>
  <c r="W1175" i="2"/>
  <c r="X1175" i="2" s="1"/>
  <c r="AD1175" i="2"/>
  <c r="L1175" i="2" s="1"/>
  <c r="C1176" i="2"/>
  <c r="AF1176" i="2"/>
  <c r="I1175" i="2" l="1"/>
  <c r="D1176" i="2"/>
  <c r="E1176" i="2" s="1"/>
  <c r="T1176" i="2" s="1"/>
  <c r="K1175" i="2"/>
  <c r="N1175" i="2" l="1"/>
  <c r="M1175" i="2" s="1"/>
  <c r="P1175" i="2" s="1"/>
  <c r="V1176" i="2"/>
  <c r="AG1175" i="2" l="1"/>
  <c r="O1175" i="2"/>
  <c r="R1175" i="2" s="1"/>
  <c r="Q1175" i="2" l="1"/>
  <c r="S1175" i="2" s="1"/>
  <c r="Y1175" i="2" s="1"/>
  <c r="AA1175" i="2" s="1"/>
  <c r="Z1175" i="2" l="1"/>
  <c r="AB1176" i="2"/>
  <c r="B1177" i="2" l="1"/>
  <c r="H1177" i="2" s="1"/>
  <c r="G1176" i="2"/>
  <c r="F1176" i="2"/>
  <c r="AE1176" i="2"/>
  <c r="AC1176" i="2"/>
  <c r="U1176" i="2"/>
  <c r="C1177" i="2" l="1"/>
  <c r="AF1177" i="2"/>
  <c r="AD1176" i="2"/>
  <c r="L1176" i="2" s="1"/>
  <c r="J1176" i="2"/>
  <c r="W1176" i="2"/>
  <c r="X1176" i="2" s="1"/>
  <c r="I1176" i="2" l="1"/>
  <c r="K1176" i="2"/>
  <c r="D1177" i="2"/>
  <c r="E1177" i="2" s="1"/>
  <c r="T1177" i="2" s="1"/>
  <c r="V1177" i="2" l="1"/>
  <c r="N1176" i="2"/>
  <c r="O1176" i="2" l="1"/>
  <c r="R1176" i="2" s="1"/>
  <c r="M1176" i="2"/>
  <c r="P1176" i="2" s="1"/>
  <c r="AG1176" i="2" l="1"/>
  <c r="Q1176" i="2"/>
  <c r="S1176" i="2" s="1"/>
  <c r="Z1176" i="2" s="1"/>
  <c r="Y1176" i="2" l="1"/>
  <c r="AA1176" i="2" s="1"/>
  <c r="AB1177" i="2" s="1"/>
  <c r="B1178" i="2" l="1"/>
  <c r="H1178" i="2" s="1"/>
  <c r="G1177" i="2"/>
  <c r="F1177" i="2"/>
  <c r="AE1177" i="2"/>
  <c r="AC1177" i="2"/>
  <c r="U1177" i="2"/>
  <c r="AF1178" i="2" l="1"/>
  <c r="C1178" i="2"/>
  <c r="J1177" i="2"/>
  <c r="W1177" i="2"/>
  <c r="X1177" i="2" s="1"/>
  <c r="AD1177" i="2"/>
  <c r="L1177" i="2" s="1"/>
  <c r="I1177" i="2" l="1"/>
  <c r="D1178" i="2"/>
  <c r="E1178" i="2" s="1"/>
  <c r="T1178" i="2" s="1"/>
  <c r="K1177" i="2"/>
  <c r="N1177" i="2" l="1"/>
  <c r="M1177" i="2" s="1"/>
  <c r="P1177" i="2" s="1"/>
  <c r="V1178" i="2"/>
  <c r="AG1177" i="2" l="1"/>
  <c r="O1177" i="2"/>
  <c r="R1177" i="2" s="1"/>
  <c r="Q1177" i="2" l="1"/>
  <c r="S1177" i="2" s="1"/>
  <c r="Y1177" i="2" s="1"/>
  <c r="AA1177" i="2" s="1"/>
  <c r="Z1177" i="2" l="1"/>
  <c r="AB1178" i="2"/>
  <c r="B1179" i="2" l="1"/>
  <c r="H1179" i="2" s="1"/>
  <c r="G1178" i="2"/>
  <c r="F1178" i="2"/>
  <c r="AE1178" i="2"/>
  <c r="AC1178" i="2"/>
  <c r="U1178" i="2"/>
  <c r="C1179" i="2" l="1"/>
  <c r="AF1179" i="2"/>
  <c r="AD1178" i="2"/>
  <c r="L1178" i="2" s="1"/>
  <c r="J1178" i="2"/>
  <c r="W1178" i="2"/>
  <c r="X1178" i="2" s="1"/>
  <c r="I1178" i="2" l="1"/>
  <c r="K1178" i="2"/>
  <c r="D1179" i="2"/>
  <c r="E1179" i="2" s="1"/>
  <c r="T1179" i="2" s="1"/>
  <c r="V1179" i="2" l="1"/>
  <c r="N1178" i="2"/>
  <c r="O1178" i="2" l="1"/>
  <c r="R1178" i="2" s="1"/>
  <c r="M1178" i="2"/>
  <c r="P1178" i="2" s="1"/>
  <c r="AG1178" i="2" l="1"/>
  <c r="Q1178" i="2"/>
  <c r="S1178" i="2" s="1"/>
  <c r="Z1178" i="2" s="1"/>
  <c r="Y1178" i="2" l="1"/>
  <c r="AA1178" i="2" s="1"/>
  <c r="AB1179" i="2" s="1"/>
  <c r="B1180" i="2" l="1"/>
  <c r="H1180" i="2" s="1"/>
  <c r="G1179" i="2"/>
  <c r="F1179" i="2"/>
  <c r="AE1179" i="2"/>
  <c r="AC1179" i="2"/>
  <c r="U1179" i="2"/>
  <c r="AD1179" i="2" l="1"/>
  <c r="L1179" i="2" s="1"/>
  <c r="AF1180" i="2"/>
  <c r="C1180" i="2"/>
  <c r="J1179" i="2"/>
  <c r="W1179" i="2"/>
  <c r="X1179" i="2" s="1"/>
  <c r="K1179" i="2" l="1"/>
  <c r="I1179" i="2"/>
  <c r="D1180" i="2"/>
  <c r="E1180" i="2" s="1"/>
  <c r="T1180" i="2" s="1"/>
  <c r="N1179" i="2" l="1"/>
  <c r="V1180" i="2"/>
  <c r="O1179" i="2" l="1"/>
  <c r="R1179" i="2" s="1"/>
  <c r="M1179" i="2"/>
  <c r="P1179" i="2" s="1"/>
  <c r="AG1179" i="2" l="1"/>
  <c r="Q1179" i="2"/>
  <c r="S1179" i="2" s="1"/>
  <c r="Z1179" i="2" s="1"/>
  <c r="Y1179" i="2" l="1"/>
  <c r="AA1179" i="2" s="1"/>
  <c r="AB1180" i="2" s="1"/>
  <c r="B1181" i="2" l="1"/>
  <c r="H1181" i="2" s="1"/>
  <c r="G1180" i="2"/>
  <c r="F1180" i="2"/>
  <c r="AE1180" i="2"/>
  <c r="AC1180" i="2"/>
  <c r="U1180" i="2"/>
  <c r="AF1181" i="2" l="1"/>
  <c r="C1181" i="2"/>
  <c r="J1180" i="2"/>
  <c r="W1180" i="2"/>
  <c r="X1180" i="2" s="1"/>
  <c r="AD1180" i="2"/>
  <c r="L1180" i="2" s="1"/>
  <c r="I1180" i="2" l="1"/>
  <c r="D1181" i="2"/>
  <c r="E1181" i="2" s="1"/>
  <c r="T1181" i="2" s="1"/>
  <c r="K1180" i="2"/>
  <c r="V1181" i="2" l="1"/>
  <c r="N1180" i="2"/>
  <c r="O1180" i="2" l="1"/>
  <c r="R1180" i="2" s="1"/>
  <c r="M1180" i="2"/>
  <c r="P1180" i="2" s="1"/>
  <c r="AG1180" i="2" l="1"/>
  <c r="Q1180" i="2"/>
  <c r="S1180" i="2" s="1"/>
  <c r="Y1180" i="2" s="1"/>
  <c r="AA1180" i="2" s="1"/>
  <c r="Z1180" i="2" l="1"/>
  <c r="AB1181" i="2"/>
  <c r="B1182" i="2" l="1"/>
  <c r="H1182" i="2" s="1"/>
  <c r="G1181" i="2"/>
  <c r="F1181" i="2"/>
  <c r="AC1181" i="2"/>
  <c r="AE1181" i="2"/>
  <c r="U1181" i="2"/>
  <c r="J1181" i="2" l="1"/>
  <c r="W1181" i="2"/>
  <c r="X1181" i="2" s="1"/>
  <c r="AD1181" i="2"/>
  <c r="L1181" i="2" s="1"/>
  <c r="C1182" i="2"/>
  <c r="AF1182" i="2"/>
  <c r="D1182" i="2" l="1"/>
  <c r="E1182" i="2" s="1"/>
  <c r="T1182" i="2" s="1"/>
  <c r="K1181" i="2"/>
  <c r="I1181" i="2"/>
  <c r="N1181" i="2" l="1"/>
  <c r="M1181" i="2" s="1"/>
  <c r="P1181" i="2" s="1"/>
  <c r="V1182" i="2"/>
  <c r="AG1181" i="2" l="1"/>
  <c r="O1181" i="2"/>
  <c r="R1181" i="2" s="1"/>
  <c r="Q1181" i="2" l="1"/>
  <c r="S1181" i="2" s="1"/>
  <c r="Z1181" i="2" s="1"/>
  <c r="Y1181" i="2" l="1"/>
  <c r="AA1181" i="2" s="1"/>
  <c r="AB1182" i="2" s="1"/>
  <c r="B1183" i="2" l="1"/>
  <c r="H1183" i="2" s="1"/>
  <c r="G1182" i="2"/>
  <c r="F1182" i="2"/>
  <c r="AE1182" i="2"/>
  <c r="AC1182" i="2"/>
  <c r="U1182" i="2"/>
  <c r="J1182" i="2" l="1"/>
  <c r="W1182" i="2"/>
  <c r="X1182" i="2" s="1"/>
  <c r="AD1182" i="2"/>
  <c r="L1182" i="2" s="1"/>
  <c r="AF1183" i="2"/>
  <c r="C1183" i="2"/>
  <c r="D1183" i="2" l="1"/>
  <c r="E1183" i="2" s="1"/>
  <c r="T1183" i="2" s="1"/>
  <c r="K1182" i="2"/>
  <c r="I1182" i="2"/>
  <c r="N1182" i="2" l="1"/>
  <c r="V1183" i="2"/>
  <c r="O1182" i="2" l="1"/>
  <c r="Q1182" i="2" s="1"/>
  <c r="M1182" i="2"/>
  <c r="P1182" i="2" s="1"/>
  <c r="AG1182" i="2" l="1"/>
  <c r="R1182" i="2"/>
  <c r="S1182" i="2" s="1"/>
  <c r="Z1182" i="2" s="1"/>
  <c r="Y1182" i="2" l="1"/>
  <c r="AA1182" i="2" s="1"/>
  <c r="AB1183" i="2" l="1"/>
  <c r="B1184" i="2" l="1"/>
  <c r="H1184" i="2" s="1"/>
  <c r="G1183" i="2"/>
  <c r="AE1183" i="2"/>
  <c r="AD1183" i="2" s="1"/>
  <c r="L1183" i="2" s="1"/>
  <c r="F1183" i="2"/>
  <c r="U1183" i="2"/>
  <c r="AC1183" i="2"/>
  <c r="AF1184" i="2"/>
  <c r="W1183" i="2" l="1"/>
  <c r="X1183" i="2" s="1"/>
  <c r="J1183" i="2"/>
  <c r="C1184" i="2"/>
  <c r="D1184" i="2" s="1"/>
  <c r="E1184" i="2" s="1"/>
  <c r="T1184" i="2" s="1"/>
  <c r="K1183" i="2" l="1"/>
  <c r="I1183" i="2"/>
  <c r="V1184" i="2"/>
  <c r="N1183" i="2" l="1"/>
  <c r="O1183" i="2" s="1"/>
  <c r="R1183" i="2" s="1"/>
  <c r="M1183" i="2"/>
  <c r="P1183" i="2" s="1"/>
  <c r="AG1183" i="2" l="1"/>
  <c r="Q1183" i="2"/>
  <c r="S1183" i="2" s="1"/>
  <c r="Z1183" i="2" s="1"/>
  <c r="Y1183" i="2" l="1"/>
  <c r="AA1183" i="2" s="1"/>
  <c r="AB1184" i="2" s="1"/>
  <c r="B1185" i="2" l="1"/>
  <c r="H1185" i="2" s="1"/>
  <c r="G1184" i="2"/>
  <c r="F1184" i="2"/>
  <c r="AE1184" i="2"/>
  <c r="AC1184" i="2"/>
  <c r="U1184" i="2"/>
  <c r="C1185" i="2" l="1"/>
  <c r="AF1185" i="2"/>
  <c r="AD1184" i="2"/>
  <c r="L1184" i="2" s="1"/>
  <c r="J1184" i="2"/>
  <c r="W1184" i="2"/>
  <c r="X1184" i="2" s="1"/>
  <c r="K1184" i="2" l="1"/>
  <c r="I1184" i="2"/>
  <c r="D1185" i="2"/>
  <c r="E1185" i="2" s="1"/>
  <c r="T1185" i="2" s="1"/>
  <c r="N1184" i="2" l="1"/>
  <c r="V1185" i="2"/>
  <c r="O1184" i="2" l="1"/>
  <c r="R1184" i="2" s="1"/>
  <c r="M1184" i="2"/>
  <c r="P1184" i="2" s="1"/>
  <c r="AG1184" i="2" l="1"/>
  <c r="Q1184" i="2"/>
  <c r="S1184" i="2" s="1"/>
  <c r="Z1184" i="2" s="1"/>
  <c r="Y1184" i="2" l="1"/>
  <c r="AA1184" i="2" s="1"/>
  <c r="AB1185" i="2" s="1"/>
  <c r="B1186" i="2" l="1"/>
  <c r="H1186" i="2" s="1"/>
  <c r="G1185" i="2"/>
  <c r="F1185" i="2"/>
  <c r="AC1185" i="2"/>
  <c r="AE1185" i="2"/>
  <c r="U1185" i="2"/>
  <c r="AF1186" i="2" l="1"/>
  <c r="C1186" i="2"/>
  <c r="AD1185" i="2"/>
  <c r="L1185" i="2" s="1"/>
  <c r="J1185" i="2"/>
  <c r="W1185" i="2"/>
  <c r="X1185" i="2" s="1"/>
  <c r="K1185" i="2" l="1"/>
  <c r="I1185" i="2"/>
  <c r="D1186" i="2"/>
  <c r="E1186" i="2" s="1"/>
  <c r="T1186" i="2" s="1"/>
  <c r="N1185" i="2" l="1"/>
  <c r="V1186" i="2"/>
  <c r="O1185" i="2" l="1"/>
  <c r="R1185" i="2" s="1"/>
  <c r="M1185" i="2"/>
  <c r="P1185" i="2" s="1"/>
  <c r="AG1185" i="2" l="1"/>
  <c r="Q1185" i="2"/>
  <c r="S1185" i="2" s="1"/>
  <c r="Z1185" i="2" s="1"/>
  <c r="Y1185" i="2" l="1"/>
  <c r="AA1185" i="2" s="1"/>
  <c r="AB1186" i="2" s="1"/>
  <c r="B1187" i="2" l="1"/>
  <c r="H1187" i="2" s="1"/>
  <c r="G1186" i="2"/>
  <c r="F1186" i="2"/>
  <c r="AE1186" i="2"/>
  <c r="AC1186" i="2"/>
  <c r="U1186" i="2"/>
  <c r="AD1186" i="2" l="1"/>
  <c r="L1186" i="2" s="1"/>
  <c r="AF1187" i="2"/>
  <c r="C1187" i="2"/>
  <c r="J1186" i="2"/>
  <c r="W1186" i="2"/>
  <c r="X1186" i="2" s="1"/>
  <c r="K1186" i="2" l="1"/>
  <c r="I1186" i="2"/>
  <c r="D1187" i="2"/>
  <c r="E1187" i="2" s="1"/>
  <c r="T1187" i="2" s="1"/>
  <c r="N1186" i="2" l="1"/>
  <c r="V1187" i="2"/>
  <c r="O1186" i="2" l="1"/>
  <c r="R1186" i="2" s="1"/>
  <c r="M1186" i="2"/>
  <c r="P1186" i="2" s="1"/>
  <c r="AG1186" i="2" l="1"/>
  <c r="Q1186" i="2"/>
  <c r="S1186" i="2" s="1"/>
  <c r="Y1186" i="2" s="1"/>
  <c r="AA1186" i="2" s="1"/>
  <c r="Z1186" i="2" l="1"/>
  <c r="AB1187" i="2"/>
  <c r="B1188" i="2" l="1"/>
  <c r="H1188" i="2" s="1"/>
  <c r="G1187" i="2"/>
  <c r="F1187" i="2"/>
  <c r="AC1187" i="2"/>
  <c r="AE1187" i="2"/>
  <c r="U1187" i="2"/>
  <c r="AD1187" i="2" l="1"/>
  <c r="L1187" i="2" s="1"/>
  <c r="J1187" i="2"/>
  <c r="W1187" i="2"/>
  <c r="X1187" i="2" s="1"/>
  <c r="AF1188" i="2"/>
  <c r="C1188" i="2"/>
  <c r="I1187" i="2" l="1"/>
  <c r="D1188" i="2"/>
  <c r="E1188" i="2" s="1"/>
  <c r="T1188" i="2" s="1"/>
  <c r="K1187" i="2"/>
  <c r="V1188" i="2" l="1"/>
  <c r="N1187" i="2"/>
  <c r="O1187" i="2" l="1"/>
  <c r="R1187" i="2" s="1"/>
  <c r="M1187" i="2"/>
  <c r="P1187" i="2" s="1"/>
  <c r="AG1187" i="2" l="1"/>
  <c r="Q1187" i="2"/>
  <c r="S1187" i="2" s="1"/>
  <c r="Y1187" i="2" s="1"/>
  <c r="AA1187" i="2" s="1"/>
  <c r="Z1187" i="2" l="1"/>
  <c r="AB1188" i="2"/>
  <c r="B1189" i="2" l="1"/>
  <c r="H1189" i="2" s="1"/>
  <c r="G1188" i="2"/>
  <c r="F1188" i="2"/>
  <c r="AE1188" i="2"/>
  <c r="AC1188" i="2"/>
  <c r="U1188" i="2"/>
  <c r="AD1188" i="2" l="1"/>
  <c r="L1188" i="2" s="1"/>
  <c r="AF1189" i="2"/>
  <c r="C1189" i="2"/>
  <c r="J1188" i="2"/>
  <c r="W1188" i="2"/>
  <c r="X1188" i="2" s="1"/>
  <c r="K1188" i="2" l="1"/>
  <c r="I1188" i="2"/>
  <c r="D1189" i="2"/>
  <c r="E1189" i="2" s="1"/>
  <c r="T1189" i="2" s="1"/>
  <c r="N1188" i="2" l="1"/>
  <c r="V1189" i="2"/>
  <c r="O1188" i="2" l="1"/>
  <c r="R1188" i="2" s="1"/>
  <c r="M1188" i="2"/>
  <c r="P1188" i="2" s="1"/>
  <c r="AG1188" i="2" l="1"/>
  <c r="Q1188" i="2"/>
  <c r="S1188" i="2" s="1"/>
  <c r="Z1188" i="2" s="1"/>
  <c r="Y1188" i="2" l="1"/>
  <c r="AA1188" i="2" s="1"/>
  <c r="AB1189" i="2" s="1"/>
  <c r="B1190" i="2" l="1"/>
  <c r="H1190" i="2" s="1"/>
  <c r="G1189" i="2"/>
  <c r="F1189" i="2"/>
  <c r="AC1189" i="2"/>
  <c r="AE1189" i="2"/>
  <c r="U1189" i="2"/>
  <c r="AF1190" i="2" l="1"/>
  <c r="C1190" i="2"/>
  <c r="AD1189" i="2"/>
  <c r="L1189" i="2" s="1"/>
  <c r="J1189" i="2"/>
  <c r="W1189" i="2"/>
  <c r="X1189" i="2" s="1"/>
  <c r="K1189" i="2" l="1"/>
  <c r="I1189" i="2"/>
  <c r="D1190" i="2"/>
  <c r="E1190" i="2" s="1"/>
  <c r="T1190" i="2" s="1"/>
  <c r="N1189" i="2" l="1"/>
  <c r="V1190" i="2"/>
  <c r="O1189" i="2" l="1"/>
  <c r="R1189" i="2" s="1"/>
  <c r="M1189" i="2"/>
  <c r="P1189" i="2" s="1"/>
  <c r="AG1189" i="2" l="1"/>
  <c r="Q1189" i="2"/>
  <c r="S1189" i="2" s="1"/>
  <c r="Z1189" i="2" s="1"/>
  <c r="Y1189" i="2" l="1"/>
  <c r="AA1189" i="2" s="1"/>
  <c r="AB1190" i="2" s="1"/>
  <c r="B1191" i="2" l="1"/>
  <c r="H1191" i="2" s="1"/>
  <c r="G1190" i="2"/>
  <c r="F1190" i="2"/>
  <c r="AE1190" i="2"/>
  <c r="AC1190" i="2"/>
  <c r="U1190" i="2"/>
  <c r="AF1191" i="2" l="1"/>
  <c r="C1191" i="2"/>
  <c r="AD1190" i="2"/>
  <c r="L1190" i="2" s="1"/>
  <c r="J1190" i="2"/>
  <c r="W1190" i="2"/>
  <c r="X1190" i="2" s="1"/>
  <c r="K1190" i="2" l="1"/>
  <c r="I1190" i="2"/>
  <c r="D1191" i="2"/>
  <c r="E1191" i="2" s="1"/>
  <c r="T1191" i="2" s="1"/>
  <c r="N1190" i="2" l="1"/>
  <c r="M1190" i="2" s="1"/>
  <c r="P1190" i="2" s="1"/>
  <c r="V1191" i="2"/>
  <c r="AG1190" i="2" l="1"/>
  <c r="O1190" i="2"/>
  <c r="R1190" i="2" s="1"/>
  <c r="Q1190" i="2" l="1"/>
  <c r="S1190" i="2" s="1"/>
  <c r="Y1190" i="2" s="1"/>
  <c r="AA1190" i="2" s="1"/>
  <c r="Z1190" i="2" l="1"/>
  <c r="AB1191" i="2"/>
  <c r="B1192" i="2" l="1"/>
  <c r="H1192" i="2" s="1"/>
  <c r="G1191" i="2"/>
  <c r="F1191" i="2"/>
  <c r="AC1191" i="2"/>
  <c r="AE1191" i="2"/>
  <c r="U1191" i="2"/>
  <c r="J1191" i="2" l="1"/>
  <c r="W1191" i="2"/>
  <c r="X1191" i="2" s="1"/>
  <c r="AD1191" i="2"/>
  <c r="L1191" i="2" s="1"/>
  <c r="AF1192" i="2"/>
  <c r="C1192" i="2"/>
  <c r="D1192" i="2" l="1"/>
  <c r="E1192" i="2" s="1"/>
  <c r="T1192" i="2" s="1"/>
  <c r="K1191" i="2"/>
  <c r="I1191" i="2"/>
  <c r="N1191" i="2" l="1"/>
  <c r="M1191" i="2" s="1"/>
  <c r="P1191" i="2" s="1"/>
  <c r="V1192" i="2"/>
  <c r="AG1191" i="2" l="1"/>
  <c r="O1191" i="2"/>
  <c r="R1191" i="2" s="1"/>
  <c r="Q1191" i="2" l="1"/>
  <c r="S1191" i="2" s="1"/>
  <c r="Z1191" i="2" s="1"/>
  <c r="Y1191" i="2" l="1"/>
  <c r="AA1191" i="2" s="1"/>
  <c r="AB1192" i="2" s="1"/>
  <c r="B1193" i="2" l="1"/>
  <c r="H1193" i="2" s="1"/>
  <c r="G1192" i="2"/>
  <c r="F1192" i="2"/>
  <c r="AE1192" i="2"/>
  <c r="AC1192" i="2"/>
  <c r="U1192" i="2"/>
  <c r="J1192" i="2" l="1"/>
  <c r="W1192" i="2"/>
  <c r="X1192" i="2" s="1"/>
  <c r="AD1192" i="2"/>
  <c r="L1192" i="2" s="1"/>
  <c r="AF1193" i="2"/>
  <c r="C1193" i="2"/>
  <c r="D1193" i="2" l="1"/>
  <c r="E1193" i="2" s="1"/>
  <c r="T1193" i="2" s="1"/>
  <c r="K1192" i="2"/>
  <c r="I1192" i="2"/>
  <c r="N1192" i="2" l="1"/>
  <c r="V1193" i="2"/>
  <c r="O1192" i="2" l="1"/>
  <c r="R1192" i="2" s="1"/>
  <c r="M1192" i="2"/>
  <c r="P1192" i="2" s="1"/>
  <c r="AG1192" i="2" l="1"/>
  <c r="Q1192" i="2"/>
  <c r="S1192" i="2" s="1"/>
  <c r="Y1192" i="2" s="1"/>
  <c r="AA1192" i="2" s="1"/>
  <c r="Z1192" i="2" l="1"/>
  <c r="AB1193" i="2"/>
  <c r="B1194" i="2" l="1"/>
  <c r="H1194" i="2" s="1"/>
  <c r="G1193" i="2"/>
  <c r="F1193" i="2"/>
  <c r="AE1193" i="2"/>
  <c r="AC1193" i="2"/>
  <c r="U1193" i="2"/>
  <c r="AD1193" i="2" l="1"/>
  <c r="L1193" i="2" s="1"/>
  <c r="AF1194" i="2"/>
  <c r="C1194" i="2"/>
  <c r="J1193" i="2"/>
  <c r="W1193" i="2"/>
  <c r="X1193" i="2" s="1"/>
  <c r="I1193" i="2" l="1"/>
  <c r="K1193" i="2"/>
  <c r="D1194" i="2"/>
  <c r="E1194" i="2" s="1"/>
  <c r="T1194" i="2" s="1"/>
  <c r="V1194" i="2" l="1"/>
  <c r="N1193" i="2"/>
  <c r="O1193" i="2" l="1"/>
  <c r="R1193" i="2" s="1"/>
  <c r="M1193" i="2"/>
  <c r="P1193" i="2" s="1"/>
  <c r="AG1193" i="2" l="1"/>
  <c r="Q1193" i="2"/>
  <c r="S1193" i="2" s="1"/>
  <c r="Z1193" i="2" s="1"/>
  <c r="Y1193" i="2" l="1"/>
  <c r="AA1193" i="2" s="1"/>
  <c r="AB1194" i="2" s="1"/>
  <c r="B1195" i="2" l="1"/>
  <c r="H1195" i="2" s="1"/>
  <c r="G1194" i="2"/>
  <c r="F1194" i="2"/>
  <c r="AC1194" i="2"/>
  <c r="AE1194" i="2"/>
  <c r="U1194" i="2"/>
  <c r="AD1194" i="2" l="1"/>
  <c r="L1194" i="2" s="1"/>
  <c r="J1194" i="2"/>
  <c r="W1194" i="2"/>
  <c r="X1194" i="2" s="1"/>
  <c r="AF1195" i="2"/>
  <c r="C1195" i="2"/>
  <c r="I1194" i="2" l="1"/>
  <c r="K1194" i="2"/>
  <c r="D1195" i="2"/>
  <c r="E1195" i="2" s="1"/>
  <c r="T1195" i="2" s="1"/>
  <c r="V1195" i="2" l="1"/>
  <c r="N1194" i="2"/>
  <c r="O1194" i="2" l="1"/>
  <c r="R1194" i="2" s="1"/>
  <c r="M1194" i="2"/>
  <c r="P1194" i="2" s="1"/>
  <c r="AG1194" i="2" l="1"/>
  <c r="Q1194" i="2"/>
  <c r="S1194" i="2" s="1"/>
  <c r="Z1194" i="2" s="1"/>
  <c r="Y1194" i="2" l="1"/>
  <c r="AA1194" i="2" s="1"/>
  <c r="AB1195" i="2" s="1"/>
  <c r="B1196" i="2" l="1"/>
  <c r="H1196" i="2" s="1"/>
  <c r="G1195" i="2"/>
  <c r="F1195" i="2"/>
  <c r="AE1195" i="2"/>
  <c r="AC1195" i="2"/>
  <c r="U1195" i="2"/>
  <c r="AF1196" i="2" l="1"/>
  <c r="C1196" i="2"/>
  <c r="J1195" i="2"/>
  <c r="W1195" i="2"/>
  <c r="X1195" i="2" s="1"/>
  <c r="AD1195" i="2"/>
  <c r="L1195" i="2" s="1"/>
  <c r="I1195" i="2" l="1"/>
  <c r="D1196" i="2"/>
  <c r="E1196" i="2" s="1"/>
  <c r="T1196" i="2" s="1"/>
  <c r="K1195" i="2"/>
  <c r="N1195" i="2" l="1"/>
  <c r="M1195" i="2" s="1"/>
  <c r="P1195" i="2" s="1"/>
  <c r="V1196" i="2"/>
  <c r="AG1195" i="2" l="1"/>
  <c r="O1195" i="2"/>
  <c r="Q1195" i="2" s="1"/>
  <c r="R1195" i="2" l="1"/>
  <c r="S1195" i="2" s="1"/>
  <c r="Y1195" i="2" s="1"/>
  <c r="AA1195" i="2" s="1"/>
  <c r="Z1195" i="2" l="1"/>
  <c r="AB1196" i="2"/>
  <c r="B1197" i="2" l="1"/>
  <c r="H1197" i="2" s="1"/>
  <c r="G1196" i="2"/>
  <c r="F1196" i="2"/>
  <c r="AE1196" i="2"/>
  <c r="AC1196" i="2"/>
  <c r="U1196" i="2"/>
  <c r="J1196" i="2" l="1"/>
  <c r="W1196" i="2"/>
  <c r="X1196" i="2" s="1"/>
  <c r="AD1196" i="2"/>
  <c r="L1196" i="2" s="1"/>
  <c r="AF1197" i="2"/>
  <c r="C1197" i="2"/>
  <c r="K1196" i="2" l="1"/>
  <c r="D1197" i="2"/>
  <c r="E1197" i="2" s="1"/>
  <c r="T1197" i="2" s="1"/>
  <c r="I1196" i="2"/>
  <c r="N1196" i="2" l="1"/>
  <c r="V1197" i="2"/>
  <c r="O1196" i="2" l="1"/>
  <c r="R1196" i="2" s="1"/>
  <c r="M1196" i="2"/>
  <c r="P1196" i="2" s="1"/>
  <c r="AG1196" i="2" l="1"/>
  <c r="Q1196" i="2"/>
  <c r="S1196" i="2" s="1"/>
  <c r="Z1196" i="2" s="1"/>
  <c r="Y1196" i="2" l="1"/>
  <c r="AA1196" i="2" s="1"/>
  <c r="AB1197" i="2" s="1"/>
  <c r="B1198" i="2" l="1"/>
  <c r="H1198" i="2" s="1"/>
  <c r="G1197" i="2"/>
  <c r="F1197" i="2"/>
  <c r="AC1197" i="2"/>
  <c r="AE1197" i="2"/>
  <c r="U1197" i="2"/>
  <c r="AD1197" i="2" l="1"/>
  <c r="L1197" i="2" s="1"/>
  <c r="J1197" i="2"/>
  <c r="W1197" i="2"/>
  <c r="X1197" i="2" s="1"/>
  <c r="C1198" i="2"/>
  <c r="AF1198" i="2"/>
  <c r="I1197" i="2" l="1"/>
  <c r="K1197" i="2"/>
  <c r="D1198" i="2"/>
  <c r="E1198" i="2" s="1"/>
  <c r="T1198" i="2" s="1"/>
  <c r="V1198" i="2" l="1"/>
  <c r="N1197" i="2"/>
  <c r="O1197" i="2" l="1"/>
  <c r="R1197" i="2" s="1"/>
  <c r="M1197" i="2"/>
  <c r="P1197" i="2" s="1"/>
  <c r="AG1197" i="2" l="1"/>
  <c r="Q1197" i="2"/>
  <c r="S1197" i="2" s="1"/>
  <c r="Z1197" i="2" s="1"/>
  <c r="Y1197" i="2" l="1"/>
  <c r="AA1197" i="2" s="1"/>
  <c r="AB1198" i="2" s="1"/>
  <c r="B1199" i="2" l="1"/>
  <c r="H1199" i="2" s="1"/>
  <c r="G1198" i="2"/>
  <c r="F1198" i="2"/>
  <c r="AE1198" i="2"/>
  <c r="AC1198" i="2"/>
  <c r="U1198" i="2"/>
  <c r="J1198" i="2" l="1"/>
  <c r="W1198" i="2"/>
  <c r="X1198" i="2" s="1"/>
  <c r="C1199" i="2"/>
  <c r="AF1199" i="2"/>
  <c r="AD1198" i="2"/>
  <c r="L1198" i="2" s="1"/>
  <c r="K1198" i="2" l="1"/>
  <c r="D1199" i="2"/>
  <c r="E1199" i="2" s="1"/>
  <c r="T1199" i="2" s="1"/>
  <c r="I1198" i="2"/>
  <c r="N1198" i="2" l="1"/>
  <c r="V1199" i="2"/>
  <c r="O1198" i="2" l="1"/>
  <c r="R1198" i="2" s="1"/>
  <c r="M1198" i="2"/>
  <c r="P1198" i="2" s="1"/>
  <c r="AG1198" i="2" l="1"/>
  <c r="Q1198" i="2"/>
  <c r="S1198" i="2" s="1"/>
  <c r="Y1198" i="2" s="1"/>
  <c r="AA1198" i="2" s="1"/>
  <c r="Z1198" i="2" l="1"/>
  <c r="AB1199" i="2"/>
  <c r="B1200" i="2" l="1"/>
  <c r="H1200" i="2" s="1"/>
  <c r="G1199" i="2"/>
  <c r="F1199" i="2"/>
  <c r="AC1199" i="2"/>
  <c r="AE1199" i="2"/>
  <c r="U1199" i="2"/>
  <c r="AD1199" i="2" l="1"/>
  <c r="L1199" i="2" s="1"/>
  <c r="AF1200" i="2"/>
  <c r="C1200" i="2"/>
  <c r="J1199" i="2"/>
  <c r="W1199" i="2"/>
  <c r="X1199" i="2" s="1"/>
  <c r="K1199" i="2" l="1"/>
  <c r="I1199" i="2"/>
  <c r="D1200" i="2"/>
  <c r="E1200" i="2" s="1"/>
  <c r="T1200" i="2" s="1"/>
  <c r="N1199" i="2" l="1"/>
  <c r="V1200" i="2"/>
  <c r="O1199" i="2" l="1"/>
  <c r="R1199" i="2" s="1"/>
  <c r="M1199" i="2"/>
  <c r="P1199" i="2" s="1"/>
  <c r="AG1199" i="2" l="1"/>
  <c r="Q1199" i="2"/>
  <c r="S1199" i="2" s="1"/>
  <c r="Z1199" i="2" s="1"/>
  <c r="Y1199" i="2" l="1"/>
  <c r="AA1199" i="2" s="1"/>
  <c r="AB1200" i="2" s="1"/>
  <c r="B1201" i="2" l="1"/>
  <c r="H1201" i="2" s="1"/>
  <c r="G1200" i="2"/>
  <c r="F1200" i="2"/>
  <c r="AE1200" i="2"/>
  <c r="AC1200" i="2"/>
  <c r="U1200" i="2"/>
  <c r="J1200" i="2" l="1"/>
  <c r="W1200" i="2"/>
  <c r="X1200" i="2" s="1"/>
  <c r="AD1200" i="2"/>
  <c r="L1200" i="2" s="1"/>
  <c r="AF1201" i="2"/>
  <c r="C1201" i="2"/>
  <c r="I1200" i="2" l="1"/>
  <c r="D1201" i="2"/>
  <c r="E1201" i="2" s="1"/>
  <c r="T1201" i="2" s="1"/>
  <c r="K1200" i="2"/>
  <c r="V1201" i="2" l="1"/>
  <c r="N1200" i="2"/>
  <c r="O1200" i="2" l="1"/>
  <c r="Q1200" i="2" s="1"/>
  <c r="M1200" i="2"/>
  <c r="P1200" i="2" s="1"/>
  <c r="AG1200" i="2" l="1"/>
  <c r="R1200" i="2"/>
  <c r="S1200" i="2" s="1"/>
  <c r="Y1200" i="2" s="1"/>
  <c r="AA1200" i="2" s="1"/>
  <c r="Z1200" i="2" l="1"/>
  <c r="AB1201" i="2"/>
  <c r="B1202" i="2" l="1"/>
  <c r="H1202" i="2" s="1"/>
  <c r="G1201" i="2"/>
  <c r="F1201" i="2"/>
  <c r="AE1201" i="2"/>
  <c r="AC1201" i="2"/>
  <c r="U1201" i="2"/>
  <c r="AD1201" i="2" l="1"/>
  <c r="L1201" i="2" s="1"/>
  <c r="J1201" i="2"/>
  <c r="W1201" i="2"/>
  <c r="X1201" i="2" s="1"/>
  <c r="AF1202" i="2"/>
  <c r="C1202" i="2"/>
  <c r="I1201" i="2" l="1"/>
  <c r="K1201" i="2"/>
  <c r="D1202" i="2"/>
  <c r="E1202" i="2" s="1"/>
  <c r="T1202" i="2" s="1"/>
  <c r="V1202" i="2" l="1"/>
  <c r="N1201" i="2"/>
  <c r="O1201" i="2" l="1"/>
  <c r="Q1201" i="2" s="1"/>
  <c r="M1201" i="2"/>
  <c r="P1201" i="2" s="1"/>
  <c r="AG1201" i="2" l="1"/>
  <c r="R1201" i="2"/>
  <c r="S1201" i="2" s="1"/>
  <c r="Z1201" i="2" s="1"/>
  <c r="Y1201" i="2" l="1"/>
  <c r="AA1201" i="2" s="1"/>
  <c r="AB1202" i="2" l="1"/>
  <c r="B1203" i="2" l="1"/>
  <c r="H1203" i="2" s="1"/>
  <c r="G1202" i="2"/>
  <c r="F1202" i="2"/>
  <c r="J1202" i="2" s="1"/>
  <c r="AC1202" i="2"/>
  <c r="AE1202" i="2"/>
  <c r="AD1202" i="2" s="1"/>
  <c r="L1202" i="2" s="1"/>
  <c r="U1202" i="2"/>
  <c r="AF1203" i="2"/>
  <c r="W1202" i="2" l="1"/>
  <c r="X1202" i="2" s="1"/>
  <c r="C1203" i="2"/>
  <c r="D1203" i="2" s="1"/>
  <c r="E1203" i="2" s="1"/>
  <c r="T1203" i="2" s="1"/>
  <c r="K1202" i="2"/>
  <c r="I1202" i="2"/>
  <c r="N1202" i="2" l="1"/>
  <c r="V1203" i="2"/>
  <c r="O1202" i="2" l="1"/>
  <c r="R1202" i="2" s="1"/>
  <c r="M1202" i="2"/>
  <c r="P1202" i="2" s="1"/>
  <c r="AG1202" i="2" l="1"/>
  <c r="Q1202" i="2"/>
  <c r="S1202" i="2" s="1"/>
  <c r="Z1202" i="2" s="1"/>
  <c r="Y1202" i="2" l="1"/>
  <c r="AA1202" i="2" s="1"/>
  <c r="AB1203" i="2" s="1"/>
  <c r="B1204" i="2" l="1"/>
  <c r="H1204" i="2" s="1"/>
  <c r="G1203" i="2"/>
  <c r="F1203" i="2"/>
  <c r="AC1203" i="2"/>
  <c r="AE1203" i="2"/>
  <c r="U1203" i="2"/>
  <c r="AD1203" i="2" l="1"/>
  <c r="L1203" i="2" s="1"/>
  <c r="J1203" i="2"/>
  <c r="W1203" i="2"/>
  <c r="X1203" i="2" s="1"/>
  <c r="AF1204" i="2"/>
  <c r="C1204" i="2"/>
  <c r="I1203" i="2" l="1"/>
  <c r="K1203" i="2"/>
  <c r="D1204" i="2"/>
  <c r="E1204" i="2" s="1"/>
  <c r="T1204" i="2" s="1"/>
  <c r="V1204" i="2" l="1"/>
  <c r="N1203" i="2"/>
  <c r="O1203" i="2" l="1"/>
  <c r="R1203" i="2" s="1"/>
  <c r="M1203" i="2"/>
  <c r="P1203" i="2" s="1"/>
  <c r="AG1203" i="2" l="1"/>
  <c r="Q1203" i="2"/>
  <c r="S1203" i="2" s="1"/>
  <c r="Y1203" i="2" s="1"/>
  <c r="AA1203" i="2" s="1"/>
  <c r="Z1203" i="2" l="1"/>
  <c r="AB1204" i="2"/>
  <c r="B1205" i="2" l="1"/>
  <c r="H1205" i="2" s="1"/>
  <c r="G1204" i="2"/>
  <c r="F1204" i="2"/>
  <c r="AC1204" i="2"/>
  <c r="AE1204" i="2"/>
  <c r="U1204" i="2"/>
  <c r="AD1204" i="2" l="1"/>
  <c r="L1204" i="2" s="1"/>
  <c r="C1205" i="2"/>
  <c r="AF1205" i="2"/>
  <c r="J1204" i="2"/>
  <c r="W1204" i="2"/>
  <c r="X1204" i="2" s="1"/>
  <c r="K1204" i="2" l="1"/>
  <c r="D1205" i="2"/>
  <c r="E1205" i="2" s="1"/>
  <c r="T1205" i="2" s="1"/>
  <c r="I1204" i="2"/>
  <c r="N1204" i="2" l="1"/>
  <c r="M1204" i="2" s="1"/>
  <c r="P1204" i="2" s="1"/>
  <c r="V1205" i="2"/>
  <c r="AG1204" i="2" l="1"/>
  <c r="O1204" i="2"/>
  <c r="Q1204" i="2" s="1"/>
  <c r="R1204" i="2" l="1"/>
  <c r="S1204" i="2" s="1"/>
  <c r="Y1204" i="2" s="1"/>
  <c r="AA1204" i="2" s="1"/>
  <c r="Z1204" i="2" l="1"/>
  <c r="AB1205" i="2"/>
  <c r="B1206" i="2" l="1"/>
  <c r="H1206" i="2" s="1"/>
  <c r="G1205" i="2"/>
  <c r="F1205" i="2"/>
  <c r="AC1205" i="2"/>
  <c r="AE1205" i="2"/>
  <c r="U1205" i="2"/>
  <c r="AD1205" i="2" l="1"/>
  <c r="L1205" i="2" s="1"/>
  <c r="AF1206" i="2"/>
  <c r="C1206" i="2"/>
  <c r="J1205" i="2"/>
  <c r="W1205" i="2"/>
  <c r="X1205" i="2" s="1"/>
  <c r="K1205" i="2" l="1"/>
  <c r="I1205" i="2"/>
  <c r="D1206" i="2"/>
  <c r="E1206" i="2" s="1"/>
  <c r="T1206" i="2" s="1"/>
  <c r="N1205" i="2" l="1"/>
  <c r="V1206" i="2"/>
  <c r="O1205" i="2" l="1"/>
  <c r="Q1205" i="2" s="1"/>
  <c r="M1205" i="2"/>
  <c r="P1205" i="2" s="1"/>
  <c r="AG1205" i="2" l="1"/>
  <c r="R1205" i="2"/>
  <c r="S1205" i="2" s="1"/>
  <c r="Y1205" i="2" l="1"/>
  <c r="AA1205" i="2" s="1"/>
  <c r="Z1205" i="2"/>
  <c r="AB1206" i="2" l="1"/>
  <c r="B1207" i="2" l="1"/>
  <c r="H1207" i="2" s="1"/>
  <c r="G1206" i="2"/>
  <c r="F1206" i="2"/>
  <c r="AE1206" i="2"/>
  <c r="AC1206" i="2"/>
  <c r="U1206" i="2"/>
  <c r="AF1207" i="2" l="1"/>
  <c r="C1207" i="2"/>
  <c r="AD1206" i="2"/>
  <c r="L1206" i="2" s="1"/>
  <c r="J1206" i="2"/>
  <c r="W1206" i="2"/>
  <c r="X1206" i="2" s="1"/>
  <c r="I1206" i="2" l="1"/>
  <c r="D1207" i="2"/>
  <c r="E1207" i="2" s="1"/>
  <c r="T1207" i="2" s="1"/>
  <c r="K1206" i="2"/>
  <c r="V1207" i="2" l="1"/>
  <c r="N1206" i="2"/>
  <c r="O1206" i="2" l="1"/>
  <c r="R1206" i="2" s="1"/>
  <c r="M1206" i="2"/>
  <c r="P1206" i="2" s="1"/>
  <c r="AG1206" i="2" l="1"/>
  <c r="Q1206" i="2"/>
  <c r="S1206" i="2" s="1"/>
  <c r="Z1206" i="2" s="1"/>
  <c r="Y1206" i="2" l="1"/>
  <c r="AA1206" i="2" s="1"/>
  <c r="AB1207" i="2" s="1"/>
  <c r="B1208" i="2" l="1"/>
  <c r="H1208" i="2" s="1"/>
  <c r="G1207" i="2"/>
  <c r="F1207" i="2"/>
  <c r="AC1207" i="2"/>
  <c r="AE1207" i="2"/>
  <c r="U1207" i="2"/>
  <c r="AD1207" i="2" l="1"/>
  <c r="L1207" i="2" s="1"/>
  <c r="AF1208" i="2"/>
  <c r="C1208" i="2"/>
  <c r="J1207" i="2"/>
  <c r="W1207" i="2"/>
  <c r="X1207" i="2" s="1"/>
  <c r="I1207" i="2" l="1"/>
  <c r="K1207" i="2"/>
  <c r="D1208" i="2"/>
  <c r="E1208" i="2" s="1"/>
  <c r="T1208" i="2" s="1"/>
  <c r="V1208" i="2" l="1"/>
  <c r="N1207" i="2"/>
  <c r="O1207" i="2" l="1"/>
  <c r="Q1207" i="2" s="1"/>
  <c r="M1207" i="2"/>
  <c r="P1207" i="2" s="1"/>
  <c r="AG1207" i="2" l="1"/>
  <c r="R1207" i="2"/>
  <c r="S1207" i="2" s="1"/>
  <c r="Y1207" i="2" s="1"/>
  <c r="AA1207" i="2" s="1"/>
  <c r="Z1207" i="2" l="1"/>
  <c r="AB1208" i="2"/>
  <c r="B1209" i="2" l="1"/>
  <c r="H1209" i="2" s="1"/>
  <c r="G1208" i="2"/>
  <c r="F1208" i="2"/>
  <c r="AE1208" i="2"/>
  <c r="AC1208" i="2"/>
  <c r="U1208" i="2"/>
  <c r="J1208" i="2" l="1"/>
  <c r="W1208" i="2"/>
  <c r="X1208" i="2" s="1"/>
  <c r="AF1209" i="2"/>
  <c r="C1209" i="2"/>
  <c r="AD1208" i="2"/>
  <c r="L1208" i="2" s="1"/>
  <c r="K1208" i="2" l="1"/>
  <c r="D1209" i="2"/>
  <c r="E1209" i="2" s="1"/>
  <c r="T1209" i="2" s="1"/>
  <c r="I1208" i="2"/>
  <c r="N1208" i="2" l="1"/>
  <c r="M1208" i="2" s="1"/>
  <c r="P1208" i="2" s="1"/>
  <c r="V1209" i="2"/>
  <c r="AG1208" i="2" l="1"/>
  <c r="O1208" i="2"/>
  <c r="Q1208" i="2" s="1"/>
  <c r="R1208" i="2" l="1"/>
  <c r="S1208" i="2" s="1"/>
  <c r="Z1208" i="2" s="1"/>
  <c r="Y1208" i="2" l="1"/>
  <c r="AA1208" i="2" s="1"/>
  <c r="AB1209" i="2" s="1"/>
  <c r="B1210" i="2" l="1"/>
  <c r="H1210" i="2" s="1"/>
  <c r="G1209" i="2"/>
  <c r="F1209" i="2"/>
  <c r="AC1209" i="2"/>
  <c r="AE1209" i="2"/>
  <c r="U1209" i="2"/>
  <c r="AF1210" i="2" l="1"/>
  <c r="C1210" i="2"/>
  <c r="AD1209" i="2"/>
  <c r="L1209" i="2" s="1"/>
  <c r="J1209" i="2"/>
  <c r="W1209" i="2"/>
  <c r="X1209" i="2" s="1"/>
  <c r="I1209" i="2" l="1"/>
  <c r="D1210" i="2"/>
  <c r="E1210" i="2" s="1"/>
  <c r="T1210" i="2" s="1"/>
  <c r="K1209" i="2"/>
  <c r="V1210" i="2" l="1"/>
  <c r="N1209" i="2"/>
  <c r="O1209" i="2" l="1"/>
  <c r="R1209" i="2" s="1"/>
  <c r="M1209" i="2"/>
  <c r="P1209" i="2" s="1"/>
  <c r="AG1209" i="2" l="1"/>
  <c r="Q1209" i="2"/>
  <c r="S1209" i="2" s="1"/>
  <c r="Y1209" i="2" s="1"/>
  <c r="AA1209" i="2" s="1"/>
  <c r="Z1209" i="2" l="1"/>
  <c r="AB1210" i="2"/>
  <c r="B1211" i="2" l="1"/>
  <c r="H1211" i="2" s="1"/>
  <c r="G1210" i="2"/>
  <c r="F1210" i="2"/>
  <c r="AE1210" i="2"/>
  <c r="AC1210" i="2"/>
  <c r="U1210" i="2"/>
  <c r="J1210" i="2" l="1"/>
  <c r="W1210" i="2"/>
  <c r="X1210" i="2" s="1"/>
  <c r="AD1210" i="2"/>
  <c r="L1210" i="2" s="1"/>
  <c r="AF1211" i="2"/>
  <c r="C1211" i="2"/>
  <c r="K1210" i="2" l="1"/>
  <c r="D1211" i="2"/>
  <c r="E1211" i="2" s="1"/>
  <c r="T1211" i="2" s="1"/>
  <c r="I1210" i="2"/>
  <c r="N1210" i="2" l="1"/>
  <c r="M1210" i="2" s="1"/>
  <c r="V1211" i="2"/>
  <c r="P1210" i="2" l="1"/>
  <c r="AG1210" i="2" s="1"/>
  <c r="O1210" i="2"/>
  <c r="Q1210" i="2" s="1"/>
  <c r="R1210" i="2" l="1"/>
  <c r="S1210" i="2" s="1"/>
  <c r="Y1210" i="2" s="1"/>
  <c r="AA1210" i="2" s="1"/>
  <c r="Z1210" i="2" l="1"/>
  <c r="AB1211" i="2"/>
  <c r="B1212" i="2" l="1"/>
  <c r="H1212" i="2" s="1"/>
  <c r="G1211" i="2"/>
  <c r="F1211" i="2"/>
  <c r="AE1211" i="2"/>
  <c r="AC1211" i="2"/>
  <c r="U1211" i="2"/>
  <c r="J1211" i="2" l="1"/>
  <c r="W1211" i="2"/>
  <c r="X1211" i="2" s="1"/>
  <c r="AD1211" i="2"/>
  <c r="L1211" i="2" s="1"/>
  <c r="AF1212" i="2"/>
  <c r="C1212" i="2"/>
  <c r="D1212" i="2" l="1"/>
  <c r="E1212" i="2" s="1"/>
  <c r="T1212" i="2" s="1"/>
  <c r="K1211" i="2"/>
  <c r="I1211" i="2"/>
  <c r="N1211" i="2" l="1"/>
  <c r="M1211" i="2" s="1"/>
  <c r="P1211" i="2" s="1"/>
  <c r="V1212" i="2"/>
  <c r="AG1211" i="2" l="1"/>
  <c r="O1211" i="2"/>
  <c r="Q1211" i="2" s="1"/>
  <c r="R1211" i="2" l="1"/>
  <c r="S1211" i="2" s="1"/>
  <c r="Y1211" i="2" l="1"/>
  <c r="AA1211" i="2" s="1"/>
  <c r="AB1212" i="2" s="1"/>
  <c r="Z1211" i="2"/>
  <c r="B1213" i="2" l="1"/>
  <c r="H1213" i="2" s="1"/>
  <c r="G1212" i="2"/>
  <c r="F1212" i="2"/>
  <c r="AE1212" i="2"/>
  <c r="AC1212" i="2"/>
  <c r="U1212" i="2"/>
  <c r="J1212" i="2" l="1"/>
  <c r="W1212" i="2"/>
  <c r="X1212" i="2" s="1"/>
  <c r="AF1213" i="2"/>
  <c r="C1213" i="2"/>
  <c r="AD1212" i="2"/>
  <c r="L1212" i="2" s="1"/>
  <c r="K1212" i="2" l="1"/>
  <c r="D1213" i="2"/>
  <c r="E1213" i="2" s="1"/>
  <c r="T1213" i="2" s="1"/>
  <c r="I1212" i="2"/>
  <c r="N1212" i="2" l="1"/>
  <c r="M1212" i="2" s="1"/>
  <c r="P1212" i="2" s="1"/>
  <c r="V1213" i="2"/>
  <c r="AG1212" i="2" l="1"/>
  <c r="O1212" i="2"/>
  <c r="R1212" i="2" s="1"/>
  <c r="Q1212" i="2" l="1"/>
  <c r="S1212" i="2" s="1"/>
  <c r="Y1212" i="2" l="1"/>
  <c r="AA1212" i="2" s="1"/>
  <c r="Z1212" i="2"/>
  <c r="AB1213" i="2" l="1"/>
  <c r="B1214" i="2" l="1"/>
  <c r="H1214" i="2" s="1"/>
  <c r="G1213" i="2"/>
  <c r="AC1213" i="2"/>
  <c r="U1213" i="2"/>
  <c r="AE1213" i="2"/>
  <c r="AD1213" i="2" s="1"/>
  <c r="L1213" i="2" s="1"/>
  <c r="F1213" i="2"/>
  <c r="J1213" i="2" s="1"/>
  <c r="W1213" i="2" l="1"/>
  <c r="X1213" i="2" s="1"/>
  <c r="C1214" i="2"/>
  <c r="D1214" i="2" s="1"/>
  <c r="E1214" i="2" s="1"/>
  <c r="T1214" i="2" s="1"/>
  <c r="AF1214" i="2"/>
  <c r="K1213" i="2"/>
  <c r="I1213" i="2"/>
  <c r="N1213" i="2" l="1"/>
  <c r="M1213" i="2" s="1"/>
  <c r="P1213" i="2" s="1"/>
  <c r="V1214" i="2"/>
  <c r="AG1213" i="2" l="1"/>
  <c r="O1213" i="2"/>
  <c r="Q1213" i="2" s="1"/>
  <c r="R1213" i="2" l="1"/>
  <c r="S1213" i="2" s="1"/>
  <c r="Y1213" i="2" s="1"/>
  <c r="AA1213" i="2" s="1"/>
  <c r="Z1213" i="2" l="1"/>
  <c r="AB1214" i="2"/>
  <c r="B1215" i="2" l="1"/>
  <c r="H1215" i="2" s="1"/>
  <c r="G1214" i="2"/>
  <c r="F1214" i="2"/>
  <c r="AE1214" i="2"/>
  <c r="AC1214" i="2"/>
  <c r="U1214" i="2"/>
  <c r="AF1215" i="2" l="1"/>
  <c r="C1215" i="2"/>
  <c r="AD1214" i="2"/>
  <c r="L1214" i="2" s="1"/>
  <c r="J1214" i="2"/>
  <c r="W1214" i="2"/>
  <c r="X1214" i="2" s="1"/>
  <c r="K1214" i="2" l="1"/>
  <c r="I1214" i="2"/>
  <c r="D1215" i="2"/>
  <c r="E1215" i="2" s="1"/>
  <c r="T1215" i="2" s="1"/>
  <c r="N1214" i="2" l="1"/>
  <c r="V1215" i="2"/>
  <c r="O1214" i="2" l="1"/>
  <c r="Q1214" i="2" s="1"/>
  <c r="M1214" i="2"/>
  <c r="P1214" i="2" s="1"/>
  <c r="AG1214" i="2" l="1"/>
  <c r="R1214" i="2"/>
  <c r="S1214" i="2" s="1"/>
  <c r="Y1214" i="2" s="1"/>
  <c r="AA1214" i="2" s="1"/>
  <c r="Z1214" i="2" l="1"/>
  <c r="AB1215" i="2"/>
  <c r="B1216" i="2" l="1"/>
  <c r="H1216" i="2" s="1"/>
  <c r="G1215" i="2"/>
  <c r="F1215" i="2"/>
  <c r="AC1215" i="2"/>
  <c r="AE1215" i="2"/>
  <c r="U1215" i="2"/>
  <c r="J1215" i="2" l="1"/>
  <c r="W1215" i="2"/>
  <c r="X1215" i="2" s="1"/>
  <c r="AD1215" i="2"/>
  <c r="L1215" i="2" s="1"/>
  <c r="AF1216" i="2"/>
  <c r="C1216" i="2"/>
  <c r="K1215" i="2" l="1"/>
  <c r="I1215" i="2"/>
  <c r="D1216" i="2"/>
  <c r="E1216" i="2" s="1"/>
  <c r="T1216" i="2" s="1"/>
  <c r="N1215" i="2" l="1"/>
  <c r="V1216" i="2"/>
  <c r="O1215" i="2" l="1"/>
  <c r="R1215" i="2" s="1"/>
  <c r="M1215" i="2"/>
  <c r="P1215" i="2" s="1"/>
  <c r="AG1215" i="2" l="1"/>
  <c r="Q1215" i="2"/>
  <c r="S1215" i="2" s="1"/>
  <c r="Y1215" i="2" s="1"/>
  <c r="AA1215" i="2" s="1"/>
  <c r="Z1215" i="2" l="1"/>
  <c r="AB1216" i="2"/>
  <c r="B1217" i="2" l="1"/>
  <c r="H1217" i="2" s="1"/>
  <c r="G1216" i="2"/>
  <c r="F1216" i="2"/>
  <c r="AC1216" i="2"/>
  <c r="AE1216" i="2"/>
  <c r="U1216" i="2"/>
  <c r="AF1217" i="2" l="1"/>
  <c r="C1217" i="2"/>
  <c r="AD1216" i="2"/>
  <c r="L1216" i="2" s="1"/>
  <c r="J1216" i="2"/>
  <c r="W1216" i="2"/>
  <c r="X1216" i="2" s="1"/>
  <c r="K1216" i="2" l="1"/>
  <c r="I1216" i="2"/>
  <c r="D1217" i="2"/>
  <c r="E1217" i="2" s="1"/>
  <c r="T1217" i="2" s="1"/>
  <c r="N1216" i="2" l="1"/>
  <c r="V1217" i="2"/>
  <c r="O1216" i="2" l="1"/>
  <c r="R1216" i="2" s="1"/>
  <c r="M1216" i="2"/>
  <c r="P1216" i="2" s="1"/>
  <c r="AG1216" i="2" l="1"/>
  <c r="Q1216" i="2"/>
  <c r="S1216" i="2" s="1"/>
  <c r="Y1216" i="2" s="1"/>
  <c r="AA1216" i="2" s="1"/>
  <c r="Z1216" i="2" l="1"/>
  <c r="AB1217" i="2"/>
  <c r="B1218" i="2" l="1"/>
  <c r="H1218" i="2" s="1"/>
  <c r="G1217" i="2"/>
  <c r="F1217" i="2"/>
  <c r="AE1217" i="2"/>
  <c r="AC1217" i="2"/>
  <c r="U1217" i="2"/>
  <c r="J1217" i="2" l="1"/>
  <c r="W1217" i="2"/>
  <c r="X1217" i="2" s="1"/>
  <c r="AD1217" i="2"/>
  <c r="L1217" i="2" s="1"/>
  <c r="AF1218" i="2"/>
  <c r="C1218" i="2"/>
  <c r="K1217" i="2" l="1"/>
  <c r="I1217" i="2"/>
  <c r="D1218" i="2"/>
  <c r="E1218" i="2" s="1"/>
  <c r="T1218" i="2" s="1"/>
  <c r="N1217" i="2" l="1"/>
  <c r="V1218" i="2"/>
  <c r="O1217" i="2" l="1"/>
  <c r="R1217" i="2" s="1"/>
  <c r="M1217" i="2"/>
  <c r="P1217" i="2" s="1"/>
  <c r="AG1217" i="2" l="1"/>
  <c r="Q1217" i="2"/>
  <c r="S1217" i="2" s="1"/>
  <c r="Y1217" i="2" s="1"/>
  <c r="AA1217" i="2" s="1"/>
  <c r="Z1217" i="2" l="1"/>
  <c r="AB1218" i="2"/>
  <c r="B1219" i="2" l="1"/>
  <c r="H1219" i="2" s="1"/>
  <c r="G1218" i="2"/>
  <c r="F1218" i="2"/>
  <c r="AC1218" i="2"/>
  <c r="AE1218" i="2"/>
  <c r="U1218" i="2"/>
  <c r="J1218" i="2" l="1"/>
  <c r="W1218" i="2"/>
  <c r="X1218" i="2" s="1"/>
  <c r="AD1218" i="2"/>
  <c r="L1218" i="2" s="1"/>
  <c r="AF1219" i="2"/>
  <c r="C1219" i="2"/>
  <c r="K1218" i="2" l="1"/>
  <c r="D1219" i="2"/>
  <c r="E1219" i="2" s="1"/>
  <c r="T1219" i="2" s="1"/>
  <c r="I1218" i="2"/>
  <c r="N1218" i="2" l="1"/>
  <c r="V1219" i="2"/>
  <c r="O1218" i="2" l="1"/>
  <c r="R1218" i="2" s="1"/>
  <c r="M1218" i="2"/>
  <c r="P1218" i="2" s="1"/>
  <c r="AG1218" i="2" l="1"/>
  <c r="Q1218" i="2"/>
  <c r="S1218" i="2" s="1"/>
  <c r="Y1218" i="2" s="1"/>
  <c r="AA1218" i="2" s="1"/>
  <c r="Z1218" i="2" l="1"/>
  <c r="AB1219" i="2"/>
  <c r="B1220" i="2" l="1"/>
  <c r="H1220" i="2" s="1"/>
  <c r="G1219" i="2"/>
  <c r="F1219" i="2"/>
  <c r="AE1219" i="2"/>
  <c r="AC1219" i="2"/>
  <c r="U1219" i="2"/>
  <c r="AD1219" i="2" l="1"/>
  <c r="L1219" i="2" s="1"/>
  <c r="J1219" i="2"/>
  <c r="W1219" i="2"/>
  <c r="X1219" i="2" s="1"/>
  <c r="AF1220" i="2"/>
  <c r="C1220" i="2"/>
  <c r="I1219" i="2" l="1"/>
  <c r="D1220" i="2"/>
  <c r="E1220" i="2" s="1"/>
  <c r="T1220" i="2" s="1"/>
  <c r="K1219" i="2"/>
  <c r="V1220" i="2" l="1"/>
  <c r="N1219" i="2"/>
  <c r="O1219" i="2" l="1"/>
  <c r="R1219" i="2" s="1"/>
  <c r="M1219" i="2"/>
  <c r="P1219" i="2" s="1"/>
  <c r="AG1219" i="2" l="1"/>
  <c r="Q1219" i="2"/>
  <c r="S1219" i="2" s="1"/>
  <c r="Y1219" i="2" s="1"/>
  <c r="AA1219" i="2" s="1"/>
  <c r="Z1219" i="2" l="1"/>
  <c r="AB1220" i="2"/>
  <c r="B1221" i="2" l="1"/>
  <c r="H1221" i="2" s="1"/>
  <c r="G1220" i="2"/>
  <c r="F1220" i="2"/>
  <c r="AE1220" i="2"/>
  <c r="AC1220" i="2"/>
  <c r="U1220" i="2"/>
  <c r="AD1220" i="2" l="1"/>
  <c r="L1220" i="2" s="1"/>
  <c r="AF1221" i="2"/>
  <c r="C1221" i="2"/>
  <c r="J1220" i="2"/>
  <c r="W1220" i="2"/>
  <c r="X1220" i="2" s="1"/>
  <c r="K1220" i="2" l="1"/>
  <c r="I1220" i="2"/>
  <c r="D1221" i="2"/>
  <c r="E1221" i="2" s="1"/>
  <c r="T1221" i="2" s="1"/>
  <c r="N1220" i="2" l="1"/>
  <c r="V1221" i="2"/>
  <c r="O1220" i="2" l="1"/>
  <c r="R1220" i="2" s="1"/>
  <c r="M1220" i="2"/>
  <c r="P1220" i="2" s="1"/>
  <c r="AG1220" i="2" l="1"/>
  <c r="Q1220" i="2"/>
  <c r="S1220" i="2" s="1"/>
  <c r="Y1220" i="2" s="1"/>
  <c r="AA1220" i="2" s="1"/>
  <c r="Z1220" i="2" l="1"/>
  <c r="AB1221" i="2"/>
  <c r="B1222" i="2" l="1"/>
  <c r="H1222" i="2" s="1"/>
  <c r="G1221" i="2"/>
  <c r="F1221" i="2"/>
  <c r="AE1221" i="2"/>
  <c r="AC1221" i="2"/>
  <c r="U1221" i="2"/>
  <c r="AD1221" i="2" l="1"/>
  <c r="L1221" i="2" s="1"/>
  <c r="AF1222" i="2"/>
  <c r="C1222" i="2"/>
  <c r="J1221" i="2"/>
  <c r="W1221" i="2"/>
  <c r="X1221" i="2" s="1"/>
  <c r="K1221" i="2" l="1"/>
  <c r="I1221" i="2"/>
  <c r="D1222" i="2"/>
  <c r="E1222" i="2" s="1"/>
  <c r="T1222" i="2" s="1"/>
  <c r="N1221" i="2" l="1"/>
  <c r="M1221" i="2" s="1"/>
  <c r="P1221" i="2" s="1"/>
  <c r="V1222" i="2"/>
  <c r="AG1221" i="2" l="1"/>
  <c r="O1221" i="2"/>
  <c r="R1221" i="2" s="1"/>
  <c r="Q1221" i="2" l="1"/>
  <c r="S1221" i="2" s="1"/>
  <c r="Y1221" i="2" s="1"/>
  <c r="AA1221" i="2" s="1"/>
  <c r="Z1221" i="2" l="1"/>
  <c r="AB1222" i="2"/>
  <c r="B1223" i="2" l="1"/>
  <c r="H1223" i="2" s="1"/>
  <c r="G1222" i="2"/>
  <c r="F1222" i="2"/>
  <c r="AE1222" i="2"/>
  <c r="AC1222" i="2"/>
  <c r="U1222" i="2"/>
  <c r="J1222" i="2" l="1"/>
  <c r="W1222" i="2"/>
  <c r="X1222" i="2" s="1"/>
  <c r="AD1222" i="2"/>
  <c r="L1222" i="2" s="1"/>
  <c r="AF1223" i="2"/>
  <c r="C1223" i="2"/>
  <c r="K1222" i="2" l="1"/>
  <c r="D1223" i="2"/>
  <c r="E1223" i="2" s="1"/>
  <c r="T1223" i="2" s="1"/>
  <c r="I1222" i="2"/>
  <c r="N1222" i="2" l="1"/>
  <c r="M1222" i="2" s="1"/>
  <c r="P1222" i="2" s="1"/>
  <c r="V1223" i="2"/>
  <c r="AG1222" i="2" l="1"/>
  <c r="O1222" i="2"/>
  <c r="R1222" i="2" s="1"/>
  <c r="Q1222" i="2" l="1"/>
  <c r="S1222" i="2" s="1"/>
  <c r="Y1222" i="2" l="1"/>
  <c r="AA1222" i="2" s="1"/>
  <c r="AB1223" i="2" s="1"/>
  <c r="Z1222" i="2"/>
  <c r="B1224" i="2" l="1"/>
  <c r="H1224" i="2" s="1"/>
  <c r="G1223" i="2"/>
  <c r="F1223" i="2"/>
  <c r="AE1223" i="2"/>
  <c r="AC1223" i="2"/>
  <c r="U1223" i="2"/>
  <c r="AF1224" i="2" l="1"/>
  <c r="C1224" i="2"/>
  <c r="AD1223" i="2"/>
  <c r="L1223" i="2" s="1"/>
  <c r="J1223" i="2"/>
  <c r="W1223" i="2"/>
  <c r="X1223" i="2" s="1"/>
  <c r="I1223" i="2" l="1"/>
  <c r="K1223" i="2"/>
  <c r="D1224" i="2"/>
  <c r="E1224" i="2" s="1"/>
  <c r="T1224" i="2" s="1"/>
  <c r="N1223" i="2" l="1"/>
  <c r="M1223" i="2" s="1"/>
  <c r="P1223" i="2" s="1"/>
  <c r="V1224" i="2"/>
  <c r="AG1223" i="2" l="1"/>
  <c r="O1223" i="2"/>
  <c r="Q1223" i="2" s="1"/>
  <c r="R1223" i="2" l="1"/>
  <c r="S1223" i="2" s="1"/>
  <c r="Y1223" i="2" l="1"/>
  <c r="AA1223" i="2" s="1"/>
  <c r="AB1224" i="2" s="1"/>
  <c r="Z1223" i="2"/>
  <c r="B1225" i="2" l="1"/>
  <c r="H1225" i="2" s="1"/>
  <c r="G1224" i="2"/>
  <c r="F1224" i="2"/>
  <c r="AC1224" i="2"/>
  <c r="AE1224" i="2"/>
  <c r="U1224" i="2"/>
  <c r="J1224" i="2" l="1"/>
  <c r="W1224" i="2"/>
  <c r="X1224" i="2" s="1"/>
  <c r="AD1224" i="2"/>
  <c r="L1224" i="2" s="1"/>
  <c r="AF1225" i="2"/>
  <c r="C1225" i="2"/>
  <c r="I1224" i="2" l="1"/>
  <c r="D1225" i="2"/>
  <c r="E1225" i="2" s="1"/>
  <c r="T1225" i="2" s="1"/>
  <c r="K1224" i="2"/>
  <c r="V1225" i="2" l="1"/>
  <c r="N1224" i="2"/>
  <c r="O1224" i="2" l="1"/>
  <c r="Q1224" i="2" s="1"/>
  <c r="M1224" i="2"/>
  <c r="P1224" i="2" s="1"/>
  <c r="AG1224" i="2" l="1"/>
  <c r="R1224" i="2"/>
  <c r="S1224" i="2" s="1"/>
  <c r="Z1224" i="2" s="1"/>
  <c r="Y1224" i="2" l="1"/>
  <c r="AA1224" i="2" s="1"/>
  <c r="AB1225" i="2" l="1"/>
  <c r="B1226" i="2" l="1"/>
  <c r="H1226" i="2" s="1"/>
  <c r="G1225" i="2"/>
  <c r="AC1225" i="2"/>
  <c r="AE1225" i="2"/>
  <c r="AD1225" i="2" s="1"/>
  <c r="L1225" i="2" s="1"/>
  <c r="U1225" i="2"/>
  <c r="F1225" i="2"/>
  <c r="J1225" i="2" s="1"/>
  <c r="I1225" i="2" l="1"/>
  <c r="C1226" i="2"/>
  <c r="D1226" i="2" s="1"/>
  <c r="E1226" i="2" s="1"/>
  <c r="T1226" i="2" s="1"/>
  <c r="AF1226" i="2"/>
  <c r="W1225" i="2"/>
  <c r="X1225" i="2" s="1"/>
  <c r="K1225" i="2"/>
  <c r="V1226" i="2" l="1"/>
  <c r="N1225" i="2"/>
  <c r="O1225" i="2" l="1"/>
  <c r="Q1225" i="2" s="1"/>
  <c r="M1225" i="2"/>
  <c r="P1225" i="2" s="1"/>
  <c r="AG1225" i="2" l="1"/>
  <c r="R1225" i="2"/>
  <c r="S1225" i="2" s="1"/>
  <c r="Z1225" i="2" s="1"/>
  <c r="Y1225" i="2" l="1"/>
  <c r="AA1225" i="2" s="1"/>
  <c r="AB1226" i="2" s="1"/>
  <c r="B1227" i="2" l="1"/>
  <c r="H1227" i="2" s="1"/>
  <c r="G1226" i="2"/>
  <c r="F1226" i="2"/>
  <c r="AC1226" i="2"/>
  <c r="AE1226" i="2"/>
  <c r="U1226" i="2"/>
  <c r="J1226" i="2" l="1"/>
  <c r="W1226" i="2"/>
  <c r="X1226" i="2" s="1"/>
  <c r="AF1227" i="2"/>
  <c r="C1227" i="2"/>
  <c r="AD1226" i="2"/>
  <c r="L1226" i="2" s="1"/>
  <c r="K1226" i="2" l="1"/>
  <c r="D1227" i="2"/>
  <c r="E1227" i="2" s="1"/>
  <c r="T1227" i="2" s="1"/>
  <c r="I1226" i="2"/>
  <c r="N1226" i="2" l="1"/>
  <c r="M1226" i="2" s="1"/>
  <c r="P1226" i="2" s="1"/>
  <c r="V1227" i="2"/>
  <c r="AG1226" i="2" l="1"/>
  <c r="O1226" i="2"/>
  <c r="Q1226" i="2" s="1"/>
  <c r="R1226" i="2" l="1"/>
  <c r="S1226" i="2" s="1"/>
  <c r="Y1226" i="2" l="1"/>
  <c r="AA1226" i="2" s="1"/>
  <c r="AB1227" i="2" s="1"/>
  <c r="Z1226" i="2"/>
  <c r="B1228" i="2" l="1"/>
  <c r="H1228" i="2" s="1"/>
  <c r="G1227" i="2"/>
  <c r="F1227" i="2"/>
  <c r="AE1227" i="2"/>
  <c r="AC1227" i="2"/>
  <c r="U1227" i="2"/>
  <c r="J1227" i="2" l="1"/>
  <c r="W1227" i="2"/>
  <c r="X1227" i="2" s="1"/>
  <c r="AF1228" i="2"/>
  <c r="C1228" i="2"/>
  <c r="AD1227" i="2"/>
  <c r="L1227" i="2" s="1"/>
  <c r="D1228" i="2" l="1"/>
  <c r="E1228" i="2" s="1"/>
  <c r="T1228" i="2" s="1"/>
  <c r="K1227" i="2"/>
  <c r="I1227" i="2"/>
  <c r="N1227" i="2" l="1"/>
  <c r="V1228" i="2"/>
  <c r="O1227" i="2" l="1"/>
  <c r="R1227" i="2" s="1"/>
  <c r="M1227" i="2"/>
  <c r="P1227" i="2" s="1"/>
  <c r="AG1227" i="2" l="1"/>
  <c r="Q1227" i="2"/>
  <c r="S1227" i="2" s="1"/>
  <c r="Y1227" i="2" s="1"/>
  <c r="AA1227" i="2" s="1"/>
  <c r="Z1227" i="2" l="1"/>
  <c r="AB1228" i="2"/>
  <c r="B1229" i="2" l="1"/>
  <c r="H1229" i="2" s="1"/>
  <c r="G1228" i="2"/>
  <c r="F1228" i="2"/>
  <c r="AC1228" i="2"/>
  <c r="AE1228" i="2"/>
  <c r="U1228" i="2"/>
  <c r="AD1228" i="2" l="1"/>
  <c r="L1228" i="2" s="1"/>
  <c r="AF1229" i="2"/>
  <c r="C1229" i="2"/>
  <c r="J1228" i="2"/>
  <c r="W1228" i="2"/>
  <c r="X1228" i="2" s="1"/>
  <c r="I1228" i="2" l="1"/>
  <c r="K1228" i="2"/>
  <c r="D1229" i="2"/>
  <c r="E1229" i="2" s="1"/>
  <c r="T1229" i="2" s="1"/>
  <c r="V1229" i="2" l="1"/>
  <c r="N1228" i="2"/>
  <c r="O1228" i="2" l="1"/>
  <c r="R1228" i="2" s="1"/>
  <c r="M1228" i="2"/>
  <c r="P1228" i="2" s="1"/>
  <c r="AG1228" i="2" l="1"/>
  <c r="Q1228" i="2"/>
  <c r="S1228" i="2" s="1"/>
  <c r="Y1228" i="2" s="1"/>
  <c r="AA1228" i="2" s="1"/>
  <c r="Z1228" i="2" l="1"/>
  <c r="AB1229" i="2"/>
  <c r="B1230" i="2" l="1"/>
  <c r="H1230" i="2" s="1"/>
  <c r="G1229" i="2"/>
  <c r="F1229" i="2"/>
  <c r="AC1229" i="2"/>
  <c r="AE1229" i="2"/>
  <c r="U1229" i="2"/>
  <c r="J1229" i="2" l="1"/>
  <c r="W1229" i="2"/>
  <c r="X1229" i="2" s="1"/>
  <c r="AD1229" i="2"/>
  <c r="L1229" i="2" s="1"/>
  <c r="C1230" i="2"/>
  <c r="AF1230" i="2"/>
  <c r="D1230" i="2" l="1"/>
  <c r="E1230" i="2" s="1"/>
  <c r="T1230" i="2" s="1"/>
  <c r="K1229" i="2"/>
  <c r="I1229" i="2"/>
  <c r="N1229" i="2" l="1"/>
  <c r="M1229" i="2" s="1"/>
  <c r="P1229" i="2" s="1"/>
  <c r="V1230" i="2"/>
  <c r="AG1229" i="2" l="1"/>
  <c r="O1229" i="2"/>
  <c r="Q1229" i="2" s="1"/>
  <c r="R1229" i="2" l="1"/>
  <c r="S1229" i="2" s="1"/>
  <c r="Y1229" i="2" s="1"/>
  <c r="AA1229" i="2" s="1"/>
  <c r="Z1229" i="2" l="1"/>
  <c r="AB1230" i="2"/>
  <c r="B1231" i="2" l="1"/>
  <c r="H1231" i="2" s="1"/>
  <c r="G1230" i="2"/>
  <c r="F1230" i="2"/>
  <c r="AE1230" i="2"/>
  <c r="AC1230" i="2"/>
  <c r="U1230" i="2"/>
  <c r="J1230" i="2" l="1"/>
  <c r="W1230" i="2"/>
  <c r="X1230" i="2" s="1"/>
  <c r="AD1230" i="2"/>
  <c r="L1230" i="2" s="1"/>
  <c r="AF1231" i="2"/>
  <c r="C1231" i="2"/>
  <c r="I1230" i="2" l="1"/>
  <c r="D1231" i="2"/>
  <c r="E1231" i="2" s="1"/>
  <c r="T1231" i="2" s="1"/>
  <c r="K1230" i="2"/>
  <c r="V1231" i="2" l="1"/>
  <c r="N1230" i="2"/>
  <c r="O1230" i="2" l="1"/>
  <c r="R1230" i="2" s="1"/>
  <c r="M1230" i="2"/>
  <c r="P1230" i="2" s="1"/>
  <c r="AG1230" i="2" l="1"/>
  <c r="Q1230" i="2"/>
  <c r="S1230" i="2" s="1"/>
  <c r="Y1230" i="2" s="1"/>
  <c r="AA1230" i="2" s="1"/>
  <c r="Z1230" i="2" l="1"/>
  <c r="AB1231" i="2"/>
  <c r="B1232" i="2" l="1"/>
  <c r="H1232" i="2" s="1"/>
  <c r="G1231" i="2"/>
  <c r="F1231" i="2"/>
  <c r="AC1231" i="2"/>
  <c r="AE1231" i="2"/>
  <c r="U1231" i="2"/>
  <c r="C1232" i="2" l="1"/>
  <c r="AF1232" i="2"/>
  <c r="J1231" i="2"/>
  <c r="W1231" i="2"/>
  <c r="X1231" i="2" s="1"/>
  <c r="AD1231" i="2"/>
  <c r="L1231" i="2" s="1"/>
  <c r="K1231" i="2" l="1"/>
  <c r="I1231" i="2"/>
  <c r="D1232" i="2"/>
  <c r="E1232" i="2" s="1"/>
  <c r="T1232" i="2" s="1"/>
  <c r="N1231" i="2" l="1"/>
  <c r="M1231" i="2" s="1"/>
  <c r="P1231" i="2" s="1"/>
  <c r="V1232" i="2"/>
  <c r="AG1231" i="2" l="1"/>
  <c r="O1231" i="2"/>
  <c r="Q1231" i="2" s="1"/>
  <c r="R1231" i="2" l="1"/>
  <c r="S1231" i="2" s="1"/>
  <c r="Y1231" i="2" s="1"/>
  <c r="AA1231" i="2" s="1"/>
  <c r="Z1231" i="2" l="1"/>
  <c r="AB1232" i="2"/>
  <c r="B1233" i="2" l="1"/>
  <c r="H1233" i="2" s="1"/>
  <c r="G1232" i="2"/>
  <c r="F1232" i="2"/>
  <c r="AE1232" i="2"/>
  <c r="AC1232" i="2"/>
  <c r="U1232" i="2"/>
  <c r="AD1232" i="2" l="1"/>
  <c r="L1232" i="2" s="1"/>
  <c r="J1232" i="2"/>
  <c r="W1232" i="2"/>
  <c r="X1232" i="2" s="1"/>
  <c r="AF1233" i="2"/>
  <c r="C1233" i="2"/>
  <c r="I1232" i="2" l="1"/>
  <c r="D1233" i="2"/>
  <c r="E1233" i="2" s="1"/>
  <c r="T1233" i="2" s="1"/>
  <c r="K1232" i="2"/>
  <c r="V1233" i="2" l="1"/>
  <c r="N1232" i="2"/>
  <c r="O1232" i="2" l="1"/>
  <c r="R1232" i="2" s="1"/>
  <c r="M1232" i="2"/>
  <c r="P1232" i="2" s="1"/>
  <c r="AG1232" i="2" l="1"/>
  <c r="Q1232" i="2"/>
  <c r="S1232" i="2" s="1"/>
  <c r="Y1232" i="2" s="1"/>
  <c r="AA1232" i="2" s="1"/>
  <c r="Z1232" i="2" l="1"/>
  <c r="AB1233" i="2"/>
  <c r="B1234" i="2" l="1"/>
  <c r="H1234" i="2" s="1"/>
  <c r="G1233" i="2"/>
  <c r="F1233" i="2"/>
  <c r="AE1233" i="2"/>
  <c r="AC1233" i="2"/>
  <c r="U1233" i="2"/>
  <c r="J1233" i="2" l="1"/>
  <c r="W1233" i="2"/>
  <c r="X1233" i="2" s="1"/>
  <c r="AD1233" i="2"/>
  <c r="L1233" i="2" s="1"/>
  <c r="AF1234" i="2"/>
  <c r="C1234" i="2"/>
  <c r="K1233" i="2" l="1"/>
  <c r="D1234" i="2"/>
  <c r="E1234" i="2" s="1"/>
  <c r="T1234" i="2" s="1"/>
  <c r="I1233" i="2"/>
  <c r="N1233" i="2" l="1"/>
  <c r="M1233" i="2" s="1"/>
  <c r="P1233" i="2" s="1"/>
  <c r="V1234" i="2"/>
  <c r="AG1233" i="2" l="1"/>
  <c r="O1233" i="2"/>
  <c r="Q1233" i="2" s="1"/>
  <c r="R1233" i="2" l="1"/>
  <c r="S1233" i="2" s="1"/>
  <c r="Y1233" i="2" s="1"/>
  <c r="AA1233" i="2" s="1"/>
  <c r="Z1233" i="2" l="1"/>
  <c r="AB1234" i="2"/>
  <c r="B1235" i="2" l="1"/>
  <c r="H1235" i="2" s="1"/>
  <c r="G1234" i="2"/>
  <c r="F1234" i="2"/>
  <c r="AE1234" i="2"/>
  <c r="AC1234" i="2"/>
  <c r="U1234" i="2"/>
  <c r="J1234" i="2" l="1"/>
  <c r="W1234" i="2"/>
  <c r="X1234" i="2" s="1"/>
  <c r="AD1234" i="2"/>
  <c r="L1234" i="2" s="1"/>
  <c r="AF1235" i="2"/>
  <c r="C1235" i="2"/>
  <c r="I1234" i="2" l="1"/>
  <c r="D1235" i="2"/>
  <c r="E1235" i="2" s="1"/>
  <c r="T1235" i="2" s="1"/>
  <c r="K1234" i="2"/>
  <c r="V1235" i="2" l="1"/>
  <c r="N1234" i="2"/>
  <c r="O1234" i="2" l="1"/>
  <c r="R1234" i="2" s="1"/>
  <c r="M1234" i="2"/>
  <c r="P1234" i="2" s="1"/>
  <c r="AG1234" i="2" l="1"/>
  <c r="Q1234" i="2"/>
  <c r="S1234" i="2" s="1"/>
  <c r="Y1234" i="2" s="1"/>
  <c r="AA1234" i="2" s="1"/>
  <c r="Z1234" i="2" l="1"/>
  <c r="AB1235" i="2"/>
  <c r="B1236" i="2" l="1"/>
  <c r="H1236" i="2" s="1"/>
  <c r="G1235" i="2"/>
  <c r="F1235" i="2"/>
  <c r="AE1235" i="2"/>
  <c r="AC1235" i="2"/>
  <c r="U1235" i="2"/>
  <c r="AD1235" i="2" l="1"/>
  <c r="L1235" i="2" s="1"/>
  <c r="AF1236" i="2"/>
  <c r="C1236" i="2"/>
  <c r="J1235" i="2"/>
  <c r="W1235" i="2"/>
  <c r="X1235" i="2" s="1"/>
  <c r="I1235" i="2" l="1"/>
  <c r="K1235" i="2"/>
  <c r="D1236" i="2"/>
  <c r="E1236" i="2" s="1"/>
  <c r="T1236" i="2" s="1"/>
  <c r="V1236" i="2" l="1"/>
  <c r="N1235" i="2"/>
  <c r="O1235" i="2" l="1"/>
  <c r="R1235" i="2" s="1"/>
  <c r="M1235" i="2"/>
  <c r="P1235" i="2" s="1"/>
  <c r="AG1235" i="2" l="1"/>
  <c r="Q1235" i="2"/>
  <c r="S1235" i="2" s="1"/>
  <c r="Y1235" i="2" s="1"/>
  <c r="AA1235" i="2" s="1"/>
  <c r="Z1235" i="2" l="1"/>
  <c r="AB1236" i="2"/>
  <c r="B1237" i="2" l="1"/>
  <c r="H1237" i="2" s="1"/>
  <c r="G1236" i="2"/>
  <c r="F1236" i="2"/>
  <c r="AE1236" i="2"/>
  <c r="AC1236" i="2"/>
  <c r="U1236" i="2"/>
  <c r="AF1237" i="2" l="1"/>
  <c r="C1237" i="2"/>
  <c r="AD1236" i="2"/>
  <c r="L1236" i="2" s="1"/>
  <c r="J1236" i="2"/>
  <c r="W1236" i="2"/>
  <c r="X1236" i="2" s="1"/>
  <c r="K1236" i="2" l="1"/>
  <c r="I1236" i="2"/>
  <c r="D1237" i="2"/>
  <c r="E1237" i="2" s="1"/>
  <c r="T1237" i="2" s="1"/>
  <c r="N1236" i="2" l="1"/>
  <c r="V1237" i="2"/>
  <c r="O1236" i="2" l="1"/>
  <c r="R1236" i="2" s="1"/>
  <c r="M1236" i="2"/>
  <c r="P1236" i="2" s="1"/>
  <c r="AG1236" i="2" l="1"/>
  <c r="Q1236" i="2"/>
  <c r="S1236" i="2" s="1"/>
  <c r="Y1236" i="2" s="1"/>
  <c r="AA1236" i="2" s="1"/>
  <c r="Z1236" i="2" l="1"/>
  <c r="AB1237" i="2"/>
  <c r="B1238" i="2" l="1"/>
  <c r="H1238" i="2" s="1"/>
  <c r="G1237" i="2"/>
  <c r="F1237" i="2"/>
  <c r="AE1237" i="2"/>
  <c r="AC1237" i="2"/>
  <c r="U1237" i="2"/>
  <c r="J1237" i="2" l="1"/>
  <c r="W1237" i="2"/>
  <c r="X1237" i="2" s="1"/>
  <c r="AD1237" i="2"/>
  <c r="L1237" i="2" s="1"/>
  <c r="AF1238" i="2"/>
  <c r="C1238" i="2"/>
  <c r="K1237" i="2" l="1"/>
  <c r="D1238" i="2"/>
  <c r="E1238" i="2" s="1"/>
  <c r="T1238" i="2" s="1"/>
  <c r="I1237" i="2"/>
  <c r="N1237" i="2" l="1"/>
  <c r="M1237" i="2" s="1"/>
  <c r="P1237" i="2" s="1"/>
  <c r="V1238" i="2"/>
  <c r="AG1237" i="2" l="1"/>
  <c r="O1237" i="2"/>
  <c r="R1237" i="2" s="1"/>
  <c r="Q1237" i="2" l="1"/>
  <c r="S1237" i="2" s="1"/>
  <c r="Y1237" i="2" s="1"/>
  <c r="AA1237" i="2" s="1"/>
  <c r="Z1237" i="2" l="1"/>
  <c r="AB1238" i="2"/>
  <c r="B1239" i="2" l="1"/>
  <c r="H1239" i="2" s="1"/>
  <c r="G1238" i="2"/>
  <c r="F1238" i="2"/>
  <c r="AC1238" i="2"/>
  <c r="AE1238" i="2"/>
  <c r="U1238" i="2"/>
  <c r="AD1238" i="2" l="1"/>
  <c r="L1238" i="2" s="1"/>
  <c r="J1238" i="2"/>
  <c r="W1238" i="2"/>
  <c r="X1238" i="2" s="1"/>
  <c r="C1239" i="2"/>
  <c r="AF1239" i="2"/>
  <c r="K1238" i="2" l="1"/>
  <c r="I1238" i="2"/>
  <c r="D1239" i="2"/>
  <c r="E1239" i="2" s="1"/>
  <c r="T1239" i="2" s="1"/>
  <c r="N1238" i="2" l="1"/>
  <c r="V1239" i="2"/>
  <c r="O1238" i="2" l="1"/>
  <c r="Q1238" i="2" s="1"/>
  <c r="M1238" i="2"/>
  <c r="P1238" i="2" s="1"/>
  <c r="AG1238" i="2" l="1"/>
  <c r="R1238" i="2"/>
  <c r="S1238" i="2" s="1"/>
  <c r="Y1238" i="2" s="1"/>
  <c r="AA1238" i="2" s="1"/>
  <c r="Z1238" i="2" l="1"/>
  <c r="AB1239" i="2"/>
  <c r="B1240" i="2" l="1"/>
  <c r="H1240" i="2" s="1"/>
  <c r="G1239" i="2"/>
  <c r="F1239" i="2"/>
  <c r="AE1239" i="2"/>
  <c r="AC1239" i="2"/>
  <c r="U1239" i="2"/>
  <c r="AD1239" i="2" l="1"/>
  <c r="L1239" i="2" s="1"/>
  <c r="AF1240" i="2"/>
  <c r="C1240" i="2"/>
  <c r="J1239" i="2"/>
  <c r="W1239" i="2"/>
  <c r="X1239" i="2" s="1"/>
  <c r="K1239" i="2" l="1"/>
  <c r="I1239" i="2"/>
  <c r="D1240" i="2"/>
  <c r="E1240" i="2" s="1"/>
  <c r="T1240" i="2" s="1"/>
  <c r="N1239" i="2" l="1"/>
  <c r="V1240" i="2"/>
  <c r="O1239" i="2" l="1"/>
  <c r="R1239" i="2" s="1"/>
  <c r="M1239" i="2"/>
  <c r="P1239" i="2" s="1"/>
  <c r="AG1239" i="2" l="1"/>
  <c r="Q1239" i="2"/>
  <c r="S1239" i="2" s="1"/>
  <c r="Y1239" i="2" s="1"/>
  <c r="AA1239" i="2" s="1"/>
  <c r="Z1239" i="2" l="1"/>
  <c r="AB1240" i="2"/>
  <c r="B1241" i="2" l="1"/>
  <c r="H1241" i="2" s="1"/>
  <c r="G1240" i="2"/>
  <c r="F1240" i="2"/>
  <c r="AE1240" i="2"/>
  <c r="AC1240" i="2"/>
  <c r="U1240" i="2"/>
  <c r="J1240" i="2" l="1"/>
  <c r="W1240" i="2"/>
  <c r="X1240" i="2" s="1"/>
  <c r="AD1240" i="2"/>
  <c r="L1240" i="2" s="1"/>
  <c r="AF1241" i="2"/>
  <c r="C1241" i="2"/>
  <c r="I1240" i="2" l="1"/>
  <c r="D1241" i="2"/>
  <c r="E1241" i="2" s="1"/>
  <c r="T1241" i="2" s="1"/>
  <c r="K1240" i="2"/>
  <c r="V1241" i="2" l="1"/>
  <c r="N1240" i="2"/>
  <c r="O1240" i="2" l="1"/>
  <c r="R1240" i="2" s="1"/>
  <c r="M1240" i="2"/>
  <c r="P1240" i="2" s="1"/>
  <c r="AG1240" i="2" l="1"/>
  <c r="Q1240" i="2"/>
  <c r="S1240" i="2" s="1"/>
  <c r="Y1240" i="2" s="1"/>
  <c r="AA1240" i="2" s="1"/>
  <c r="Z1240" i="2" l="1"/>
  <c r="AB1241" i="2"/>
  <c r="B1242" i="2" l="1"/>
  <c r="H1242" i="2" s="1"/>
  <c r="G1241" i="2"/>
  <c r="F1241" i="2"/>
  <c r="AE1241" i="2"/>
  <c r="AC1241" i="2"/>
  <c r="U1241" i="2"/>
  <c r="J1241" i="2" l="1"/>
  <c r="W1241" i="2"/>
  <c r="X1241" i="2" s="1"/>
  <c r="AF1242" i="2"/>
  <c r="C1242" i="2"/>
  <c r="AD1241" i="2"/>
  <c r="L1241" i="2" s="1"/>
  <c r="K1241" i="2" l="1"/>
  <c r="D1242" i="2"/>
  <c r="E1242" i="2" s="1"/>
  <c r="T1242" i="2" s="1"/>
  <c r="I1241" i="2"/>
  <c r="N1241" i="2" l="1"/>
  <c r="M1241" i="2" s="1"/>
  <c r="P1241" i="2" s="1"/>
  <c r="V1242" i="2"/>
  <c r="AG1241" i="2" l="1"/>
  <c r="O1241" i="2"/>
  <c r="R1241" i="2" s="1"/>
  <c r="Q1241" i="2" l="1"/>
  <c r="S1241" i="2" s="1"/>
  <c r="Y1241" i="2" s="1"/>
  <c r="AA1241" i="2" s="1"/>
  <c r="Z1241" i="2" l="1"/>
  <c r="AB1242" i="2"/>
  <c r="B1243" i="2" l="1"/>
  <c r="H1243" i="2" s="1"/>
  <c r="G1242" i="2"/>
  <c r="F1242" i="2"/>
  <c r="AC1242" i="2"/>
  <c r="AE1242" i="2"/>
  <c r="U1242" i="2"/>
  <c r="AD1242" i="2" l="1"/>
  <c r="L1242" i="2" s="1"/>
  <c r="AF1243" i="2"/>
  <c r="C1243" i="2"/>
  <c r="J1242" i="2"/>
  <c r="W1242" i="2"/>
  <c r="X1242" i="2" s="1"/>
  <c r="D1243" i="2" l="1"/>
  <c r="E1243" i="2" s="1"/>
  <c r="T1243" i="2" s="1"/>
  <c r="K1242" i="2"/>
  <c r="I1242" i="2"/>
  <c r="N1242" i="2" l="1"/>
  <c r="V1243" i="2"/>
  <c r="O1242" i="2" l="1"/>
  <c r="R1242" i="2" s="1"/>
  <c r="M1242" i="2"/>
  <c r="P1242" i="2" s="1"/>
  <c r="AG1242" i="2" l="1"/>
  <c r="Q1242" i="2"/>
  <c r="S1242" i="2" s="1"/>
  <c r="Y1242" i="2" s="1"/>
  <c r="AA1242" i="2" s="1"/>
  <c r="Z1242" i="2" l="1"/>
  <c r="AB1243" i="2"/>
  <c r="B1244" i="2" l="1"/>
  <c r="H1244" i="2" s="1"/>
  <c r="G1243" i="2"/>
  <c r="F1243" i="2"/>
  <c r="AC1243" i="2"/>
  <c r="AE1243" i="2"/>
  <c r="U1243" i="2"/>
  <c r="AD1243" i="2" l="1"/>
  <c r="L1243" i="2" s="1"/>
  <c r="J1243" i="2"/>
  <c r="W1243" i="2"/>
  <c r="X1243" i="2" s="1"/>
  <c r="AF1244" i="2"/>
  <c r="C1244" i="2"/>
  <c r="I1243" i="2" l="1"/>
  <c r="D1244" i="2"/>
  <c r="E1244" i="2" s="1"/>
  <c r="T1244" i="2" s="1"/>
  <c r="K1243" i="2"/>
  <c r="V1244" i="2" l="1"/>
  <c r="N1243" i="2"/>
  <c r="O1243" i="2" l="1"/>
  <c r="R1243" i="2" s="1"/>
  <c r="M1243" i="2"/>
  <c r="P1243" i="2" s="1"/>
  <c r="AG1243" i="2" l="1"/>
  <c r="Q1243" i="2"/>
  <c r="S1243" i="2" s="1"/>
  <c r="Y1243" i="2" s="1"/>
  <c r="AA1243" i="2" s="1"/>
  <c r="Z1243" i="2" l="1"/>
  <c r="AB1244" i="2"/>
  <c r="B1245" i="2" l="1"/>
  <c r="H1245" i="2" s="1"/>
  <c r="G1244" i="2"/>
  <c r="F1244" i="2"/>
  <c r="AE1244" i="2"/>
  <c r="AC1244" i="2"/>
  <c r="U1244" i="2"/>
  <c r="AF1245" i="2" l="1"/>
  <c r="C1245" i="2"/>
  <c r="J1244" i="2"/>
  <c r="W1244" i="2"/>
  <c r="X1244" i="2" s="1"/>
  <c r="AD1244" i="2"/>
  <c r="L1244" i="2" s="1"/>
  <c r="D1245" i="2" l="1"/>
  <c r="E1245" i="2" s="1"/>
  <c r="T1245" i="2" s="1"/>
  <c r="K1244" i="2"/>
  <c r="I1244" i="2"/>
  <c r="N1244" i="2" l="1"/>
  <c r="V1245" i="2"/>
  <c r="O1244" i="2" l="1"/>
  <c r="R1244" i="2" s="1"/>
  <c r="M1244" i="2"/>
  <c r="P1244" i="2" s="1"/>
  <c r="AG1244" i="2" l="1"/>
  <c r="Q1244" i="2"/>
  <c r="S1244" i="2" s="1"/>
  <c r="Y1244" i="2" l="1"/>
  <c r="AA1244" i="2" s="1"/>
  <c r="Z1244" i="2"/>
  <c r="AB1245" i="2" l="1"/>
  <c r="B1246" i="2" l="1"/>
  <c r="H1246" i="2" s="1"/>
  <c r="G1245" i="2"/>
  <c r="F1245" i="2"/>
  <c r="AC1245" i="2"/>
  <c r="AE1245" i="2"/>
  <c r="U1245" i="2"/>
  <c r="AD1245" i="2" l="1"/>
  <c r="L1245" i="2" s="1"/>
  <c r="J1245" i="2"/>
  <c r="W1245" i="2"/>
  <c r="X1245" i="2" s="1"/>
  <c r="AF1246" i="2"/>
  <c r="C1246" i="2"/>
  <c r="I1245" i="2" l="1"/>
  <c r="K1245" i="2"/>
  <c r="D1246" i="2"/>
  <c r="E1246" i="2" s="1"/>
  <c r="T1246" i="2" s="1"/>
  <c r="N1245" i="2" l="1"/>
  <c r="M1245" i="2" s="1"/>
  <c r="P1245" i="2" s="1"/>
  <c r="V1246" i="2"/>
  <c r="AG1245" i="2" l="1"/>
  <c r="O1245" i="2"/>
  <c r="R1245" i="2" s="1"/>
  <c r="Q1245" i="2" l="1"/>
  <c r="S1245" i="2" s="1"/>
  <c r="Y1245" i="2" s="1"/>
  <c r="AA1245" i="2" s="1"/>
  <c r="Z1245" i="2" l="1"/>
  <c r="AB1246" i="2"/>
  <c r="B1247" i="2" l="1"/>
  <c r="H1247" i="2" s="1"/>
  <c r="G1246" i="2"/>
  <c r="F1246" i="2"/>
  <c r="AE1246" i="2"/>
  <c r="AC1246" i="2"/>
  <c r="U1246" i="2"/>
  <c r="J1246" i="2" l="1"/>
  <c r="W1246" i="2"/>
  <c r="X1246" i="2" s="1"/>
  <c r="AD1246" i="2"/>
  <c r="L1246" i="2" s="1"/>
  <c r="AF1247" i="2"/>
  <c r="C1247" i="2"/>
  <c r="K1246" i="2" l="1"/>
  <c r="I1246" i="2"/>
  <c r="D1247" i="2"/>
  <c r="E1247" i="2" s="1"/>
  <c r="T1247" i="2" s="1"/>
  <c r="N1246" i="2" l="1"/>
  <c r="V1247" i="2"/>
  <c r="O1246" i="2" l="1"/>
  <c r="R1246" i="2" s="1"/>
  <c r="M1246" i="2"/>
  <c r="P1246" i="2" s="1"/>
  <c r="AG1246" i="2" l="1"/>
  <c r="Q1246" i="2"/>
  <c r="S1246" i="2" s="1"/>
  <c r="Y1246" i="2" s="1"/>
  <c r="AA1246" i="2" s="1"/>
  <c r="Z1246" i="2" l="1"/>
  <c r="AB1247" i="2"/>
  <c r="B1248" i="2" l="1"/>
  <c r="H1248" i="2" s="1"/>
  <c r="G1247" i="2"/>
  <c r="F1247" i="2"/>
  <c r="AC1247" i="2"/>
  <c r="AE1247" i="2"/>
  <c r="U1247" i="2"/>
  <c r="AD1247" i="2" l="1"/>
  <c r="L1247" i="2" s="1"/>
  <c r="C1248" i="2"/>
  <c r="AF1248" i="2"/>
  <c r="J1247" i="2"/>
  <c r="W1247" i="2"/>
  <c r="X1247" i="2" s="1"/>
  <c r="I1247" i="2" l="1"/>
  <c r="D1248" i="2"/>
  <c r="E1248" i="2" s="1"/>
  <c r="T1248" i="2" s="1"/>
  <c r="K1247" i="2"/>
  <c r="V1248" i="2" l="1"/>
  <c r="N1247" i="2"/>
  <c r="O1247" i="2" l="1"/>
  <c r="R1247" i="2" s="1"/>
  <c r="M1247" i="2"/>
  <c r="P1247" i="2" s="1"/>
  <c r="AG1247" i="2" l="1"/>
  <c r="Q1247" i="2"/>
  <c r="S1247" i="2" s="1"/>
  <c r="Y1247" i="2" s="1"/>
  <c r="AA1247" i="2" s="1"/>
  <c r="Z1247" i="2" l="1"/>
  <c r="AB1248" i="2"/>
  <c r="B1249" i="2" l="1"/>
  <c r="H1249" i="2" s="1"/>
  <c r="G1248" i="2"/>
  <c r="F1248" i="2"/>
  <c r="AC1248" i="2"/>
  <c r="AE1248" i="2"/>
  <c r="U1248" i="2"/>
  <c r="J1248" i="2" l="1"/>
  <c r="W1248" i="2"/>
  <c r="X1248" i="2" s="1"/>
  <c r="AF1249" i="2"/>
  <c r="C1249" i="2"/>
  <c r="AD1248" i="2"/>
  <c r="L1248" i="2" s="1"/>
  <c r="D1249" i="2" l="1"/>
  <c r="E1249" i="2" s="1"/>
  <c r="T1249" i="2" s="1"/>
  <c r="K1248" i="2"/>
  <c r="I1248" i="2"/>
  <c r="N1248" i="2" l="1"/>
  <c r="V1249" i="2"/>
  <c r="O1248" i="2" l="1"/>
  <c r="R1248" i="2" s="1"/>
  <c r="M1248" i="2"/>
  <c r="P1248" i="2" s="1"/>
  <c r="AG1248" i="2" l="1"/>
  <c r="Q1248" i="2"/>
  <c r="S1248" i="2" s="1"/>
  <c r="Y1248" i="2" s="1"/>
  <c r="AA1248" i="2" s="1"/>
  <c r="Z1248" i="2" l="1"/>
  <c r="AB1249" i="2"/>
  <c r="B1250" i="2" l="1"/>
  <c r="H1250" i="2" s="1"/>
  <c r="G1249" i="2"/>
  <c r="F1249" i="2"/>
  <c r="AE1249" i="2"/>
  <c r="AC1249" i="2"/>
  <c r="U1249" i="2"/>
  <c r="AF1250" i="2" l="1"/>
  <c r="C1250" i="2"/>
  <c r="J1249" i="2"/>
  <c r="W1249" i="2"/>
  <c r="X1249" i="2" s="1"/>
  <c r="AD1249" i="2"/>
  <c r="L1249" i="2" s="1"/>
  <c r="D1250" i="2" l="1"/>
  <c r="E1250" i="2" s="1"/>
  <c r="T1250" i="2" s="1"/>
  <c r="K1249" i="2"/>
  <c r="I1249" i="2"/>
  <c r="N1249" i="2" l="1"/>
  <c r="M1249" i="2" s="1"/>
  <c r="P1249" i="2" s="1"/>
  <c r="V1250" i="2"/>
  <c r="AG1249" i="2" l="1"/>
  <c r="O1249" i="2"/>
  <c r="Q1249" i="2" s="1"/>
  <c r="R1249" i="2" l="1"/>
  <c r="S1249" i="2" s="1"/>
  <c r="Y1249" i="2" l="1"/>
  <c r="AA1249" i="2" s="1"/>
  <c r="AB1250" i="2" s="1"/>
  <c r="Z1249" i="2"/>
  <c r="B1251" i="2" l="1"/>
  <c r="H1251" i="2" s="1"/>
  <c r="G1250" i="2"/>
  <c r="F1250" i="2"/>
  <c r="AC1250" i="2"/>
  <c r="AE1250" i="2"/>
  <c r="U1250" i="2"/>
  <c r="J1250" i="2" l="1"/>
  <c r="W1250" i="2"/>
  <c r="X1250" i="2" s="1"/>
  <c r="AD1250" i="2"/>
  <c r="L1250" i="2" s="1"/>
  <c r="C1251" i="2"/>
  <c r="AF1251" i="2"/>
  <c r="D1251" i="2" l="1"/>
  <c r="E1251" i="2" s="1"/>
  <c r="T1251" i="2" s="1"/>
  <c r="K1250" i="2"/>
  <c r="I1250" i="2"/>
  <c r="N1250" i="2" l="1"/>
  <c r="M1250" i="2" s="1"/>
  <c r="P1250" i="2" s="1"/>
  <c r="V1251" i="2"/>
  <c r="AG1250" i="2" l="1"/>
  <c r="O1250" i="2"/>
  <c r="R1250" i="2" s="1"/>
  <c r="Q1250" i="2" l="1"/>
  <c r="S1250" i="2" s="1"/>
  <c r="Y1250" i="2" s="1"/>
  <c r="AA1250" i="2" s="1"/>
  <c r="Z1250" i="2" l="1"/>
  <c r="AB1251" i="2"/>
  <c r="B1252" i="2" l="1"/>
  <c r="H1252" i="2" s="1"/>
  <c r="G1251" i="2"/>
  <c r="F1251" i="2"/>
  <c r="AE1251" i="2"/>
  <c r="AC1251" i="2"/>
  <c r="U1251" i="2"/>
  <c r="J1251" i="2" l="1"/>
  <c r="W1251" i="2"/>
  <c r="X1251" i="2" s="1"/>
  <c r="AD1251" i="2"/>
  <c r="L1251" i="2" s="1"/>
  <c r="AF1252" i="2"/>
  <c r="C1252" i="2"/>
  <c r="I1251" i="2" l="1"/>
  <c r="D1252" i="2"/>
  <c r="E1252" i="2" s="1"/>
  <c r="T1252" i="2" s="1"/>
  <c r="K1251" i="2"/>
  <c r="V1252" i="2" l="1"/>
  <c r="N1251" i="2"/>
  <c r="O1251" i="2" l="1"/>
  <c r="R1251" i="2" s="1"/>
  <c r="M1251" i="2"/>
  <c r="P1251" i="2" s="1"/>
  <c r="AG1251" i="2" l="1"/>
  <c r="Q1251" i="2"/>
  <c r="S1251" i="2" s="1"/>
  <c r="Y1251" i="2" s="1"/>
  <c r="AA1251" i="2" s="1"/>
  <c r="Z1251" i="2" l="1"/>
  <c r="AB1252" i="2"/>
  <c r="B1253" i="2" l="1"/>
  <c r="H1253" i="2" s="1"/>
  <c r="G1252" i="2"/>
  <c r="F1252" i="2"/>
  <c r="AE1252" i="2"/>
  <c r="AC1252" i="2"/>
  <c r="U1252" i="2"/>
  <c r="J1252" i="2" l="1"/>
  <c r="W1252" i="2"/>
  <c r="X1252" i="2" s="1"/>
  <c r="AD1252" i="2"/>
  <c r="L1252" i="2" s="1"/>
  <c r="C1253" i="2"/>
  <c r="AF1253" i="2"/>
  <c r="K1252" i="2" l="1"/>
  <c r="D1253" i="2"/>
  <c r="E1253" i="2" s="1"/>
  <c r="T1253" i="2" s="1"/>
  <c r="I1252" i="2"/>
  <c r="N1252" i="2" l="1"/>
  <c r="M1252" i="2" s="1"/>
  <c r="P1252" i="2" s="1"/>
  <c r="V1253" i="2"/>
  <c r="AG1252" i="2" l="1"/>
  <c r="O1252" i="2"/>
  <c r="R1252" i="2" s="1"/>
  <c r="Q1252" i="2" l="1"/>
  <c r="S1252" i="2" s="1"/>
  <c r="Y1252" i="2" s="1"/>
  <c r="AA1252" i="2" s="1"/>
  <c r="Z1252" i="2" l="1"/>
  <c r="AB1253" i="2"/>
  <c r="B1254" i="2" l="1"/>
  <c r="H1254" i="2" s="1"/>
  <c r="G1253" i="2"/>
  <c r="F1253" i="2"/>
  <c r="AE1253" i="2"/>
  <c r="AC1253" i="2"/>
  <c r="U1253" i="2"/>
  <c r="J1253" i="2" l="1"/>
  <c r="W1253" i="2"/>
  <c r="X1253" i="2" s="1"/>
  <c r="AD1253" i="2"/>
  <c r="L1253" i="2" s="1"/>
  <c r="AF1254" i="2"/>
  <c r="C1254" i="2"/>
  <c r="K1253" i="2" l="1"/>
  <c r="I1253" i="2"/>
  <c r="D1254" i="2"/>
  <c r="E1254" i="2" s="1"/>
  <c r="T1254" i="2" s="1"/>
  <c r="N1253" i="2" l="1"/>
  <c r="V1254" i="2"/>
  <c r="O1253" i="2" l="1"/>
  <c r="R1253" i="2" s="1"/>
  <c r="M1253" i="2"/>
  <c r="P1253" i="2" s="1"/>
  <c r="AG1253" i="2" l="1"/>
  <c r="Q1253" i="2"/>
  <c r="S1253" i="2" s="1"/>
  <c r="Y1253" i="2" s="1"/>
  <c r="AA1253" i="2" s="1"/>
  <c r="Z1253" i="2" l="1"/>
  <c r="AB1254" i="2"/>
  <c r="B1255" i="2" l="1"/>
  <c r="H1255" i="2" s="1"/>
  <c r="G1254" i="2"/>
  <c r="F1254" i="2"/>
  <c r="AC1254" i="2"/>
  <c r="AE1254" i="2"/>
  <c r="U1254" i="2"/>
  <c r="AF1255" i="2" l="1"/>
  <c r="C1255" i="2"/>
  <c r="AD1254" i="2"/>
  <c r="L1254" i="2" s="1"/>
  <c r="J1254" i="2"/>
  <c r="W1254" i="2"/>
  <c r="X1254" i="2" s="1"/>
  <c r="I1254" i="2" l="1"/>
  <c r="K1254" i="2"/>
  <c r="D1255" i="2"/>
  <c r="E1255" i="2" s="1"/>
  <c r="T1255" i="2" s="1"/>
  <c r="V1255" i="2" l="1"/>
  <c r="N1254" i="2"/>
  <c r="O1254" i="2" l="1"/>
  <c r="R1254" i="2" s="1"/>
  <c r="M1254" i="2"/>
  <c r="P1254" i="2" s="1"/>
  <c r="AG1254" i="2" l="1"/>
  <c r="Q1254" i="2"/>
  <c r="S1254" i="2" s="1"/>
  <c r="Y1254" i="2" s="1"/>
  <c r="AA1254" i="2" s="1"/>
  <c r="Z1254" i="2" l="1"/>
  <c r="AB1255" i="2"/>
  <c r="B1256" i="2" l="1"/>
  <c r="H1256" i="2" s="1"/>
  <c r="G1255" i="2"/>
  <c r="F1255" i="2"/>
  <c r="AE1255" i="2"/>
  <c r="AC1255" i="2"/>
  <c r="U1255" i="2"/>
  <c r="AF1256" i="2" l="1"/>
  <c r="C1256" i="2"/>
  <c r="AD1255" i="2"/>
  <c r="L1255" i="2" s="1"/>
  <c r="J1255" i="2"/>
  <c r="W1255" i="2"/>
  <c r="X1255" i="2" s="1"/>
  <c r="K1255" i="2" l="1"/>
  <c r="D1256" i="2"/>
  <c r="E1256" i="2" s="1"/>
  <c r="T1256" i="2" s="1"/>
  <c r="I1255" i="2"/>
  <c r="N1255" i="2" l="1"/>
  <c r="M1255" i="2" s="1"/>
  <c r="V1256" i="2"/>
  <c r="P1255" i="2" l="1"/>
  <c r="AG1255" i="2" s="1"/>
  <c r="O1255" i="2"/>
  <c r="R1255" i="2" s="1"/>
  <c r="Q1255" i="2" l="1"/>
  <c r="S1255" i="2" s="1"/>
  <c r="Y1255" i="2" l="1"/>
  <c r="AA1255" i="2" s="1"/>
  <c r="Z1255" i="2"/>
  <c r="AB1256" i="2" l="1"/>
  <c r="B1257" i="2" l="1"/>
  <c r="H1257" i="2" s="1"/>
  <c r="G1256" i="2"/>
  <c r="U1256" i="2"/>
  <c r="AE1256" i="2"/>
  <c r="AD1256" i="2" s="1"/>
  <c r="L1256" i="2" s="1"/>
  <c r="AC1256" i="2"/>
  <c r="F1256" i="2"/>
  <c r="W1256" i="2" l="1"/>
  <c r="X1256" i="2" s="1"/>
  <c r="J1256" i="2"/>
  <c r="C1257" i="2"/>
  <c r="D1257" i="2" s="1"/>
  <c r="E1257" i="2" s="1"/>
  <c r="T1257" i="2" s="1"/>
  <c r="AF1257" i="2"/>
  <c r="I1256" i="2" l="1"/>
  <c r="K1256" i="2"/>
  <c r="V1257" i="2"/>
  <c r="N1256" i="2" l="1"/>
  <c r="O1256" i="2" s="1"/>
  <c r="R1256" i="2" s="1"/>
  <c r="M1256" i="2"/>
  <c r="P1256" i="2" s="1"/>
  <c r="AG1256" i="2" l="1"/>
  <c r="Q1256" i="2"/>
  <c r="S1256" i="2" s="1"/>
  <c r="Y1256" i="2" s="1"/>
  <c r="AA1256" i="2" s="1"/>
  <c r="Z1256" i="2" l="1"/>
  <c r="AB1257" i="2"/>
  <c r="B1258" i="2" l="1"/>
  <c r="H1258" i="2" s="1"/>
  <c r="G1257" i="2"/>
  <c r="F1257" i="2"/>
  <c r="AE1257" i="2"/>
  <c r="AC1257" i="2"/>
  <c r="U1257" i="2"/>
  <c r="J1257" i="2" l="1"/>
  <c r="W1257" i="2"/>
  <c r="X1257" i="2" s="1"/>
  <c r="AD1257" i="2"/>
  <c r="L1257" i="2" s="1"/>
  <c r="AF1258" i="2"/>
  <c r="C1258" i="2"/>
  <c r="I1257" i="2" l="1"/>
  <c r="D1258" i="2"/>
  <c r="E1258" i="2" s="1"/>
  <c r="T1258" i="2" s="1"/>
  <c r="K1257" i="2"/>
  <c r="V1258" i="2" l="1"/>
  <c r="N1257" i="2"/>
  <c r="O1257" i="2" l="1"/>
  <c r="R1257" i="2" s="1"/>
  <c r="M1257" i="2"/>
  <c r="P1257" i="2" s="1"/>
  <c r="AG1257" i="2" l="1"/>
  <c r="Q1257" i="2"/>
  <c r="S1257" i="2" s="1"/>
  <c r="Y1257" i="2" s="1"/>
  <c r="AA1257" i="2" s="1"/>
  <c r="Z1257" i="2" l="1"/>
  <c r="AB1258" i="2"/>
  <c r="B1259" i="2" l="1"/>
  <c r="H1259" i="2" s="1"/>
  <c r="G1258" i="2"/>
  <c r="F1258" i="2"/>
  <c r="AE1258" i="2"/>
  <c r="AC1258" i="2"/>
  <c r="U1258" i="2"/>
  <c r="AF1259" i="2" l="1"/>
  <c r="C1259" i="2"/>
  <c r="J1258" i="2"/>
  <c r="W1258" i="2"/>
  <c r="X1258" i="2" s="1"/>
  <c r="AD1258" i="2"/>
  <c r="L1258" i="2" s="1"/>
  <c r="D1259" i="2" l="1"/>
  <c r="E1259" i="2" s="1"/>
  <c r="T1259" i="2" s="1"/>
  <c r="K1258" i="2"/>
  <c r="I1258" i="2"/>
  <c r="N1258" i="2" l="1"/>
  <c r="V1259" i="2"/>
  <c r="O1258" i="2" l="1"/>
  <c r="R1258" i="2" s="1"/>
  <c r="M1258" i="2"/>
  <c r="P1258" i="2" s="1"/>
  <c r="AG1258" i="2" l="1"/>
  <c r="Q1258" i="2"/>
  <c r="S1258" i="2" s="1"/>
  <c r="Y1258" i="2" s="1"/>
  <c r="AA1258" i="2" s="1"/>
  <c r="Z1258" i="2" l="1"/>
  <c r="AB1259" i="2"/>
  <c r="B1260" i="2" l="1"/>
  <c r="H1260" i="2" s="1"/>
  <c r="G1259" i="2"/>
  <c r="F1259" i="2"/>
  <c r="AE1259" i="2"/>
  <c r="AC1259" i="2"/>
  <c r="U1259" i="2"/>
  <c r="AD1259" i="2" l="1"/>
  <c r="L1259" i="2" s="1"/>
  <c r="AF1260" i="2"/>
  <c r="C1260" i="2"/>
  <c r="J1259" i="2"/>
  <c r="W1259" i="2"/>
  <c r="X1259" i="2" s="1"/>
  <c r="I1259" i="2" l="1"/>
  <c r="K1259" i="2"/>
  <c r="D1260" i="2"/>
  <c r="E1260" i="2" s="1"/>
  <c r="T1260" i="2" s="1"/>
  <c r="V1260" i="2" l="1"/>
  <c r="N1259" i="2"/>
  <c r="O1259" i="2" l="1"/>
  <c r="R1259" i="2" s="1"/>
  <c r="M1259" i="2"/>
  <c r="P1259" i="2" s="1"/>
  <c r="AG1259" i="2" l="1"/>
  <c r="Q1259" i="2"/>
  <c r="S1259" i="2" s="1"/>
  <c r="Y1259" i="2" s="1"/>
  <c r="AA1259" i="2" s="1"/>
  <c r="Z1259" i="2" l="1"/>
  <c r="AB1260" i="2"/>
  <c r="B1261" i="2" l="1"/>
  <c r="H1261" i="2" s="1"/>
  <c r="G1260" i="2"/>
  <c r="F1260" i="2"/>
  <c r="AE1260" i="2"/>
  <c r="AC1260" i="2"/>
  <c r="U1260" i="2"/>
  <c r="AD1260" i="2" l="1"/>
  <c r="L1260" i="2" s="1"/>
  <c r="AF1261" i="2"/>
  <c r="C1261" i="2"/>
  <c r="J1260" i="2"/>
  <c r="W1260" i="2"/>
  <c r="X1260" i="2" s="1"/>
  <c r="K1260" i="2" l="1"/>
  <c r="D1261" i="2"/>
  <c r="E1261" i="2" s="1"/>
  <c r="T1261" i="2" s="1"/>
  <c r="I1260" i="2"/>
  <c r="N1260" i="2" l="1"/>
  <c r="M1260" i="2" s="1"/>
  <c r="P1260" i="2" s="1"/>
  <c r="V1261" i="2"/>
  <c r="AG1260" i="2" l="1"/>
  <c r="O1260" i="2"/>
  <c r="R1260" i="2" s="1"/>
  <c r="Q1260" i="2" l="1"/>
  <c r="S1260" i="2" s="1"/>
  <c r="Z1260" i="2" s="1"/>
  <c r="Y1260" i="2" l="1"/>
  <c r="AA1260" i="2" s="1"/>
  <c r="AB1261" i="2" s="1"/>
  <c r="B1262" i="2" l="1"/>
  <c r="H1262" i="2" s="1"/>
  <c r="G1261" i="2"/>
  <c r="F1261" i="2"/>
  <c r="AC1261" i="2"/>
  <c r="AE1261" i="2"/>
  <c r="U1261" i="2"/>
  <c r="AD1261" i="2" l="1"/>
  <c r="L1261" i="2" s="1"/>
  <c r="J1261" i="2"/>
  <c r="W1261" i="2"/>
  <c r="X1261" i="2" s="1"/>
  <c r="AF1262" i="2"/>
  <c r="C1262" i="2"/>
  <c r="I1261" i="2" l="1"/>
  <c r="D1262" i="2"/>
  <c r="E1262" i="2" s="1"/>
  <c r="T1262" i="2" s="1"/>
  <c r="K1261" i="2"/>
  <c r="V1262" i="2" l="1"/>
  <c r="N1261" i="2"/>
  <c r="O1261" i="2" l="1"/>
  <c r="R1261" i="2" s="1"/>
  <c r="M1261" i="2"/>
  <c r="P1261" i="2" s="1"/>
  <c r="AG1261" i="2" l="1"/>
  <c r="Q1261" i="2"/>
  <c r="S1261" i="2" s="1"/>
  <c r="Y1261" i="2" s="1"/>
  <c r="AA1261" i="2" s="1"/>
  <c r="Z1261" i="2" l="1"/>
  <c r="AB1262" i="2"/>
  <c r="B1263" i="2" l="1"/>
  <c r="H1263" i="2" s="1"/>
  <c r="G1262" i="2"/>
  <c r="F1262" i="2"/>
  <c r="AE1262" i="2"/>
  <c r="AC1262" i="2"/>
  <c r="U1262" i="2"/>
  <c r="C1263" i="2" l="1"/>
  <c r="AF1263" i="2"/>
  <c r="AD1262" i="2"/>
  <c r="L1262" i="2" s="1"/>
  <c r="J1262" i="2"/>
  <c r="W1262" i="2"/>
  <c r="X1262" i="2" s="1"/>
  <c r="I1262" i="2" l="1"/>
  <c r="K1262" i="2"/>
  <c r="D1263" i="2"/>
  <c r="E1263" i="2" s="1"/>
  <c r="T1263" i="2" s="1"/>
  <c r="V1263" i="2" l="1"/>
  <c r="N1262" i="2"/>
  <c r="O1262" i="2" l="1"/>
  <c r="R1262" i="2" s="1"/>
  <c r="M1262" i="2"/>
  <c r="P1262" i="2" s="1"/>
  <c r="AG1262" i="2" l="1"/>
  <c r="Q1262" i="2"/>
  <c r="S1262" i="2" s="1"/>
  <c r="Y1262" i="2" s="1"/>
  <c r="AA1262" i="2" s="1"/>
  <c r="Z1262" i="2" l="1"/>
  <c r="AB1263" i="2"/>
  <c r="B1264" i="2" l="1"/>
  <c r="H1264" i="2" s="1"/>
  <c r="G1263" i="2"/>
  <c r="F1263" i="2"/>
  <c r="AE1263" i="2"/>
  <c r="AC1263" i="2"/>
  <c r="U1263" i="2"/>
  <c r="AF1264" i="2" l="1"/>
  <c r="C1264" i="2"/>
  <c r="J1263" i="2"/>
  <c r="W1263" i="2"/>
  <c r="X1263" i="2" s="1"/>
  <c r="AD1263" i="2"/>
  <c r="L1263" i="2" s="1"/>
  <c r="I1263" i="2" l="1"/>
  <c r="D1264" i="2"/>
  <c r="E1264" i="2" s="1"/>
  <c r="T1264" i="2" s="1"/>
  <c r="K1263" i="2"/>
  <c r="V1264" i="2" l="1"/>
  <c r="N1263" i="2"/>
  <c r="O1263" i="2" l="1"/>
  <c r="Q1263" i="2" s="1"/>
  <c r="M1263" i="2"/>
  <c r="P1263" i="2" s="1"/>
  <c r="AG1263" i="2" l="1"/>
  <c r="R1263" i="2"/>
  <c r="S1263" i="2" s="1"/>
  <c r="Z1263" i="2" s="1"/>
  <c r="Y1263" i="2" l="1"/>
  <c r="AA1263" i="2" s="1"/>
  <c r="AB1264" i="2" s="1"/>
  <c r="B1265" i="2" l="1"/>
  <c r="H1265" i="2" s="1"/>
  <c r="G1264" i="2"/>
  <c r="F1264" i="2"/>
  <c r="AC1264" i="2"/>
  <c r="AE1264" i="2"/>
  <c r="U1264" i="2"/>
  <c r="AF1265" i="2" l="1"/>
  <c r="C1265" i="2"/>
  <c r="AD1264" i="2"/>
  <c r="L1264" i="2" s="1"/>
  <c r="J1264" i="2"/>
  <c r="W1264" i="2"/>
  <c r="X1264" i="2" s="1"/>
  <c r="I1264" i="2" l="1"/>
  <c r="K1264" i="2"/>
  <c r="D1265" i="2"/>
  <c r="E1265" i="2" s="1"/>
  <c r="T1265" i="2" s="1"/>
  <c r="N1264" i="2" l="1"/>
  <c r="M1264" i="2" s="1"/>
  <c r="P1264" i="2" s="1"/>
  <c r="V1265" i="2"/>
  <c r="AG1264" i="2" l="1"/>
  <c r="O1264" i="2"/>
  <c r="Q1264" i="2" s="1"/>
  <c r="R1264" i="2" l="1"/>
  <c r="S1264" i="2" s="1"/>
  <c r="Y1264" i="2" s="1"/>
  <c r="AA1264" i="2" s="1"/>
  <c r="Z1264" i="2" l="1"/>
  <c r="AB1265" i="2"/>
  <c r="B1266" i="2" l="1"/>
  <c r="H1266" i="2" s="1"/>
  <c r="G1265" i="2"/>
  <c r="F1265" i="2"/>
  <c r="AE1265" i="2"/>
  <c r="AC1265" i="2"/>
  <c r="U1265" i="2"/>
  <c r="AF1266" i="2" l="1"/>
  <c r="C1266" i="2"/>
  <c r="AD1265" i="2"/>
  <c r="L1265" i="2" s="1"/>
  <c r="J1265" i="2"/>
  <c r="W1265" i="2"/>
  <c r="X1265" i="2" s="1"/>
  <c r="I1265" i="2" l="1"/>
  <c r="D1266" i="2"/>
  <c r="E1266" i="2" s="1"/>
  <c r="T1266" i="2" s="1"/>
  <c r="K1265" i="2"/>
  <c r="V1266" i="2" l="1"/>
  <c r="N1265" i="2"/>
  <c r="O1265" i="2" l="1"/>
  <c r="R1265" i="2" s="1"/>
  <c r="M1265" i="2"/>
  <c r="P1265" i="2" s="1"/>
  <c r="AG1265" i="2" l="1"/>
  <c r="Q1265" i="2"/>
  <c r="S1265" i="2" s="1"/>
  <c r="Y1265" i="2" s="1"/>
  <c r="AA1265" i="2" s="1"/>
  <c r="Z1265" i="2" l="1"/>
  <c r="AB1266" i="2"/>
  <c r="B1267" i="2" l="1"/>
  <c r="H1267" i="2" s="1"/>
  <c r="G1266" i="2"/>
  <c r="F1266" i="2"/>
  <c r="AE1266" i="2"/>
  <c r="AC1266" i="2"/>
  <c r="U1266" i="2"/>
  <c r="J1266" i="2" l="1"/>
  <c r="W1266" i="2"/>
  <c r="X1266" i="2" s="1"/>
  <c r="AD1266" i="2"/>
  <c r="L1266" i="2" s="1"/>
  <c r="AF1267" i="2"/>
  <c r="C1267" i="2"/>
  <c r="K1266" i="2" l="1"/>
  <c r="I1266" i="2"/>
  <c r="D1267" i="2"/>
  <c r="E1267" i="2" s="1"/>
  <c r="T1267" i="2" s="1"/>
  <c r="N1266" i="2" l="1"/>
  <c r="M1266" i="2" s="1"/>
  <c r="P1266" i="2" s="1"/>
  <c r="V1267" i="2"/>
  <c r="AG1266" i="2" l="1"/>
  <c r="O1266" i="2"/>
  <c r="Q1266" i="2" s="1"/>
  <c r="R1266" i="2" l="1"/>
  <c r="S1266" i="2" s="1"/>
  <c r="Y1266" i="2" s="1"/>
  <c r="AA1266" i="2" s="1"/>
  <c r="Z1266" i="2" l="1"/>
  <c r="AB1267" i="2"/>
  <c r="B1268" i="2" l="1"/>
  <c r="H1268" i="2" s="1"/>
  <c r="G1267" i="2"/>
  <c r="F1267" i="2"/>
  <c r="AC1267" i="2"/>
  <c r="AE1267" i="2"/>
  <c r="U1267" i="2"/>
  <c r="AD1267" i="2" l="1"/>
  <c r="L1267" i="2" s="1"/>
  <c r="AF1268" i="2"/>
  <c r="C1268" i="2"/>
  <c r="J1267" i="2"/>
  <c r="W1267" i="2"/>
  <c r="X1267" i="2" s="1"/>
  <c r="I1267" i="2" l="1"/>
  <c r="K1267" i="2"/>
  <c r="D1268" i="2"/>
  <c r="E1268" i="2" s="1"/>
  <c r="T1268" i="2" s="1"/>
  <c r="V1268" i="2" l="1"/>
  <c r="N1267" i="2"/>
  <c r="O1267" i="2" l="1"/>
  <c r="Q1267" i="2" s="1"/>
  <c r="M1267" i="2"/>
  <c r="P1267" i="2" s="1"/>
  <c r="AG1267" i="2" l="1"/>
  <c r="R1267" i="2"/>
  <c r="S1267" i="2" s="1"/>
  <c r="Y1267" i="2" s="1"/>
  <c r="AA1267" i="2" s="1"/>
  <c r="Z1267" i="2" l="1"/>
  <c r="AB1268" i="2"/>
  <c r="B1269" i="2" l="1"/>
  <c r="H1269" i="2" s="1"/>
  <c r="G1268" i="2"/>
  <c r="F1268" i="2"/>
  <c r="AE1268" i="2"/>
  <c r="AC1268" i="2"/>
  <c r="U1268" i="2"/>
  <c r="J1268" i="2" l="1"/>
  <c r="W1268" i="2"/>
  <c r="X1268" i="2" s="1"/>
  <c r="AD1268" i="2"/>
  <c r="L1268" i="2" s="1"/>
  <c r="AF1269" i="2"/>
  <c r="C1269" i="2"/>
  <c r="K1268" i="2" l="1"/>
  <c r="D1269" i="2"/>
  <c r="E1269" i="2" s="1"/>
  <c r="T1269" i="2" s="1"/>
  <c r="I1268" i="2"/>
  <c r="N1268" i="2" l="1"/>
  <c r="M1268" i="2" s="1"/>
  <c r="P1268" i="2" s="1"/>
  <c r="V1269" i="2"/>
  <c r="AG1268" i="2" l="1"/>
  <c r="O1268" i="2"/>
  <c r="R1268" i="2" s="1"/>
  <c r="Q1268" i="2" l="1"/>
  <c r="S1268" i="2" s="1"/>
  <c r="Y1268" i="2" s="1"/>
  <c r="AA1268" i="2" s="1"/>
  <c r="Z1268" i="2" l="1"/>
  <c r="AB1269" i="2"/>
  <c r="B1270" i="2" l="1"/>
  <c r="H1270" i="2" s="1"/>
  <c r="G1269" i="2"/>
  <c r="F1269" i="2"/>
  <c r="AC1269" i="2"/>
  <c r="AE1269" i="2"/>
  <c r="U1269" i="2"/>
  <c r="AF1270" i="2" l="1"/>
  <c r="C1270" i="2"/>
  <c r="AD1269" i="2"/>
  <c r="L1269" i="2" s="1"/>
  <c r="J1269" i="2"/>
  <c r="W1269" i="2"/>
  <c r="X1269" i="2" s="1"/>
  <c r="I1269" i="2" l="1"/>
  <c r="K1269" i="2"/>
  <c r="D1270" i="2"/>
  <c r="E1270" i="2" s="1"/>
  <c r="T1270" i="2" s="1"/>
  <c r="V1270" i="2" l="1"/>
  <c r="N1269" i="2"/>
  <c r="O1269" i="2" l="1"/>
  <c r="Q1269" i="2" s="1"/>
  <c r="M1269" i="2"/>
  <c r="P1269" i="2" s="1"/>
  <c r="AG1269" i="2" l="1"/>
  <c r="R1269" i="2"/>
  <c r="S1269" i="2" s="1"/>
  <c r="Y1269" i="2" s="1"/>
  <c r="AA1269" i="2" s="1"/>
  <c r="Z1269" i="2" l="1"/>
  <c r="AB1270" i="2"/>
  <c r="B1271" i="2" l="1"/>
  <c r="H1271" i="2" s="1"/>
  <c r="G1270" i="2"/>
  <c r="F1270" i="2"/>
  <c r="AE1270" i="2"/>
  <c r="AC1270" i="2"/>
  <c r="U1270" i="2"/>
  <c r="AD1270" i="2" l="1"/>
  <c r="L1270" i="2" s="1"/>
  <c r="J1270" i="2"/>
  <c r="W1270" i="2"/>
  <c r="X1270" i="2" s="1"/>
  <c r="C1271" i="2"/>
  <c r="AF1271" i="2"/>
  <c r="I1270" i="2" l="1"/>
  <c r="D1271" i="2"/>
  <c r="E1271" i="2" s="1"/>
  <c r="T1271" i="2" s="1"/>
  <c r="K1270" i="2"/>
  <c r="V1271" i="2" l="1"/>
  <c r="N1270" i="2"/>
  <c r="O1270" i="2" l="1"/>
  <c r="R1270" i="2" s="1"/>
  <c r="M1270" i="2"/>
  <c r="P1270" i="2" s="1"/>
  <c r="AG1270" i="2" l="1"/>
  <c r="Q1270" i="2"/>
  <c r="S1270" i="2" s="1"/>
  <c r="Y1270" i="2" s="1"/>
  <c r="AA1270" i="2" s="1"/>
  <c r="Z1270" i="2" l="1"/>
  <c r="AB1271" i="2"/>
  <c r="B1272" i="2" l="1"/>
  <c r="H1272" i="2" s="1"/>
  <c r="G1271" i="2"/>
  <c r="F1271" i="2"/>
  <c r="AC1271" i="2"/>
  <c r="AE1271" i="2"/>
  <c r="U1271" i="2"/>
  <c r="J1271" i="2" l="1"/>
  <c r="W1271" i="2"/>
  <c r="X1271" i="2" s="1"/>
  <c r="AD1271" i="2"/>
  <c r="L1271" i="2" s="1"/>
  <c r="AF1272" i="2"/>
  <c r="C1272" i="2"/>
  <c r="K1271" i="2" l="1"/>
  <c r="D1272" i="2"/>
  <c r="E1272" i="2" s="1"/>
  <c r="T1272" i="2" s="1"/>
  <c r="I1271" i="2"/>
  <c r="N1271" i="2" l="1"/>
  <c r="V1272" i="2"/>
  <c r="O1271" i="2" l="1"/>
  <c r="R1271" i="2" s="1"/>
  <c r="M1271" i="2"/>
  <c r="P1271" i="2" s="1"/>
  <c r="AG1271" i="2" l="1"/>
  <c r="Q1271" i="2"/>
  <c r="S1271" i="2" s="1"/>
  <c r="Y1271" i="2" s="1"/>
  <c r="AA1271" i="2" s="1"/>
  <c r="Z1271" i="2" l="1"/>
  <c r="AB1272" i="2"/>
  <c r="B1273" i="2" l="1"/>
  <c r="H1273" i="2" s="1"/>
  <c r="G1272" i="2"/>
  <c r="F1272" i="2"/>
  <c r="AE1272" i="2"/>
  <c r="AC1272" i="2"/>
  <c r="U1272" i="2"/>
  <c r="AD1272" i="2" l="1"/>
  <c r="L1272" i="2" s="1"/>
  <c r="J1272" i="2"/>
  <c r="W1272" i="2"/>
  <c r="X1272" i="2" s="1"/>
  <c r="AF1273" i="2"/>
  <c r="C1273" i="2"/>
  <c r="K1272" i="2" l="1"/>
  <c r="D1273" i="2"/>
  <c r="E1273" i="2" s="1"/>
  <c r="T1273" i="2" s="1"/>
  <c r="I1272" i="2"/>
  <c r="N1272" i="2" l="1"/>
  <c r="V1273" i="2"/>
  <c r="O1272" i="2" l="1"/>
  <c r="Q1272" i="2" s="1"/>
  <c r="M1272" i="2"/>
  <c r="P1272" i="2" s="1"/>
  <c r="AG1272" i="2" l="1"/>
  <c r="R1272" i="2"/>
  <c r="S1272" i="2" s="1"/>
  <c r="Y1272" i="2" s="1"/>
  <c r="AA1272" i="2" s="1"/>
  <c r="Z1272" i="2" l="1"/>
  <c r="AB1273" i="2"/>
  <c r="B1274" i="2" l="1"/>
  <c r="H1274" i="2" s="1"/>
  <c r="G1273" i="2"/>
  <c r="F1273" i="2"/>
  <c r="AE1273" i="2"/>
  <c r="AC1273" i="2"/>
  <c r="U1273" i="2"/>
  <c r="J1273" i="2" l="1"/>
  <c r="W1273" i="2"/>
  <c r="X1273" i="2" s="1"/>
  <c r="AD1273" i="2"/>
  <c r="L1273" i="2" s="1"/>
  <c r="AF1274" i="2"/>
  <c r="C1274" i="2"/>
  <c r="I1273" i="2" l="1"/>
  <c r="D1274" i="2"/>
  <c r="E1274" i="2" s="1"/>
  <c r="T1274" i="2" s="1"/>
  <c r="K1273" i="2"/>
  <c r="V1274" i="2" l="1"/>
  <c r="N1273" i="2"/>
  <c r="O1273" i="2" l="1"/>
  <c r="R1273" i="2" s="1"/>
  <c r="M1273" i="2"/>
  <c r="P1273" i="2" s="1"/>
  <c r="AG1273" i="2" l="1"/>
  <c r="Q1273" i="2"/>
  <c r="S1273" i="2" s="1"/>
  <c r="Y1273" i="2" s="1"/>
  <c r="AA1273" i="2" s="1"/>
  <c r="Z1273" i="2" l="1"/>
  <c r="AB1274" i="2"/>
  <c r="B1275" i="2" l="1"/>
  <c r="H1275" i="2" s="1"/>
  <c r="G1274" i="2"/>
  <c r="F1274" i="2"/>
  <c r="AE1274" i="2"/>
  <c r="AC1274" i="2"/>
  <c r="U1274" i="2"/>
  <c r="AD1274" i="2" l="1"/>
  <c r="L1274" i="2" s="1"/>
  <c r="J1274" i="2"/>
  <c r="W1274" i="2"/>
  <c r="X1274" i="2" s="1"/>
  <c r="AF1275" i="2"/>
  <c r="C1275" i="2"/>
  <c r="K1274" i="2" l="1"/>
  <c r="I1274" i="2"/>
  <c r="D1275" i="2"/>
  <c r="E1275" i="2" s="1"/>
  <c r="T1275" i="2" s="1"/>
  <c r="N1274" i="2" l="1"/>
  <c r="V1275" i="2"/>
  <c r="O1274" i="2" l="1"/>
  <c r="R1274" i="2" s="1"/>
  <c r="M1274" i="2"/>
  <c r="P1274" i="2" s="1"/>
  <c r="AG1274" i="2" l="1"/>
  <c r="Q1274" i="2"/>
  <c r="S1274" i="2" s="1"/>
  <c r="Z1274" i="2" s="1"/>
  <c r="Y1274" i="2" l="1"/>
  <c r="AA1274" i="2" s="1"/>
  <c r="AB1275" i="2" s="1"/>
  <c r="B1276" i="2" l="1"/>
  <c r="H1276" i="2" s="1"/>
  <c r="G1275" i="2"/>
  <c r="F1275" i="2"/>
  <c r="AE1275" i="2"/>
  <c r="AC1275" i="2"/>
  <c r="U1275" i="2"/>
  <c r="AD1275" i="2" l="1"/>
  <c r="L1275" i="2" s="1"/>
  <c r="J1275" i="2"/>
  <c r="W1275" i="2"/>
  <c r="X1275" i="2" s="1"/>
  <c r="AF1276" i="2"/>
  <c r="C1276" i="2"/>
  <c r="I1275" i="2" l="1"/>
  <c r="D1276" i="2"/>
  <c r="E1276" i="2" s="1"/>
  <c r="T1276" i="2" s="1"/>
  <c r="K1275" i="2"/>
  <c r="V1276" i="2" l="1"/>
  <c r="N1275" i="2"/>
  <c r="O1275" i="2" l="1"/>
  <c r="Q1275" i="2" s="1"/>
  <c r="M1275" i="2"/>
  <c r="P1275" i="2" s="1"/>
  <c r="AG1275" i="2" l="1"/>
  <c r="R1275" i="2"/>
  <c r="S1275" i="2" s="1"/>
  <c r="Z1275" i="2" s="1"/>
  <c r="Y1275" i="2" l="1"/>
  <c r="AA1275" i="2" s="1"/>
  <c r="AB1276" i="2" l="1"/>
  <c r="B1277" i="2" l="1"/>
  <c r="H1277" i="2" s="1"/>
  <c r="G1276" i="2"/>
  <c r="AC1276" i="2"/>
  <c r="AE1276" i="2"/>
  <c r="AD1276" i="2" s="1"/>
  <c r="L1276" i="2" s="1"/>
  <c r="F1276" i="2"/>
  <c r="J1276" i="2" s="1"/>
  <c r="U1276" i="2"/>
  <c r="AF1277" i="2"/>
  <c r="C1277" i="2"/>
  <c r="W1276" i="2" l="1"/>
  <c r="X1276" i="2" s="1"/>
  <c r="K1276" i="2"/>
  <c r="I1276" i="2"/>
  <c r="D1277" i="2"/>
  <c r="E1277" i="2" s="1"/>
  <c r="T1277" i="2" s="1"/>
  <c r="N1276" i="2" l="1"/>
  <c r="M1276" i="2" s="1"/>
  <c r="P1276" i="2" s="1"/>
  <c r="V1277" i="2"/>
  <c r="AG1276" i="2" l="1"/>
  <c r="O1276" i="2"/>
  <c r="Q1276" i="2" s="1"/>
  <c r="R1276" i="2" l="1"/>
  <c r="S1276" i="2" s="1"/>
  <c r="Y1276" i="2" l="1"/>
  <c r="AA1276" i="2" s="1"/>
  <c r="AB1277" i="2" s="1"/>
  <c r="Z1276" i="2"/>
  <c r="B1278" i="2" l="1"/>
  <c r="H1278" i="2" s="1"/>
  <c r="G1277" i="2"/>
  <c r="F1277" i="2"/>
  <c r="AC1277" i="2"/>
  <c r="AE1277" i="2"/>
  <c r="U1277" i="2"/>
  <c r="J1277" i="2" l="1"/>
  <c r="W1277" i="2"/>
  <c r="X1277" i="2" s="1"/>
  <c r="AF1278" i="2"/>
  <c r="C1278" i="2"/>
  <c r="AD1277" i="2"/>
  <c r="L1277" i="2" s="1"/>
  <c r="I1277" i="2" l="1"/>
  <c r="D1278" i="2"/>
  <c r="E1278" i="2" s="1"/>
  <c r="T1278" i="2" s="1"/>
  <c r="K1277" i="2"/>
  <c r="V1278" i="2" l="1"/>
  <c r="N1277" i="2"/>
  <c r="O1277" i="2" l="1"/>
  <c r="R1277" i="2" s="1"/>
  <c r="M1277" i="2"/>
  <c r="P1277" i="2" s="1"/>
  <c r="AG1277" i="2" l="1"/>
  <c r="Q1277" i="2"/>
  <c r="S1277" i="2" s="1"/>
  <c r="Y1277" i="2" s="1"/>
  <c r="AA1277" i="2" s="1"/>
  <c r="Z1277" i="2" l="1"/>
  <c r="AB1278" i="2"/>
  <c r="B1279" i="2" l="1"/>
  <c r="H1279" i="2" s="1"/>
  <c r="G1278" i="2"/>
  <c r="F1278" i="2"/>
  <c r="AE1278" i="2"/>
  <c r="AC1278" i="2"/>
  <c r="U1278" i="2"/>
  <c r="AD1278" i="2" l="1"/>
  <c r="L1278" i="2" s="1"/>
  <c r="J1278" i="2"/>
  <c r="W1278" i="2"/>
  <c r="X1278" i="2" s="1"/>
  <c r="C1279" i="2"/>
  <c r="AF1279" i="2"/>
  <c r="I1278" i="2" l="1"/>
  <c r="D1279" i="2"/>
  <c r="E1279" i="2" s="1"/>
  <c r="T1279" i="2" s="1"/>
  <c r="K1278" i="2"/>
  <c r="V1279" i="2" l="1"/>
  <c r="N1278" i="2"/>
  <c r="O1278" i="2" l="1"/>
  <c r="R1278" i="2" s="1"/>
  <c r="M1278" i="2"/>
  <c r="P1278" i="2" s="1"/>
  <c r="AG1278" i="2" l="1"/>
  <c r="Q1278" i="2"/>
  <c r="S1278" i="2" s="1"/>
  <c r="Y1278" i="2" s="1"/>
  <c r="AA1278" i="2" s="1"/>
  <c r="Z1278" i="2" l="1"/>
  <c r="AB1279" i="2"/>
  <c r="B1280" i="2" l="1"/>
  <c r="H1280" i="2" s="1"/>
  <c r="G1279" i="2"/>
  <c r="F1279" i="2"/>
  <c r="AE1279" i="2"/>
  <c r="AC1279" i="2"/>
  <c r="U1279" i="2"/>
  <c r="AF1280" i="2" l="1"/>
  <c r="C1280" i="2"/>
  <c r="AD1279" i="2"/>
  <c r="L1279" i="2" s="1"/>
  <c r="J1279" i="2"/>
  <c r="W1279" i="2"/>
  <c r="X1279" i="2" s="1"/>
  <c r="K1279" i="2" l="1"/>
  <c r="D1280" i="2"/>
  <c r="E1280" i="2" s="1"/>
  <c r="T1280" i="2" s="1"/>
  <c r="I1279" i="2"/>
  <c r="N1279" i="2" l="1"/>
  <c r="M1279" i="2" s="1"/>
  <c r="P1279" i="2" s="1"/>
  <c r="V1280" i="2"/>
  <c r="AG1279" i="2" l="1"/>
  <c r="O1279" i="2"/>
  <c r="R1279" i="2" s="1"/>
  <c r="Q1279" i="2" l="1"/>
  <c r="S1279" i="2" s="1"/>
  <c r="Y1279" i="2" s="1"/>
  <c r="AA1279" i="2" s="1"/>
  <c r="Z1279" i="2" l="1"/>
  <c r="AB1280" i="2"/>
  <c r="B1281" i="2" l="1"/>
  <c r="H1281" i="2" s="1"/>
  <c r="G1280" i="2"/>
  <c r="F1280" i="2"/>
  <c r="AC1280" i="2"/>
  <c r="AE1280" i="2"/>
  <c r="U1280" i="2"/>
  <c r="J1280" i="2" l="1"/>
  <c r="W1280" i="2"/>
  <c r="X1280" i="2" s="1"/>
  <c r="AD1280" i="2"/>
  <c r="L1280" i="2" s="1"/>
  <c r="AF1281" i="2"/>
  <c r="C1281" i="2"/>
  <c r="K1280" i="2" l="1"/>
  <c r="D1281" i="2"/>
  <c r="E1281" i="2" s="1"/>
  <c r="T1281" i="2" s="1"/>
  <c r="I1280" i="2"/>
  <c r="N1280" i="2" l="1"/>
  <c r="V1281" i="2"/>
  <c r="O1280" i="2" l="1"/>
  <c r="R1280" i="2" s="1"/>
  <c r="M1280" i="2"/>
  <c r="P1280" i="2" s="1"/>
  <c r="AG1280" i="2" l="1"/>
  <c r="Q1280" i="2"/>
  <c r="S1280" i="2" s="1"/>
  <c r="Y1280" i="2" s="1"/>
  <c r="AA1280" i="2" s="1"/>
  <c r="Z1280" i="2" l="1"/>
  <c r="AB1281" i="2"/>
  <c r="B1282" i="2" l="1"/>
  <c r="H1282" i="2" s="1"/>
  <c r="G1281" i="2"/>
  <c r="F1281" i="2"/>
  <c r="AE1281" i="2"/>
  <c r="AC1281" i="2"/>
  <c r="U1281" i="2"/>
  <c r="J1281" i="2" l="1"/>
  <c r="W1281" i="2"/>
  <c r="X1281" i="2" s="1"/>
  <c r="AD1281" i="2"/>
  <c r="L1281" i="2" s="1"/>
  <c r="C1282" i="2"/>
  <c r="AF1282" i="2"/>
  <c r="K1281" i="2" l="1"/>
  <c r="I1281" i="2"/>
  <c r="D1282" i="2"/>
  <c r="E1282" i="2" s="1"/>
  <c r="T1282" i="2" s="1"/>
  <c r="N1281" i="2" l="1"/>
  <c r="V1282" i="2"/>
  <c r="O1281" i="2" l="1"/>
  <c r="R1281" i="2" s="1"/>
  <c r="M1281" i="2"/>
  <c r="P1281" i="2" s="1"/>
  <c r="AG1281" i="2" l="1"/>
  <c r="Q1281" i="2"/>
  <c r="S1281" i="2" s="1"/>
  <c r="Y1281" i="2" s="1"/>
  <c r="AA1281" i="2" s="1"/>
  <c r="Z1281" i="2" l="1"/>
  <c r="AB1282" i="2"/>
  <c r="B1283" i="2" l="1"/>
  <c r="H1283" i="2" s="1"/>
  <c r="G1282" i="2"/>
  <c r="F1282" i="2"/>
  <c r="AC1282" i="2"/>
  <c r="AE1282" i="2"/>
  <c r="U1282" i="2"/>
  <c r="J1282" i="2" l="1"/>
  <c r="W1282" i="2"/>
  <c r="X1282" i="2" s="1"/>
  <c r="AD1282" i="2"/>
  <c r="L1282" i="2" s="1"/>
  <c r="AF1283" i="2"/>
  <c r="C1283" i="2"/>
  <c r="I1282" i="2" l="1"/>
  <c r="D1283" i="2"/>
  <c r="E1283" i="2" s="1"/>
  <c r="T1283" i="2" s="1"/>
  <c r="K1282" i="2"/>
  <c r="V1283" i="2" l="1"/>
  <c r="N1282" i="2"/>
  <c r="O1282" i="2" l="1"/>
  <c r="R1282" i="2" s="1"/>
  <c r="M1282" i="2"/>
  <c r="P1282" i="2" s="1"/>
  <c r="AG1282" i="2" l="1"/>
  <c r="Q1282" i="2"/>
  <c r="S1282" i="2" s="1"/>
  <c r="Y1282" i="2" s="1"/>
  <c r="AA1282" i="2" s="1"/>
  <c r="Z1282" i="2" l="1"/>
  <c r="AB1283" i="2"/>
  <c r="B1284" i="2" l="1"/>
  <c r="H1284" i="2" s="1"/>
  <c r="G1283" i="2"/>
  <c r="F1283" i="2"/>
  <c r="AE1283" i="2"/>
  <c r="AC1283" i="2"/>
  <c r="U1283" i="2"/>
  <c r="C1284" i="2" l="1"/>
  <c r="AF1284" i="2"/>
  <c r="AD1283" i="2"/>
  <c r="L1283" i="2" s="1"/>
  <c r="J1283" i="2"/>
  <c r="W1283" i="2"/>
  <c r="X1283" i="2" s="1"/>
  <c r="K1283" i="2" l="1"/>
  <c r="I1283" i="2"/>
  <c r="D1284" i="2"/>
  <c r="E1284" i="2" s="1"/>
  <c r="T1284" i="2" s="1"/>
  <c r="N1283" i="2" l="1"/>
  <c r="V1284" i="2"/>
  <c r="O1283" i="2" l="1"/>
  <c r="R1283" i="2" s="1"/>
  <c r="M1283" i="2"/>
  <c r="P1283" i="2" s="1"/>
  <c r="AG1283" i="2" l="1"/>
  <c r="Q1283" i="2"/>
  <c r="S1283" i="2" s="1"/>
  <c r="Y1283" i="2" s="1"/>
  <c r="AA1283" i="2" s="1"/>
  <c r="Z1283" i="2" l="1"/>
  <c r="AB1284" i="2"/>
  <c r="B1285" i="2" l="1"/>
  <c r="H1285" i="2" s="1"/>
  <c r="G1284" i="2"/>
  <c r="F1284" i="2"/>
  <c r="AC1284" i="2"/>
  <c r="AE1284" i="2"/>
  <c r="U1284" i="2"/>
  <c r="AF1285" i="2" l="1"/>
  <c r="C1285" i="2"/>
  <c r="AD1284" i="2"/>
  <c r="L1284" i="2" s="1"/>
  <c r="J1284" i="2"/>
  <c r="W1284" i="2"/>
  <c r="X1284" i="2" s="1"/>
  <c r="K1284" i="2" l="1"/>
  <c r="I1284" i="2"/>
  <c r="D1285" i="2"/>
  <c r="E1285" i="2" s="1"/>
  <c r="T1285" i="2" s="1"/>
  <c r="N1284" i="2" l="1"/>
  <c r="V1285" i="2"/>
  <c r="O1284" i="2" l="1"/>
  <c r="R1284" i="2" s="1"/>
  <c r="M1284" i="2"/>
  <c r="P1284" i="2" s="1"/>
  <c r="AG1284" i="2" l="1"/>
  <c r="Q1284" i="2"/>
  <c r="S1284" i="2" s="1"/>
  <c r="Y1284" i="2" s="1"/>
  <c r="AA1284" i="2" s="1"/>
  <c r="Z1284" i="2" l="1"/>
  <c r="AB1285" i="2"/>
  <c r="B1286" i="2" l="1"/>
  <c r="H1286" i="2" s="1"/>
  <c r="G1285" i="2"/>
  <c r="F1285" i="2"/>
  <c r="AE1285" i="2"/>
  <c r="AC1285" i="2"/>
  <c r="U1285" i="2"/>
  <c r="AD1285" i="2" l="1"/>
  <c r="L1285" i="2" s="1"/>
  <c r="AF1286" i="2"/>
  <c r="C1286" i="2"/>
  <c r="J1285" i="2"/>
  <c r="W1285" i="2"/>
  <c r="X1285" i="2" s="1"/>
  <c r="I1285" i="2" l="1"/>
  <c r="K1285" i="2"/>
  <c r="D1286" i="2"/>
  <c r="E1286" i="2" s="1"/>
  <c r="T1286" i="2" s="1"/>
  <c r="V1286" i="2" l="1"/>
  <c r="N1285" i="2"/>
  <c r="O1285" i="2" l="1"/>
  <c r="R1285" i="2" s="1"/>
  <c r="M1285" i="2"/>
  <c r="P1285" i="2" s="1"/>
  <c r="AG1285" i="2" l="1"/>
  <c r="Q1285" i="2"/>
  <c r="S1285" i="2" s="1"/>
  <c r="Y1285" i="2" s="1"/>
  <c r="AA1285" i="2" s="1"/>
  <c r="Z1285" i="2" l="1"/>
  <c r="AB1286" i="2"/>
  <c r="B1287" i="2" l="1"/>
  <c r="H1287" i="2" s="1"/>
  <c r="G1286" i="2"/>
  <c r="F1286" i="2"/>
  <c r="AE1286" i="2"/>
  <c r="AC1286" i="2"/>
  <c r="U1286" i="2"/>
  <c r="C1287" i="2" l="1"/>
  <c r="AF1287" i="2"/>
  <c r="J1286" i="2"/>
  <c r="W1286" i="2"/>
  <c r="X1286" i="2" s="1"/>
  <c r="AD1286" i="2"/>
  <c r="L1286" i="2" s="1"/>
  <c r="K1286" i="2" l="1"/>
  <c r="D1287" i="2"/>
  <c r="E1287" i="2" s="1"/>
  <c r="T1287" i="2" s="1"/>
  <c r="I1286" i="2"/>
  <c r="N1286" i="2" l="1"/>
  <c r="V1287" i="2"/>
  <c r="O1286" i="2" l="1"/>
  <c r="R1286" i="2" s="1"/>
  <c r="M1286" i="2"/>
  <c r="P1286" i="2" s="1"/>
  <c r="AG1286" i="2" l="1"/>
  <c r="Q1286" i="2"/>
  <c r="S1286" i="2" s="1"/>
  <c r="Y1286" i="2" s="1"/>
  <c r="AA1286" i="2" s="1"/>
  <c r="Z1286" i="2" l="1"/>
  <c r="AB1287" i="2"/>
  <c r="B1288" i="2" l="1"/>
  <c r="H1288" i="2" s="1"/>
  <c r="G1287" i="2"/>
  <c r="F1287" i="2"/>
  <c r="AC1287" i="2"/>
  <c r="AE1287" i="2"/>
  <c r="U1287" i="2"/>
  <c r="AF1288" i="2" l="1"/>
  <c r="C1288" i="2"/>
  <c r="AD1287" i="2"/>
  <c r="L1287" i="2" s="1"/>
  <c r="J1287" i="2"/>
  <c r="W1287" i="2"/>
  <c r="X1287" i="2" s="1"/>
  <c r="I1287" i="2" l="1"/>
  <c r="K1287" i="2"/>
  <c r="D1288" i="2"/>
  <c r="E1288" i="2" s="1"/>
  <c r="T1288" i="2" s="1"/>
  <c r="V1288" i="2" l="1"/>
  <c r="N1287" i="2"/>
  <c r="O1287" i="2" l="1"/>
  <c r="R1287" i="2" s="1"/>
  <c r="M1287" i="2"/>
  <c r="P1287" i="2" s="1"/>
  <c r="AG1287" i="2" l="1"/>
  <c r="Q1287" i="2"/>
  <c r="S1287" i="2" s="1"/>
  <c r="Y1287" i="2" s="1"/>
  <c r="AA1287" i="2" s="1"/>
  <c r="Z1287" i="2" l="1"/>
  <c r="AB1288" i="2"/>
  <c r="B1289" i="2" l="1"/>
  <c r="H1289" i="2" s="1"/>
  <c r="G1288" i="2"/>
  <c r="F1288" i="2"/>
  <c r="AC1288" i="2"/>
  <c r="AE1288" i="2"/>
  <c r="U1288" i="2"/>
  <c r="J1288" i="2" l="1"/>
  <c r="W1288" i="2"/>
  <c r="X1288" i="2" s="1"/>
  <c r="AD1288" i="2"/>
  <c r="L1288" i="2" s="1"/>
  <c r="AF1289" i="2"/>
  <c r="C1289" i="2"/>
  <c r="I1288" i="2" l="1"/>
  <c r="D1289" i="2"/>
  <c r="E1289" i="2" s="1"/>
  <c r="T1289" i="2" s="1"/>
  <c r="K1288" i="2"/>
  <c r="V1289" i="2" l="1"/>
  <c r="N1288" i="2"/>
  <c r="O1288" i="2" l="1"/>
  <c r="R1288" i="2" s="1"/>
  <c r="M1288" i="2"/>
  <c r="P1288" i="2" s="1"/>
  <c r="AG1288" i="2" l="1"/>
  <c r="Q1288" i="2"/>
  <c r="S1288" i="2" s="1"/>
  <c r="Y1288" i="2" s="1"/>
  <c r="AA1288" i="2" s="1"/>
  <c r="Z1288" i="2" l="1"/>
  <c r="AB1289" i="2"/>
  <c r="B1290" i="2" l="1"/>
  <c r="H1290" i="2" s="1"/>
  <c r="G1289" i="2"/>
  <c r="F1289" i="2"/>
  <c r="AE1289" i="2"/>
  <c r="AC1289" i="2"/>
  <c r="U1289" i="2"/>
  <c r="J1289" i="2" l="1"/>
  <c r="W1289" i="2"/>
  <c r="X1289" i="2" s="1"/>
  <c r="AD1289" i="2"/>
  <c r="L1289" i="2" s="1"/>
  <c r="AF1290" i="2"/>
  <c r="C1290" i="2"/>
  <c r="K1289" i="2" l="1"/>
  <c r="D1290" i="2"/>
  <c r="E1290" i="2" s="1"/>
  <c r="T1290" i="2" s="1"/>
  <c r="I1289" i="2"/>
  <c r="N1289" i="2" l="1"/>
  <c r="M1289" i="2" s="1"/>
  <c r="P1289" i="2" s="1"/>
  <c r="V1290" i="2"/>
  <c r="AG1289" i="2" l="1"/>
  <c r="O1289" i="2"/>
  <c r="R1289" i="2" s="1"/>
  <c r="Q1289" i="2" l="1"/>
  <c r="S1289" i="2" s="1"/>
  <c r="Y1289" i="2" l="1"/>
  <c r="AA1289" i="2" s="1"/>
  <c r="Z1289" i="2"/>
  <c r="AB1290" i="2" l="1"/>
  <c r="B1291" i="2" l="1"/>
  <c r="H1291" i="2" s="1"/>
  <c r="G1290" i="2"/>
  <c r="AC1290" i="2"/>
  <c r="AE1290" i="2"/>
  <c r="AD1290" i="2" s="1"/>
  <c r="L1290" i="2" s="1"/>
  <c r="F1290" i="2"/>
  <c r="J1290" i="2" s="1"/>
  <c r="U1290" i="2"/>
  <c r="W1290" i="2" l="1"/>
  <c r="X1290" i="2" s="1"/>
  <c r="C1291" i="2"/>
  <c r="D1291" i="2" s="1"/>
  <c r="E1291" i="2" s="1"/>
  <c r="T1291" i="2" s="1"/>
  <c r="AF1291" i="2"/>
  <c r="K1290" i="2"/>
  <c r="I1290" i="2"/>
  <c r="N1290" i="2" l="1"/>
  <c r="V1291" i="2"/>
  <c r="O1290" i="2" l="1"/>
  <c r="R1290" i="2" s="1"/>
  <c r="M1290" i="2"/>
  <c r="P1290" i="2" s="1"/>
  <c r="AG1290" i="2" l="1"/>
  <c r="Q1290" i="2"/>
  <c r="S1290" i="2" s="1"/>
  <c r="Y1290" i="2" s="1"/>
  <c r="AA1290" i="2" s="1"/>
  <c r="Z1290" i="2" l="1"/>
  <c r="AB1291" i="2"/>
  <c r="B1292" i="2" l="1"/>
  <c r="H1292" i="2" s="1"/>
  <c r="G1291" i="2"/>
  <c r="F1291" i="2"/>
  <c r="AE1291" i="2"/>
  <c r="AC1291" i="2"/>
  <c r="U1291" i="2"/>
  <c r="AD1291" i="2" l="1"/>
  <c r="L1291" i="2" s="1"/>
  <c r="AF1292" i="2"/>
  <c r="C1292" i="2"/>
  <c r="J1291" i="2"/>
  <c r="W1291" i="2"/>
  <c r="X1291" i="2" s="1"/>
  <c r="I1291" i="2" l="1"/>
  <c r="K1291" i="2"/>
  <c r="D1292" i="2"/>
  <c r="E1292" i="2" s="1"/>
  <c r="T1292" i="2" s="1"/>
  <c r="N1291" i="2" l="1"/>
  <c r="M1291" i="2" s="1"/>
  <c r="P1291" i="2" s="1"/>
  <c r="V1292" i="2"/>
  <c r="AG1291" i="2" l="1"/>
  <c r="O1291" i="2"/>
  <c r="Q1291" i="2" s="1"/>
  <c r="R1291" i="2" l="1"/>
  <c r="S1291" i="2" s="1"/>
  <c r="Y1291" i="2" l="1"/>
  <c r="AA1291" i="2" s="1"/>
  <c r="AB1292" i="2" s="1"/>
  <c r="Z1291" i="2"/>
  <c r="B1293" i="2" l="1"/>
  <c r="H1293" i="2" s="1"/>
  <c r="G1292" i="2"/>
  <c r="F1292" i="2"/>
  <c r="AE1292" i="2"/>
  <c r="AC1292" i="2"/>
  <c r="U1292" i="2"/>
  <c r="J1292" i="2" l="1"/>
  <c r="W1292" i="2"/>
  <c r="X1292" i="2" s="1"/>
  <c r="AD1292" i="2"/>
  <c r="L1292" i="2" s="1"/>
  <c r="AF1293" i="2"/>
  <c r="C1293" i="2"/>
  <c r="D1293" i="2" l="1"/>
  <c r="E1293" i="2" s="1"/>
  <c r="T1293" i="2" s="1"/>
  <c r="K1292" i="2"/>
  <c r="I1292" i="2"/>
  <c r="N1292" i="2" l="1"/>
  <c r="V1293" i="2"/>
  <c r="O1292" i="2" l="1"/>
  <c r="R1292" i="2" s="1"/>
  <c r="M1292" i="2"/>
  <c r="P1292" i="2" s="1"/>
  <c r="AG1292" i="2" l="1"/>
  <c r="Q1292" i="2"/>
  <c r="S1292" i="2" s="1"/>
  <c r="Y1292" i="2" s="1"/>
  <c r="AA1292" i="2" s="1"/>
  <c r="Z1292" i="2" l="1"/>
  <c r="AB1293" i="2"/>
  <c r="B1294" i="2" l="1"/>
  <c r="H1294" i="2" s="1"/>
  <c r="G1293" i="2"/>
  <c r="F1293" i="2"/>
  <c r="AE1293" i="2"/>
  <c r="AC1293" i="2"/>
  <c r="U1293" i="2"/>
  <c r="AD1293" i="2" l="1"/>
  <c r="L1293" i="2" s="1"/>
  <c r="AF1294" i="2"/>
  <c r="C1294" i="2"/>
  <c r="J1293" i="2"/>
  <c r="W1293" i="2"/>
  <c r="X1293" i="2" s="1"/>
  <c r="K1293" i="2" l="1"/>
  <c r="I1293" i="2"/>
  <c r="D1294" i="2"/>
  <c r="E1294" i="2" s="1"/>
  <c r="T1294" i="2" s="1"/>
  <c r="N1293" i="2" l="1"/>
  <c r="V1294" i="2"/>
  <c r="O1293" i="2" l="1"/>
  <c r="Q1293" i="2" s="1"/>
  <c r="M1293" i="2"/>
  <c r="P1293" i="2" s="1"/>
  <c r="AG1293" i="2" l="1"/>
  <c r="R1293" i="2"/>
  <c r="S1293" i="2" s="1"/>
  <c r="Z1293" i="2" s="1"/>
  <c r="Y1293" i="2" l="1"/>
  <c r="AA1293" i="2" s="1"/>
  <c r="AB1294" i="2" l="1"/>
  <c r="G1294" i="2" s="1"/>
  <c r="AC1294" i="2" l="1"/>
  <c r="B1295" i="2"/>
  <c r="H1295" i="2" s="1"/>
  <c r="AE1294" i="2"/>
  <c r="AD1294" i="2" s="1"/>
  <c r="L1294" i="2" s="1"/>
  <c r="U1294" i="2"/>
  <c r="F1294" i="2"/>
  <c r="J1294" i="2" s="1"/>
  <c r="W1294" i="2" l="1"/>
  <c r="X1294" i="2" s="1"/>
  <c r="C1295" i="2"/>
  <c r="D1295" i="2" s="1"/>
  <c r="E1295" i="2" s="1"/>
  <c r="T1295" i="2" s="1"/>
  <c r="AF1295" i="2"/>
  <c r="K1294" i="2"/>
  <c r="I1294" i="2"/>
  <c r="N1294" i="2" l="1"/>
  <c r="M1294" i="2" s="1"/>
  <c r="P1294" i="2" s="1"/>
  <c r="V1295" i="2"/>
  <c r="AG1294" i="2" l="1"/>
  <c r="O1294" i="2"/>
  <c r="R1294" i="2" s="1"/>
  <c r="Q1294" i="2" l="1"/>
  <c r="S1294" i="2" s="1"/>
  <c r="Z1294" i="2" s="1"/>
  <c r="Y1294" i="2" l="1"/>
  <c r="AA1294" i="2" s="1"/>
  <c r="AB1295" i="2" l="1"/>
  <c r="B1296" i="2" l="1"/>
  <c r="H1296" i="2" s="1"/>
  <c r="G1295" i="2"/>
  <c r="U1295" i="2"/>
  <c r="AC1295" i="2"/>
  <c r="AE1295" i="2"/>
  <c r="AD1295" i="2" s="1"/>
  <c r="L1295" i="2" s="1"/>
  <c r="F1295" i="2"/>
  <c r="C1296" i="2"/>
  <c r="AF1296" i="2" l="1"/>
  <c r="W1295" i="2"/>
  <c r="X1295" i="2" s="1"/>
  <c r="J1295" i="2"/>
  <c r="D1296" i="2"/>
  <c r="E1296" i="2" s="1"/>
  <c r="T1296" i="2" s="1"/>
  <c r="I1295" i="2" l="1"/>
  <c r="K1295" i="2"/>
  <c r="V1296" i="2"/>
  <c r="N1295" i="2" l="1"/>
  <c r="M1295" i="2" s="1"/>
  <c r="P1295" i="2" s="1"/>
  <c r="AG1295" i="2" l="1"/>
  <c r="O1295" i="2"/>
  <c r="R1295" i="2" s="1"/>
  <c r="Q1295" i="2" l="1"/>
  <c r="S1295" i="2" s="1"/>
  <c r="Y1295" i="2" s="1"/>
  <c r="AA1295" i="2" s="1"/>
  <c r="AB1296" i="2" s="1"/>
  <c r="B1297" i="2" l="1"/>
  <c r="H1297" i="2" s="1"/>
  <c r="G1296" i="2"/>
  <c r="Z1295" i="2"/>
  <c r="F1296" i="2"/>
  <c r="AC1296" i="2"/>
  <c r="AE1296" i="2"/>
  <c r="U1296" i="2"/>
  <c r="J1296" i="2" l="1"/>
  <c r="W1296" i="2"/>
  <c r="X1296" i="2" s="1"/>
  <c r="AF1297" i="2"/>
  <c r="C1297" i="2"/>
  <c r="AD1296" i="2"/>
  <c r="L1296" i="2" s="1"/>
  <c r="I1296" i="2" l="1"/>
  <c r="D1297" i="2"/>
  <c r="E1297" i="2" s="1"/>
  <c r="T1297" i="2" s="1"/>
  <c r="K1296" i="2"/>
  <c r="V1297" i="2" l="1"/>
  <c r="N1296" i="2"/>
  <c r="O1296" i="2" l="1"/>
  <c r="R1296" i="2" s="1"/>
  <c r="M1296" i="2"/>
  <c r="P1296" i="2" s="1"/>
  <c r="AG1296" i="2" l="1"/>
  <c r="Q1296" i="2"/>
  <c r="S1296" i="2" s="1"/>
  <c r="Y1296" i="2" s="1"/>
  <c r="AA1296" i="2" s="1"/>
  <c r="Z1296" i="2" l="1"/>
  <c r="AB1297" i="2"/>
  <c r="B1298" i="2" l="1"/>
  <c r="H1298" i="2" s="1"/>
  <c r="G1297" i="2"/>
  <c r="F1297" i="2"/>
  <c r="AE1297" i="2"/>
  <c r="AC1297" i="2"/>
  <c r="U1297" i="2"/>
  <c r="AF1298" i="2" l="1"/>
  <c r="C1298" i="2"/>
  <c r="J1297" i="2"/>
  <c r="W1297" i="2"/>
  <c r="X1297" i="2" s="1"/>
  <c r="AD1297" i="2"/>
  <c r="L1297" i="2" s="1"/>
  <c r="D1298" i="2" l="1"/>
  <c r="E1298" i="2" s="1"/>
  <c r="T1298" i="2" s="1"/>
  <c r="K1297" i="2"/>
  <c r="I1297" i="2"/>
  <c r="N1297" i="2" l="1"/>
  <c r="M1297" i="2" s="1"/>
  <c r="P1297" i="2" s="1"/>
  <c r="V1298" i="2"/>
  <c r="AG1297" i="2" l="1"/>
  <c r="O1297" i="2"/>
  <c r="Q1297" i="2" s="1"/>
  <c r="R1297" i="2" l="1"/>
  <c r="S1297" i="2" s="1"/>
  <c r="Y1297" i="2" l="1"/>
  <c r="AA1297" i="2" s="1"/>
  <c r="AB1298" i="2" s="1"/>
  <c r="Z1297" i="2"/>
  <c r="B1299" i="2" l="1"/>
  <c r="H1299" i="2" s="1"/>
  <c r="G1298" i="2"/>
  <c r="F1298" i="2"/>
  <c r="AC1298" i="2"/>
  <c r="AE1298" i="2"/>
  <c r="U1298" i="2"/>
  <c r="AD1298" i="2" l="1"/>
  <c r="L1298" i="2" s="1"/>
  <c r="C1299" i="2"/>
  <c r="AF1299" i="2"/>
  <c r="J1298" i="2"/>
  <c r="W1298" i="2"/>
  <c r="X1298" i="2" s="1"/>
  <c r="K1298" i="2" l="1"/>
  <c r="D1299" i="2"/>
  <c r="E1299" i="2" s="1"/>
  <c r="T1299" i="2" s="1"/>
  <c r="I1298" i="2"/>
  <c r="N1298" i="2" l="1"/>
  <c r="M1298" i="2" s="1"/>
  <c r="P1298" i="2" s="1"/>
  <c r="V1299" i="2"/>
  <c r="O1298" i="2" l="1"/>
  <c r="R1298" i="2" s="1"/>
  <c r="AG1298" i="2"/>
  <c r="Q1298" i="2" l="1"/>
  <c r="S1298" i="2" s="1"/>
  <c r="Y1298" i="2" s="1"/>
  <c r="AA1298" i="2" s="1"/>
  <c r="Z1298" i="2" l="1"/>
  <c r="AB1299" i="2"/>
  <c r="B1300" i="2" l="1"/>
  <c r="H1300" i="2" s="1"/>
  <c r="G1299" i="2"/>
  <c r="F1299" i="2"/>
  <c r="AE1299" i="2"/>
  <c r="AC1299" i="2"/>
  <c r="U1299" i="2"/>
  <c r="AD1299" i="2" l="1"/>
  <c r="L1299" i="2" s="1"/>
  <c r="J1299" i="2"/>
  <c r="W1299" i="2"/>
  <c r="X1299" i="2" s="1"/>
  <c r="AF1300" i="2"/>
  <c r="C1300" i="2"/>
  <c r="I1299" i="2" l="1"/>
  <c r="D1300" i="2"/>
  <c r="E1300" i="2" s="1"/>
  <c r="T1300" i="2" s="1"/>
  <c r="K1299" i="2"/>
  <c r="V1300" i="2" l="1"/>
  <c r="N1299" i="2"/>
  <c r="O1299" i="2" l="1"/>
  <c r="R1299" i="2" s="1"/>
  <c r="M1299" i="2"/>
  <c r="P1299" i="2" s="1"/>
  <c r="AG1299" i="2" l="1"/>
  <c r="Q1299" i="2"/>
  <c r="S1299" i="2" s="1"/>
  <c r="Y1299" i="2" s="1"/>
  <c r="AA1299" i="2" s="1"/>
  <c r="Z1299" i="2" l="1"/>
  <c r="AB1300" i="2"/>
  <c r="B1301" i="2" l="1"/>
  <c r="H1301" i="2" s="1"/>
  <c r="G1300" i="2"/>
  <c r="F1300" i="2"/>
  <c r="AE1300" i="2"/>
  <c r="AC1300" i="2"/>
  <c r="U1300" i="2"/>
  <c r="J1300" i="2" l="1"/>
  <c r="W1300" i="2"/>
  <c r="X1300" i="2" s="1"/>
  <c r="AD1300" i="2"/>
  <c r="L1300" i="2" s="1"/>
  <c r="AF1301" i="2"/>
  <c r="C1301" i="2"/>
  <c r="I1300" i="2" l="1"/>
  <c r="D1301" i="2"/>
  <c r="E1301" i="2" s="1"/>
  <c r="T1301" i="2" s="1"/>
  <c r="K1300" i="2"/>
  <c r="V1301" i="2" l="1"/>
  <c r="N1300" i="2"/>
  <c r="O1300" i="2" l="1"/>
  <c r="R1300" i="2" s="1"/>
  <c r="M1300" i="2"/>
  <c r="P1300" i="2" s="1"/>
  <c r="AG1300" i="2" l="1"/>
  <c r="Q1300" i="2"/>
  <c r="S1300" i="2" s="1"/>
  <c r="Y1300" i="2" s="1"/>
  <c r="AA1300" i="2" s="1"/>
  <c r="Z1300" i="2" l="1"/>
  <c r="AB1301" i="2"/>
  <c r="B1302" i="2" l="1"/>
  <c r="H1302" i="2" s="1"/>
  <c r="G1301" i="2"/>
  <c r="F1301" i="2"/>
  <c r="AE1301" i="2"/>
  <c r="AC1301" i="2"/>
  <c r="U1301" i="2"/>
  <c r="AD1301" i="2" l="1"/>
  <c r="L1301" i="2" s="1"/>
  <c r="AF1302" i="2"/>
  <c r="C1302" i="2"/>
  <c r="B29" i="1"/>
  <c r="J1301" i="2"/>
  <c r="W1301" i="2"/>
  <c r="X1301" i="2" s="1"/>
  <c r="I1301" i="2" l="1"/>
  <c r="K1301" i="2"/>
  <c r="D1302" i="2"/>
  <c r="E1302" i="2" s="1"/>
  <c r="T1302" i="2" s="1"/>
  <c r="V1302" i="2" l="1"/>
  <c r="N1301" i="2"/>
  <c r="O1301" i="2" l="1"/>
  <c r="R1301" i="2" s="1"/>
  <c r="M1301" i="2"/>
  <c r="P1301" i="2" s="1"/>
  <c r="AG1301" i="2" l="1"/>
  <c r="Q1301" i="2"/>
  <c r="S1301" i="2" s="1"/>
  <c r="Y1301" i="2" s="1"/>
  <c r="AA1301" i="2" s="1"/>
  <c r="Z1301" i="2" l="1"/>
  <c r="AB1302" i="2"/>
  <c r="G1302" i="2" s="1"/>
  <c r="F1302" i="2" l="1"/>
  <c r="AC1302" i="2"/>
  <c r="AE1302" i="2"/>
  <c r="AD1302" i="2" s="1"/>
  <c r="L1302" i="2" s="1"/>
  <c r="U1302" i="2"/>
  <c r="J1302" i="2" l="1"/>
  <c r="W1302" i="2"/>
  <c r="X1302" i="2" s="1"/>
  <c r="I1302" i="2" l="1"/>
  <c r="K1302" i="2"/>
  <c r="N1302" i="2" l="1"/>
  <c r="O1302" i="2" l="1"/>
  <c r="R1302" i="2" s="1"/>
  <c r="M1302" i="2"/>
  <c r="P1302" i="2" s="1"/>
  <c r="AG1302" i="2" l="1"/>
  <c r="Q1302" i="2"/>
  <c r="S1302" i="2" s="1"/>
  <c r="Y1302" i="2" s="1"/>
  <c r="AA1302" i="2" s="1"/>
  <c r="Z1302" i="2" l="1"/>
</calcChain>
</file>

<file path=xl/comments1.xml><?xml version="1.0" encoding="utf-8"?>
<comments xmlns="http://schemas.openxmlformats.org/spreadsheetml/2006/main">
  <authors>
    <author>Гостиная</author>
    <author>talanov</author>
  </authors>
  <commentList>
    <comment ref="B3" authorId="0">
      <text>
        <r>
          <rPr>
            <sz val="9"/>
            <color indexed="81"/>
            <rFont val="Tahoma"/>
            <family val="2"/>
            <charset val="204"/>
          </rPr>
          <t xml:space="preserve">  Данные используются в случае, если необходимо учитывать влияние солнечной радиации, например, при планировании длительных полетов.
 Так же укажите наличие /отсутствие облачности для планируемых участков полета.
 The data is used when it is necessary to take into account the effect of solar radiation, for example, when planning long flights.
 Also indicate the presence / absence of clouds for the planned flight sections. </t>
        </r>
      </text>
    </comment>
    <comment ref="B19" authorId="1">
      <text>
        <r>
          <rPr>
            <sz val="9"/>
            <color indexed="81"/>
            <rFont val="Tahoma"/>
            <family val="2"/>
            <charset val="204"/>
          </rPr>
          <t xml:space="preserve">Если баллоны не сбрасываются, укажите 0 или число большее,
чем общее количество баллонов
If the cylinders are not discharged, enter 0 or a greater number,
than the total number of cylinders
</t>
        </r>
      </text>
    </comment>
    <comment ref="B23" authorId="1">
      <text>
        <r>
          <rPr>
            <sz val="9"/>
            <color indexed="81"/>
            <rFont val="Tahoma"/>
            <family val="2"/>
            <charset val="204"/>
          </rPr>
          <t>Сумма всех долей должа быть равна 1</t>
        </r>
      </text>
    </comment>
    <comment ref="C39" authorId="0">
      <text>
        <r>
          <rPr>
            <sz val="9"/>
            <color indexed="81"/>
            <rFont val="Tahoma"/>
            <family val="2"/>
            <charset val="204"/>
          </rPr>
          <t>Если для всех участков полета будет установлено значение "0", это означает, солнечная радиация отсутствует. 
If all flight segments will be set to "0", it means there is no solar radiation.</t>
        </r>
      </text>
    </comment>
  </commentList>
</comments>
</file>

<file path=xl/sharedStrings.xml><?xml version="1.0" encoding="utf-8"?>
<sst xmlns="http://schemas.openxmlformats.org/spreadsheetml/2006/main" count="74" uniqueCount="74">
  <si>
    <t>Экв. радиус оболочки</t>
  </si>
  <si>
    <t>Площадь оболочки [м2]</t>
  </si>
  <si>
    <t>Теплотворная способность</t>
  </si>
  <si>
    <t>Плотность топлива [кг/л]</t>
  </si>
  <si>
    <t>Кол-во сброшенных баллонов</t>
  </si>
  <si>
    <t>Время полета час</t>
  </si>
  <si>
    <t>Столбец1</t>
  </si>
  <si>
    <t>Наличие солнца</t>
  </si>
  <si>
    <t>Местное время</t>
  </si>
  <si>
    <t>Сутки полета</t>
  </si>
  <si>
    <t>Местное время в  ситеме 0…24</t>
  </si>
  <si>
    <t>Порядковый день года</t>
  </si>
  <si>
    <t>Сезон года</t>
  </si>
  <si>
    <t>Склонение солнца (град)</t>
  </si>
  <si>
    <t>Средняя годовая температура у поверхности</t>
  </si>
  <si>
    <t>температура на высоте 2000м</t>
  </si>
  <si>
    <t xml:space="preserve">Температурный градиент  до высоты 2000м при отличии температуры у поверхности от среднегодовой </t>
  </si>
  <si>
    <t>Высота тропопаузы (m)</t>
  </si>
  <si>
    <t>Температура тропопаузы</t>
  </si>
  <si>
    <t>Давление p [Па]</t>
  </si>
  <si>
    <t>Температура окруж воздуха tн [C]</t>
  </si>
  <si>
    <t>Температура окруж воздуха Tн [K]</t>
  </si>
  <si>
    <t>Масса аэростата Mа [кг]</t>
  </si>
  <si>
    <t>Температура в оболочке Tв [К]</t>
  </si>
  <si>
    <t>Средняя температура Тср [К]</t>
  </si>
  <si>
    <t>Теплоповодн воздуха λ</t>
  </si>
  <si>
    <t>Кинематич вязкость ν</t>
  </si>
  <si>
    <t>Потери тепла из оболочки Qконв [Вт]</t>
  </si>
  <si>
    <t>Расход топлива Gт [кг/с]</t>
  </si>
  <si>
    <t>Остаток токлива [л]</t>
  </si>
  <si>
    <t>Сумм. расход [л]</t>
  </si>
  <si>
    <t>Сумм. расход между сбросами  [л]</t>
  </si>
  <si>
    <t>Высота Солнца над горизонтом (град)</t>
  </si>
  <si>
    <t>Воздушная масса Air mass AM</t>
  </si>
  <si>
    <t>Интенсивность солнечной радиации [Вт/м2]</t>
  </si>
  <si>
    <t>Площадь поперечного сечения (м2)</t>
  </si>
  <si>
    <t>Модель позволяет расчитывать расход топлива, продолжительность полета при стационарных режимах полета аэростата (горигонтальный полет на продолжительном участке). Может применяться при планировании рекордных полетов на продолжительность  и дальность.</t>
  </si>
  <si>
    <t>Подвод тепла в оболочку от лонечной радиации [вт]</t>
  </si>
  <si>
    <t>Средняя темперетура, температура на ткани (гр С)</t>
  </si>
  <si>
    <t>A. Talanov  2021</t>
  </si>
  <si>
    <r>
      <rPr>
        <b/>
        <sz val="16"/>
        <color theme="1"/>
        <rFont val="Calibri"/>
        <family val="2"/>
        <charset val="204"/>
        <scheme val="minor"/>
      </rPr>
      <t>Расчет времени полета аэростата  Balloon flight time calculation</t>
    </r>
    <r>
      <rPr>
        <b/>
        <sz val="18"/>
        <color theme="1"/>
        <rFont val="Calibri"/>
        <family val="2"/>
        <charset val="204"/>
        <scheme val="minor"/>
      </rPr>
      <t xml:space="preserve">
</t>
    </r>
    <r>
      <rPr>
        <b/>
        <sz val="11"/>
        <color theme="1"/>
        <rFont val="Calibri"/>
        <family val="2"/>
        <charset val="204"/>
        <scheme val="minor"/>
      </rPr>
      <t>(стационарный режим)          (stationary mode)</t>
    </r>
  </si>
  <si>
    <t>Взлетные данные / Takeoff data</t>
  </si>
  <si>
    <t>Время взлета местное (0…24) [час]  
Local take-off time (0 ... 24) [hour]</t>
  </si>
  <si>
    <t>Дата взлета
 Take off date</t>
  </si>
  <si>
    <t>Широта взлета [градусы]
 Takeoff latitude [degrees]</t>
  </si>
  <si>
    <t>Объем оболочки [м3]
 Envelope volume [m3]</t>
  </si>
  <si>
    <t>Масса экипажа, доп. обор. и личных вещ. 
Mass of the crew, equipment and personal belongings.</t>
  </si>
  <si>
    <t>Масса аэростата без баллонов Balloon weight without cylinders [kg]</t>
  </si>
  <si>
    <t>Масса пустого баллона [кг] 
Empty cylinder weight [kg]</t>
  </si>
  <si>
    <t>Количество баллонов 
Number of cylinders</t>
  </si>
  <si>
    <t>Объем топлива в 1 баллоне [л]
 Fuel volume in 1 cylinder [l]</t>
  </si>
  <si>
    <t>Количество баллонов сбрасываемых одновременно 
Number of cylinders ejected simultaneously</t>
  </si>
  <si>
    <t>Средняя температура воздуха за время полета  на уровне моря  Н=0 [гр С] 
Average air temperature during the flight at sea level Н = 0 [degr. С]</t>
  </si>
  <si>
    <t>Давление при Н=0 [Па]
 Pressure at Н = 0 [Pa]</t>
  </si>
  <si>
    <t>Температура топлива при заправке [C]
Fuel temperature at refueling [C]</t>
  </si>
  <si>
    <t>Доля бутана  Proportion of butane</t>
  </si>
  <si>
    <t>Доля пропана  Proportion of propane</t>
  </si>
  <si>
    <t>Доля бензина   Proportion of gasoline</t>
  </si>
  <si>
    <t>Взлетная масса аэростата [кг] 
Takeoff weight of the balloon [kg]</t>
  </si>
  <si>
    <t>Температура в оболочке на старте [C] Temperature in  envelope at the start [С]</t>
  </si>
  <si>
    <t>Объем топлива на старте  [л] 
Start fuel volume [l]</t>
  </si>
  <si>
    <t>Максим. время полета час
 Maximum flight time [hour]</t>
  </si>
  <si>
    <t>Планируемая высота [м] 
Planned height [m]</t>
  </si>
  <si>
    <t>Время полета час 
Flight time [hour]</t>
  </si>
  <si>
    <t>Облачность отсут - 1, Облачно -0 
No cloudiness - 1, Cloudy -0</t>
  </si>
  <si>
    <t>The model makes it possible to calculate fuel consumption, flight duration under stationary conditions of aerostat flight (horizontal flight over a long segment). It can be used when planning record flights for duration and range.</t>
  </si>
  <si>
    <t>Температура в оболочке / Temperature in the envelope tв [C]</t>
  </si>
  <si>
    <t>Высота  /  Height [m]</t>
  </si>
  <si>
    <t>Расход газа Gобъемн [л/час] / Gas consumption [l/s]</t>
  </si>
  <si>
    <t>Ясное небо / Clear sky</t>
  </si>
  <si>
    <t>Вероятность образования льда внутри оболочки / The likelihood of ice formation inside the envelope</t>
  </si>
  <si>
    <t>Доля солнечной радиации в создании подъемной силы [%] / The proportion of the solar radiation in the creation of lift force [%]</t>
  </si>
  <si>
    <t>Высота Солнца над горизонтом (градус) / Height of the Sun above the horizon [degrees]</t>
  </si>
  <si>
    <t>www.rusbal.ru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</si>
</sst>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0"/>
    <numFmt numFmtId="165" formatCode="0.0"/>
    <numFmt numFmtId="166" formatCode="0.0000"/>
    <numFmt numFmtId="167" formatCode="0.000"/>
  </numFmts>
  <fonts count="8" x14ac:knownFonts="1">
    <font>
      <sz val="11"/>
      <color theme="1"/>
      <name val="Calibri"/>
      <family val="2"/>
      <charset val="204"/>
      <scheme val="minor"/>
    </font>
    <font>
      <b/>
      <u/>
      <sz val="11"/>
      <color theme="1"/>
      <name val="Calibri"/>
      <family val="2"/>
      <charset val="204"/>
      <scheme val="minor"/>
    </font>
    <font>
      <sz val="9"/>
      <color indexed="81"/>
      <name val="Tahoma"/>
      <family val="2"/>
      <charset val="204"/>
    </font>
    <font>
      <sz val="8"/>
      <color theme="1"/>
      <name val="Calibri"/>
      <family val="2"/>
      <charset val="204"/>
      <scheme val="minor"/>
    </font>
    <font>
      <b/>
      <sz val="18"/>
      <color theme="1"/>
      <name val="Calibri"/>
      <family val="2"/>
      <charset val="204"/>
      <scheme val="minor"/>
    </font>
    <font>
      <b/>
      <sz val="11"/>
      <color theme="1"/>
      <name val="Calibri"/>
      <family val="2"/>
      <charset val="204"/>
      <scheme val="minor"/>
    </font>
    <font>
      <b/>
      <sz val="16"/>
      <color theme="1"/>
      <name val="Calibri"/>
      <family val="2"/>
      <charset val="204"/>
      <scheme val="minor"/>
    </font>
    <font>
      <u/>
      <sz val="11"/>
      <color theme="10"/>
      <name val="Calibri"/>
      <family val="2"/>
      <charset val="204"/>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theme="0" tint="-0.14999847407452621"/>
      </patternFill>
    </fill>
  </fills>
  <borders count="10">
    <border>
      <left/>
      <right/>
      <top/>
      <bottom/>
      <diagonal/>
    </border>
    <border>
      <left style="thick">
        <color theme="3" tint="0.59996337778862885"/>
      </left>
      <right style="thick">
        <color theme="3" tint="0.59996337778862885"/>
      </right>
      <top style="thick">
        <color theme="3" tint="0.59996337778862885"/>
      </top>
      <bottom style="thick">
        <color theme="3" tint="0.59996337778862885"/>
      </bottom>
      <diagonal/>
    </border>
    <border>
      <left style="thick">
        <color theme="3" tint="0.59996337778862885"/>
      </left>
      <right style="medium">
        <color theme="3" tint="0.59996337778862885"/>
      </right>
      <top style="medium">
        <color theme="3" tint="0.59996337778862885"/>
      </top>
      <bottom style="medium">
        <color theme="3" tint="0.59996337778862885"/>
      </bottom>
      <diagonal/>
    </border>
    <border>
      <left style="medium">
        <color theme="3" tint="0.59996337778862885"/>
      </left>
      <right style="thick">
        <color theme="3" tint="0.59996337778862885"/>
      </right>
      <top style="medium">
        <color theme="3" tint="0.59996337778862885"/>
      </top>
      <bottom style="medium">
        <color theme="3" tint="0.59996337778862885"/>
      </bottom>
      <diagonal/>
    </border>
    <border>
      <left style="thick">
        <color theme="3" tint="0.59996337778862885"/>
      </left>
      <right style="medium">
        <color theme="3" tint="0.59996337778862885"/>
      </right>
      <top style="medium">
        <color theme="3" tint="0.59996337778862885"/>
      </top>
      <bottom style="thick">
        <color theme="3" tint="0.59996337778862885"/>
      </bottom>
      <diagonal/>
    </border>
    <border>
      <left style="medium">
        <color theme="3" tint="0.59996337778862885"/>
      </left>
      <right style="thick">
        <color theme="3" tint="0.59996337778862885"/>
      </right>
      <top style="medium">
        <color theme="3" tint="0.59996337778862885"/>
      </top>
      <bottom style="thick">
        <color theme="3" tint="0.59996337778862885"/>
      </bottom>
      <diagonal/>
    </border>
    <border>
      <left style="thick">
        <color theme="3" tint="0.59996337778862885"/>
      </left>
      <right/>
      <top style="thick">
        <color theme="3" tint="0.59996337778862885"/>
      </top>
      <bottom style="medium">
        <color theme="3" tint="0.59996337778862885"/>
      </bottom>
      <diagonal/>
    </border>
    <border>
      <left/>
      <right style="thick">
        <color theme="3" tint="0.59996337778862885"/>
      </right>
      <top style="thick">
        <color theme="3" tint="0.59996337778862885"/>
      </top>
      <bottom style="medium">
        <color theme="3" tint="0.59996337778862885"/>
      </bottom>
      <diagonal/>
    </border>
    <border>
      <left/>
      <right/>
      <top/>
      <bottom style="thin">
        <color theme="1"/>
      </bottom>
      <diagonal/>
    </border>
    <border>
      <left/>
      <right/>
      <top style="thin">
        <color theme="1"/>
      </top>
      <bottom/>
      <diagonal/>
    </border>
  </borders>
  <cellStyleXfs count="2">
    <xf numFmtId="0" fontId="0" fillId="0" borderId="0"/>
    <xf numFmtId="0" fontId="7" fillId="0" borderId="0" applyNumberFormat="0" applyFill="0" applyBorder="0" applyAlignment="0" applyProtection="0"/>
  </cellStyleXfs>
  <cellXfs count="71">
    <xf numFmtId="0" fontId="0" fillId="0" borderId="0" xfId="0"/>
    <xf numFmtId="164" fontId="0" fillId="0" borderId="0" xfId="0" applyNumberFormat="1"/>
    <xf numFmtId="0" fontId="0" fillId="0" borderId="0" xfId="0" applyNumberFormat="1" applyAlignment="1">
      <alignment wrapText="1"/>
    </xf>
    <xf numFmtId="0" fontId="0" fillId="2" borderId="2" xfId="0" applyFill="1" applyBorder="1" applyAlignment="1">
      <alignment wrapText="1"/>
    </xf>
    <xf numFmtId="0" fontId="0" fillId="2" borderId="3" xfId="0" applyFill="1" applyBorder="1"/>
    <xf numFmtId="0" fontId="0" fillId="2" borderId="1" xfId="0" applyFill="1" applyBorder="1"/>
    <xf numFmtId="0" fontId="0" fillId="0" borderId="3" xfId="0" applyBorder="1" applyProtection="1">
      <protection locked="0"/>
    </xf>
    <xf numFmtId="0" fontId="3" fillId="0" borderId="0" xfId="0" applyFont="1" applyProtection="1">
      <protection locked="0"/>
    </xf>
    <xf numFmtId="2" fontId="0" fillId="2" borderId="5" xfId="0" applyNumberFormat="1" applyFill="1" applyBorder="1"/>
    <xf numFmtId="0" fontId="1" fillId="2" borderId="6" xfId="0" applyFont="1" applyFill="1" applyBorder="1" applyAlignment="1"/>
    <xf numFmtId="0" fontId="1" fillId="2" borderId="7" xfId="0" applyFont="1" applyFill="1" applyBorder="1" applyAlignment="1"/>
    <xf numFmtId="165" fontId="0" fillId="2" borderId="5" xfId="0" applyNumberFormat="1" applyFill="1" applyBorder="1"/>
    <xf numFmtId="165" fontId="0" fillId="2" borderId="3" xfId="0" applyNumberFormat="1" applyFill="1" applyBorder="1"/>
    <xf numFmtId="0" fontId="0" fillId="3" borderId="0" xfId="0" applyFont="1" applyFill="1"/>
    <xf numFmtId="0" fontId="0" fillId="3" borderId="0" xfId="0" applyNumberFormat="1" applyFont="1" applyFill="1"/>
    <xf numFmtId="0" fontId="0" fillId="0" borderId="0" xfId="0" applyFont="1"/>
    <xf numFmtId="0" fontId="0" fillId="0" borderId="0" xfId="0" applyNumberFormat="1" applyFont="1"/>
    <xf numFmtId="164" fontId="0" fillId="3" borderId="0" xfId="0" applyNumberFormat="1" applyFont="1" applyFill="1"/>
    <xf numFmtId="0" fontId="0" fillId="2" borderId="1" xfId="0" applyFill="1" applyBorder="1"/>
    <xf numFmtId="0" fontId="0" fillId="0" borderId="0" xfId="0"/>
    <xf numFmtId="0" fontId="0" fillId="2" borderId="1" xfId="0" applyFill="1" applyBorder="1"/>
    <xf numFmtId="0" fontId="0" fillId="2" borderId="1" xfId="0" applyFill="1" applyBorder="1" applyAlignment="1">
      <alignment wrapText="1"/>
    </xf>
    <xf numFmtId="0" fontId="0" fillId="0" borderId="0" xfId="0"/>
    <xf numFmtId="0" fontId="0" fillId="0" borderId="0" xfId="0"/>
    <xf numFmtId="164" fontId="0" fillId="0" borderId="0" xfId="0" applyNumberFormat="1"/>
    <xf numFmtId="0" fontId="0" fillId="2" borderId="2" xfId="0" applyFill="1" applyBorder="1" applyAlignment="1">
      <alignment wrapText="1"/>
    </xf>
    <xf numFmtId="0" fontId="0" fillId="2" borderId="4" xfId="0" applyFill="1" applyBorder="1" applyAlignment="1">
      <alignment wrapText="1"/>
    </xf>
    <xf numFmtId="0" fontId="0" fillId="2" borderId="1" xfId="0" applyNumberFormat="1" applyFill="1" applyBorder="1" applyAlignment="1">
      <alignment wrapText="1"/>
    </xf>
    <xf numFmtId="0" fontId="0" fillId="0" borderId="1" xfId="0" applyBorder="1" applyProtection="1">
      <protection locked="0"/>
    </xf>
    <xf numFmtId="2" fontId="0" fillId="2" borderId="5" xfId="0" applyNumberFormat="1" applyFill="1" applyBorder="1"/>
    <xf numFmtId="2" fontId="0" fillId="0" borderId="0" xfId="0" applyNumberFormat="1"/>
    <xf numFmtId="0" fontId="0" fillId="2" borderId="3" xfId="0" applyFill="1" applyBorder="1" applyProtection="1">
      <protection locked="0"/>
    </xf>
    <xf numFmtId="14" fontId="0" fillId="0" borderId="3" xfId="0" applyNumberFormat="1" applyBorder="1" applyProtection="1">
      <protection locked="0"/>
    </xf>
    <xf numFmtId="164" fontId="0" fillId="0" borderId="0" xfId="0" applyNumberFormat="1" applyFont="1"/>
    <xf numFmtId="1" fontId="0" fillId="2" borderId="5" xfId="0" applyNumberFormat="1" applyFill="1" applyBorder="1"/>
    <xf numFmtId="0" fontId="0" fillId="0" borderId="8" xfId="0" applyFont="1" applyBorder="1"/>
    <xf numFmtId="0" fontId="0" fillId="0" borderId="8" xfId="0" applyNumberFormat="1" applyFont="1" applyBorder="1"/>
    <xf numFmtId="164" fontId="0" fillId="0" borderId="8" xfId="0" applyNumberFormat="1" applyFont="1" applyBorder="1"/>
    <xf numFmtId="0" fontId="0" fillId="3" borderId="9" xfId="0" applyFont="1" applyFill="1" applyBorder="1"/>
    <xf numFmtId="0" fontId="0" fillId="3" borderId="9" xfId="0" applyNumberFormat="1" applyFont="1" applyFill="1" applyBorder="1"/>
    <xf numFmtId="164" fontId="0" fillId="3" borderId="9" xfId="0" applyNumberFormat="1" applyFont="1" applyFill="1" applyBorder="1"/>
    <xf numFmtId="0" fontId="0" fillId="0" borderId="0" xfId="0" applyAlignment="1">
      <alignment vertical="top" wrapText="1"/>
    </xf>
    <xf numFmtId="1" fontId="0" fillId="0" borderId="0" xfId="0" applyNumberFormat="1" applyAlignment="1">
      <alignment vertical="top" wrapText="1"/>
    </xf>
    <xf numFmtId="1" fontId="0" fillId="0" borderId="0" xfId="0" applyNumberFormat="1"/>
    <xf numFmtId="1" fontId="0" fillId="3" borderId="9" xfId="0" applyNumberFormat="1" applyFont="1" applyFill="1" applyBorder="1"/>
    <xf numFmtId="1" fontId="0" fillId="0" borderId="0" xfId="0" applyNumberFormat="1" applyFont="1"/>
    <xf numFmtId="1" fontId="0" fillId="3" borderId="0" xfId="0" applyNumberFormat="1" applyFont="1" applyFill="1"/>
    <xf numFmtId="1" fontId="0" fillId="0" borderId="8" xfId="0" applyNumberFormat="1" applyFont="1" applyBorder="1"/>
    <xf numFmtId="2" fontId="0" fillId="0" borderId="0" xfId="0" applyNumberFormat="1" applyAlignment="1">
      <alignment vertical="top" wrapText="1"/>
    </xf>
    <xf numFmtId="2" fontId="0" fillId="3" borderId="9" xfId="0" applyNumberFormat="1" applyFont="1" applyFill="1" applyBorder="1"/>
    <xf numFmtId="2" fontId="0" fillId="0" borderId="0" xfId="0" applyNumberFormat="1" applyFont="1"/>
    <xf numFmtId="2" fontId="0" fillId="3" borderId="0" xfId="0" applyNumberFormat="1" applyFont="1" applyFill="1"/>
    <xf numFmtId="2" fontId="0" fillId="0" borderId="8" xfId="0" applyNumberFormat="1" applyFont="1" applyBorder="1"/>
    <xf numFmtId="165" fontId="0" fillId="0" borderId="0" xfId="0" applyNumberFormat="1" applyAlignment="1">
      <alignment vertical="top" wrapText="1"/>
    </xf>
    <xf numFmtId="165" fontId="0" fillId="0" borderId="0" xfId="0" applyNumberFormat="1"/>
    <xf numFmtId="165" fontId="0" fillId="3" borderId="9" xfId="0" applyNumberFormat="1" applyFont="1" applyFill="1" applyBorder="1"/>
    <xf numFmtId="165" fontId="0" fillId="0" borderId="0" xfId="0" applyNumberFormat="1" applyFont="1"/>
    <xf numFmtId="165" fontId="0" fillId="3" borderId="0" xfId="0" applyNumberFormat="1" applyFont="1" applyFill="1"/>
    <xf numFmtId="165" fontId="0" fillId="0" borderId="8" xfId="0" applyNumberFormat="1" applyFont="1" applyBorder="1"/>
    <xf numFmtId="166" fontId="0" fillId="0" borderId="0" xfId="0" applyNumberFormat="1" applyAlignment="1">
      <alignment vertical="top" wrapText="1"/>
    </xf>
    <xf numFmtId="166" fontId="0" fillId="0" borderId="0" xfId="0" applyNumberFormat="1"/>
    <xf numFmtId="166" fontId="0" fillId="3" borderId="9" xfId="0" applyNumberFormat="1" applyFont="1" applyFill="1" applyBorder="1"/>
    <xf numFmtId="166" fontId="0" fillId="0" borderId="0" xfId="0" applyNumberFormat="1" applyFont="1"/>
    <xf numFmtId="166" fontId="0" fillId="3" borderId="0" xfId="0" applyNumberFormat="1" applyFont="1" applyFill="1"/>
    <xf numFmtId="166" fontId="0" fillId="0" borderId="8" xfId="0" applyNumberFormat="1" applyFont="1" applyBorder="1"/>
    <xf numFmtId="164" fontId="0" fillId="0" borderId="0" xfId="0" applyNumberFormat="1" applyAlignment="1">
      <alignment vertical="top" wrapText="1"/>
    </xf>
    <xf numFmtId="167" fontId="0" fillId="0" borderId="0" xfId="0" applyNumberFormat="1"/>
    <xf numFmtId="0" fontId="0" fillId="0" borderId="0" xfId="0" applyProtection="1">
      <protection locked="0"/>
    </xf>
    <xf numFmtId="0" fontId="4" fillId="0" borderId="0" xfId="0" applyFont="1" applyAlignment="1" applyProtection="1">
      <alignment horizontal="center" wrapText="1"/>
      <protection locked="0"/>
    </xf>
    <xf numFmtId="0" fontId="0" fillId="0" borderId="0" xfId="0" applyAlignment="1">
      <alignment wrapText="1"/>
    </xf>
    <xf numFmtId="0" fontId="7" fillId="0" borderId="0" xfId="1"/>
  </cellXfs>
  <cellStyles count="2">
    <cellStyle name="Гиперссылка" xfId="1" builtinId="8"/>
    <cellStyle name="Обычный" xfId="0" builtinId="0"/>
  </cellStyles>
  <dxfs count="34">
    <dxf>
      <font>
        <b val="0"/>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64" formatCode="0.00000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2" formatCode="0.0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164" formatCode="0.000000"/>
    </dxf>
    <dxf>
      <font>
        <b val="0"/>
        <i val="0"/>
        <strike val="0"/>
        <condense val="0"/>
        <extend val="0"/>
        <outline val="0"/>
        <shadow val="0"/>
        <u val="none"/>
        <vertAlign val="baseline"/>
        <sz val="11"/>
        <color theme="1"/>
        <name val="Calibri"/>
        <scheme val="minor"/>
      </font>
      <numFmt numFmtId="166" formatCode="0.0000"/>
    </dxf>
    <dxf>
      <font>
        <b val="0"/>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numFmt numFmtId="165" formatCode="0.0"/>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1" formatCode="0"/>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0" formatCode="General"/>
    </dxf>
    <dxf>
      <font>
        <b val="0"/>
        <i val="0"/>
        <strike val="0"/>
        <condense val="0"/>
        <extend val="0"/>
        <outline val="0"/>
        <shadow val="0"/>
        <u val="none"/>
        <vertAlign val="baseline"/>
        <sz val="11"/>
        <color theme="1"/>
        <name val="Calibri"/>
        <scheme val="minor"/>
      </font>
    </dxf>
    <dxf>
      <alignment horizontal="general"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ru-RU"/>
        </a:p>
      </c:txPr>
    </c:title>
    <c:autoTitleDeleted val="0"/>
    <c:plotArea>
      <c:layout>
        <c:manualLayout>
          <c:layoutTarget val="inner"/>
          <c:xMode val="edge"/>
          <c:yMode val="edge"/>
          <c:x val="8.1562944324461012E-2"/>
          <c:y val="0.13847446924154413"/>
          <c:w val="0.87614317040918266"/>
          <c:h val="0.83880474761232715"/>
        </c:manualLayout>
      </c:layout>
      <c:scatterChart>
        <c:scatterStyle val="lineMarker"/>
        <c:varyColors val="0"/>
        <c:ser>
          <c:idx val="4"/>
          <c:order val="0"/>
          <c:tx>
            <c:strRef>
              <c:f>Calculations!$M$1:$M$1</c:f>
              <c:strCache>
                <c:ptCount val="1"/>
                <c:pt idx="0">
                  <c:v>Температура в оболочке / Temperature in the envelope tв [C]</c:v>
                </c:pt>
              </c:strCache>
            </c:strRef>
          </c:tx>
          <c:spPr>
            <a:ln>
              <a:solidFill>
                <a:schemeClr val="accent2">
                  <a:lumMod val="75000"/>
                </a:schemeClr>
              </a:solidFill>
            </a:ln>
          </c:spPr>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Calculations!$M$2:$M$1302</c:f>
              <c:numCache>
                <c:formatCode>0.0</c:formatCode>
                <c:ptCount val="1301"/>
                <c:pt idx="0">
                  <c:v>111.96205269794785</c:v>
                </c:pt>
                <c:pt idx="1">
                  <c:v>111.5416502026157</c:v>
                </c:pt>
                <c:pt idx="2">
                  <c:v>111.12376015047596</c:v>
                </c:pt>
                <c:pt idx="3">
                  <c:v>110.70835908875301</c:v>
                </c:pt>
                <c:pt idx="4">
                  <c:v>110.29542386646665</c:v>
                </c:pt>
                <c:pt idx="5">
                  <c:v>109.88493162947458</c:v>
                </c:pt>
                <c:pt idx="6">
                  <c:v>109.47685981561449</c:v>
                </c:pt>
                <c:pt idx="7">
                  <c:v>109.07118614994215</c:v>
                </c:pt>
                <c:pt idx="8">
                  <c:v>108.66788864006452</c:v>
                </c:pt>
                <c:pt idx="9">
                  <c:v>108.26694557156463</c:v>
                </c:pt>
                <c:pt idx="10">
                  <c:v>107.86833550351679</c:v>
                </c:pt>
                <c:pt idx="11">
                  <c:v>107.47203726408975</c:v>
                </c:pt>
                <c:pt idx="12">
                  <c:v>107.07802994623557</c:v>
                </c:pt>
                <c:pt idx="13">
                  <c:v>106.6862929034628</c:v>
                </c:pt>
                <c:pt idx="14">
                  <c:v>106.29680574569176</c:v>
                </c:pt>
                <c:pt idx="15">
                  <c:v>105.90954833518924</c:v>
                </c:pt>
                <c:pt idx="16">
                  <c:v>105.52450078258289</c:v>
                </c:pt>
                <c:pt idx="17">
                  <c:v>105.14164344295096</c:v>
                </c:pt>
                <c:pt idx="18">
                  <c:v>104.76095691198708</c:v>
                </c:pt>
                <c:pt idx="19">
                  <c:v>104.38242202223915</c:v>
                </c:pt>
                <c:pt idx="20">
                  <c:v>104.00601983941863</c:v>
                </c:pt>
                <c:pt idx="21">
                  <c:v>103.63173165878021</c:v>
                </c:pt>
                <c:pt idx="22">
                  <c:v>103.25953900156992</c:v>
                </c:pt>
                <c:pt idx="23">
                  <c:v>102.88942361153977</c:v>
                </c:pt>
                <c:pt idx="24">
                  <c:v>102.52136745152819</c:v>
                </c:pt>
                <c:pt idx="25">
                  <c:v>102.155352700104</c:v>
                </c:pt>
                <c:pt idx="26">
                  <c:v>101.79136174827306</c:v>
                </c:pt>
                <c:pt idx="27">
                  <c:v>101.42937719624587</c:v>
                </c:pt>
                <c:pt idx="28">
                  <c:v>101.06938185026559</c:v>
                </c:pt>
                <c:pt idx="29">
                  <c:v>100.71135871949343</c:v>
                </c:pt>
                <c:pt idx="30">
                  <c:v>100.35529101295253</c:v>
                </c:pt>
                <c:pt idx="31">
                  <c:v>100.00116213652711</c:v>
                </c:pt>
                <c:pt idx="32">
                  <c:v>99.64895569001618</c:v>
                </c:pt>
                <c:pt idx="33">
                  <c:v>99.298655464241904</c:v>
                </c:pt>
                <c:pt idx="34">
                  <c:v>98.950245438209265</c:v>
                </c:pt>
                <c:pt idx="35">
                  <c:v>98.60370977631743</c:v>
                </c:pt>
                <c:pt idx="36">
                  <c:v>98.259032825622228</c:v>
                </c:pt>
                <c:pt idx="37">
                  <c:v>97.916199113146092</c:v>
                </c:pt>
                <c:pt idx="38">
                  <c:v>97.575193343238084</c:v>
                </c:pt>
                <c:pt idx="39">
                  <c:v>97.236000394979271</c:v>
                </c:pt>
                <c:pt idx="40">
                  <c:v>96.898605319635976</c:v>
                </c:pt>
                <c:pt idx="41">
                  <c:v>96.562994799580906</c:v>
                </c:pt>
                <c:pt idx="42">
                  <c:v>96.229152751233016</c:v>
                </c:pt>
                <c:pt idx="43">
                  <c:v>95.897064727689042</c:v>
                </c:pt>
                <c:pt idx="44">
                  <c:v>95.566716444480107</c:v>
                </c:pt>
                <c:pt idx="45">
                  <c:v>95.238093777241943</c:v>
                </c:pt>
                <c:pt idx="46">
                  <c:v>94.911182759423411</c:v>
                </c:pt>
                <c:pt idx="47">
                  <c:v>94.585969580036988</c:v>
                </c:pt>
                <c:pt idx="48">
                  <c:v>94.262440581446697</c:v>
                </c:pt>
                <c:pt idx="49">
                  <c:v>93.940582257195558</c:v>
                </c:pt>
                <c:pt idx="50">
                  <c:v>93.62038124986907</c:v>
                </c:pt>
                <c:pt idx="51">
                  <c:v>93.301824348997229</c:v>
                </c:pt>
                <c:pt idx="52">
                  <c:v>92.984898488990154</c:v>
                </c:pt>
                <c:pt idx="53">
                  <c:v>92.669590747111613</c:v>
                </c:pt>
                <c:pt idx="54">
                  <c:v>92.355888341484615</c:v>
                </c:pt>
                <c:pt idx="55">
                  <c:v>92.043778629132703</c:v>
                </c:pt>
                <c:pt idx="56">
                  <c:v>91.733249104052732</c:v>
                </c:pt>
                <c:pt idx="57">
                  <c:v>91.42428739532204</c:v>
                </c:pt>
                <c:pt idx="58">
                  <c:v>91.116881265235634</c:v>
                </c:pt>
                <c:pt idx="59">
                  <c:v>90.811018607475773</c:v>
                </c:pt>
                <c:pt idx="60">
                  <c:v>90.506687445311627</c:v>
                </c:pt>
                <c:pt idx="61">
                  <c:v>90.203875929829223</c:v>
                </c:pt>
                <c:pt idx="62">
                  <c:v>89.902570928968032</c:v>
                </c:pt>
                <c:pt idx="63">
                  <c:v>89.602762262793021</c:v>
                </c:pt>
                <c:pt idx="64">
                  <c:v>89.304438455413049</c:v>
                </c:pt>
                <c:pt idx="65">
                  <c:v>89.007588151962977</c:v>
                </c:pt>
                <c:pt idx="66">
                  <c:v>88.712200116974429</c:v>
                </c:pt>
                <c:pt idx="67">
                  <c:v>88.418263232773825</c:v>
                </c:pt>
                <c:pt idx="68">
                  <c:v>88.125766497906454</c:v>
                </c:pt>
                <c:pt idx="69">
                  <c:v>87.834699025586133</c:v>
                </c:pt>
                <c:pt idx="70">
                  <c:v>87.545050042170033</c:v>
                </c:pt>
                <c:pt idx="71">
                  <c:v>87.25680888565779</c:v>
                </c:pt>
                <c:pt idx="72">
                  <c:v>86.969965004216135</c:v>
                </c:pt>
                <c:pt idx="73">
                  <c:v>76.668243176832334</c:v>
                </c:pt>
                <c:pt idx="74">
                  <c:v>76.430195623459213</c:v>
                </c:pt>
                <c:pt idx="75">
                  <c:v>76.193189117191821</c:v>
                </c:pt>
                <c:pt idx="76">
                  <c:v>75.957216690571329</c:v>
                </c:pt>
                <c:pt idx="77">
                  <c:v>75.72227144011174</c:v>
                </c:pt>
                <c:pt idx="78">
                  <c:v>75.488346525550753</c:v>
                </c:pt>
                <c:pt idx="79">
                  <c:v>75.255435169111081</c:v>
                </c:pt>
                <c:pt idx="80">
                  <c:v>75.023530654772742</c:v>
                </c:pt>
                <c:pt idx="81">
                  <c:v>74.792626327554729</c:v>
                </c:pt>
                <c:pt idx="82">
                  <c:v>74.562715592807763</c:v>
                </c:pt>
                <c:pt idx="83">
                  <c:v>74.333791915516713</c:v>
                </c:pt>
                <c:pt idx="84">
                  <c:v>74.105848819612163</c:v>
                </c:pt>
                <c:pt idx="85">
                  <c:v>73.878879887293124</c:v>
                </c:pt>
                <c:pt idx="86">
                  <c:v>73.652878758357531</c:v>
                </c:pt>
                <c:pt idx="87">
                  <c:v>73.427839129543372</c:v>
                </c:pt>
                <c:pt idx="88">
                  <c:v>73.203754753878286</c:v>
                </c:pt>
                <c:pt idx="89">
                  <c:v>72.980619440038652</c:v>
                </c:pt>
                <c:pt idx="90">
                  <c:v>72.758427051716922</c:v>
                </c:pt>
                <c:pt idx="91">
                  <c:v>72.537171506998448</c:v>
                </c:pt>
                <c:pt idx="92">
                  <c:v>72.316846777746434</c:v>
                </c:pt>
                <c:pt idx="93">
                  <c:v>72.097446888995535</c:v>
                </c:pt>
                <c:pt idx="94">
                  <c:v>71.878965918353458</c:v>
                </c:pt>
                <c:pt idx="95">
                  <c:v>71.66139799541105</c:v>
                </c:pt>
                <c:pt idx="96">
                  <c:v>71.444737301160785</c:v>
                </c:pt>
                <c:pt idx="97">
                  <c:v>71.228978067422247</c:v>
                </c:pt>
                <c:pt idx="98">
                  <c:v>71.014114576276256</c:v>
                </c:pt>
                <c:pt idx="99">
                  <c:v>70.80014115950604</c:v>
                </c:pt>
                <c:pt idx="100">
                  <c:v>70.587052198046649</c:v>
                </c:pt>
                <c:pt idx="101">
                  <c:v>70.374842121440963</c:v>
                </c:pt>
                <c:pt idx="102">
                  <c:v>70.163505407303887</c:v>
                </c:pt>
                <c:pt idx="103">
                  <c:v>69.953036580793025</c:v>
                </c:pt>
                <c:pt idx="104">
                  <c:v>69.743430214086629</c:v>
                </c:pt>
                <c:pt idx="105">
                  <c:v>69.534680925869168</c:v>
                </c:pt>
                <c:pt idx="106">
                  <c:v>69.326783380822292</c:v>
                </c:pt>
                <c:pt idx="107">
                  <c:v>69.119732289124329</c:v>
                </c:pt>
                <c:pt idx="108">
                  <c:v>68.913522405955121</c:v>
                </c:pt>
                <c:pt idx="109">
                  <c:v>68.708148531007737</c:v>
                </c:pt>
                <c:pt idx="110">
                  <c:v>68.50360550800707</c:v>
                </c:pt>
                <c:pt idx="111">
                  <c:v>68.299888224234167</c:v>
                </c:pt>
                <c:pt idx="112">
                  <c:v>68.09699161005716</c:v>
                </c:pt>
                <c:pt idx="113">
                  <c:v>67.894910638468275</c:v>
                </c:pt>
                <c:pt idx="114">
                  <c:v>67.693640324626699</c:v>
                </c:pt>
                <c:pt idx="115">
                  <c:v>67.493175725407866</c:v>
                </c:pt>
                <c:pt idx="116">
                  <c:v>67.293511938958147</c:v>
                </c:pt>
                <c:pt idx="117">
                  <c:v>67.094644104255508</c:v>
                </c:pt>
                <c:pt idx="118">
                  <c:v>66.896567400675679</c:v>
                </c:pt>
                <c:pt idx="119">
                  <c:v>66.699277047564465</c:v>
                </c:pt>
                <c:pt idx="120">
                  <c:v>66.502768303814833</c:v>
                </c:pt>
                <c:pt idx="121">
                  <c:v>66.307036467450075</c:v>
                </c:pt>
                <c:pt idx="122">
                  <c:v>66.112076875211699</c:v>
                </c:pt>
                <c:pt idx="123">
                  <c:v>65.917884902153332</c:v>
                </c:pt>
                <c:pt idx="124">
                  <c:v>65.72445596123913</c:v>
                </c:pt>
                <c:pt idx="125">
                  <c:v>65.531785502947571</c:v>
                </c:pt>
                <c:pt idx="126">
                  <c:v>65.339869014880662</c:v>
                </c:pt>
                <c:pt idx="127">
                  <c:v>65.148702021377233</c:v>
                </c:pt>
                <c:pt idx="128">
                  <c:v>64.95828008313191</c:v>
                </c:pt>
                <c:pt idx="129">
                  <c:v>64.768598796818708</c:v>
                </c:pt>
                <c:pt idx="130">
                  <c:v>64.579653794719036</c:v>
                </c:pt>
                <c:pt idx="131">
                  <c:v>64.391440744354838</c:v>
                </c:pt>
                <c:pt idx="132">
                  <c:v>64.203955348125817</c:v>
                </c:pt>
                <c:pt idx="133">
                  <c:v>64.017193342951828</c:v>
                </c:pt>
                <c:pt idx="134">
                  <c:v>63.831150499919261</c:v>
                </c:pt>
                <c:pt idx="135">
                  <c:v>63.645822623931963</c:v>
                </c:pt>
                <c:pt idx="136">
                  <c:v>63.461205553366369</c:v>
                </c:pt>
                <c:pt idx="137">
                  <c:v>63.277295159731295</c:v>
                </c:pt>
                <c:pt idx="138">
                  <c:v>63.094087347331538</c:v>
                </c:pt>
                <c:pt idx="139">
                  <c:v>62.911578052935795</c:v>
                </c:pt>
                <c:pt idx="140">
                  <c:v>62.729763245448623</c:v>
                </c:pt>
                <c:pt idx="141">
                  <c:v>62.548638925586602</c:v>
                </c:pt>
                <c:pt idx="142">
                  <c:v>62.36820112555796</c:v>
                </c:pt>
                <c:pt idx="143">
                  <c:v>62.188445908747099</c:v>
                </c:pt>
                <c:pt idx="144">
                  <c:v>62.009369369401895</c:v>
                </c:pt>
                <c:pt idx="145">
                  <c:v>61.830967632325098</c:v>
                </c:pt>
                <c:pt idx="146">
                  <c:v>61.653236852570501</c:v>
                </c:pt>
                <c:pt idx="147">
                  <c:v>61.476173215140705</c:v>
                </c:pt>
                <c:pt idx="148">
                  <c:v>61.299772934691191</c:v>
                </c:pt>
                <c:pt idx="149">
                  <c:v>61.124032255235193</c:v>
                </c:pt>
                <c:pt idx="150">
                  <c:v>60.948947449854643</c:v>
                </c:pt>
                <c:pt idx="151">
                  <c:v>60.774514820412548</c:v>
                </c:pt>
                <c:pt idx="152">
                  <c:v>60.600730697270365</c:v>
                </c:pt>
                <c:pt idx="153">
                  <c:v>60.427591439007813</c:v>
                </c:pt>
                <c:pt idx="154">
                  <c:v>60.255093432146168</c:v>
                </c:pt>
                <c:pt idx="155">
                  <c:v>60.083233090875353</c:v>
                </c:pt>
                <c:pt idx="156">
                  <c:v>59.912006856783762</c:v>
                </c:pt>
                <c:pt idx="157">
                  <c:v>59.741411198591493</c:v>
                </c:pt>
                <c:pt idx="158">
                  <c:v>59.571442611886596</c:v>
                </c:pt>
                <c:pt idx="159">
                  <c:v>59.40209761886473</c:v>
                </c:pt>
                <c:pt idx="160">
                  <c:v>59.233372768071661</c:v>
                </c:pt>
                <c:pt idx="161">
                  <c:v>59.065264634148718</c:v>
                </c:pt>
                <c:pt idx="162">
                  <c:v>58.919309269146595</c:v>
                </c:pt>
                <c:pt idx="163">
                  <c:v>58.773980031657004</c:v>
                </c:pt>
                <c:pt idx="164">
                  <c:v>58.6292694638027</c:v>
                </c:pt>
                <c:pt idx="165">
                  <c:v>58.485170274373843</c:v>
                </c:pt>
                <c:pt idx="166">
                  <c:v>58.341675331903673</c:v>
                </c:pt>
                <c:pt idx="167">
                  <c:v>58.198777658056315</c:v>
                </c:pt>
                <c:pt idx="168">
                  <c:v>58.05647042130721</c:v>
                </c:pt>
                <c:pt idx="169">
                  <c:v>57.914746930901856</c:v>
                </c:pt>
                <c:pt idx="170">
                  <c:v>57.773600631075681</c:v>
                </c:pt>
                <c:pt idx="171">
                  <c:v>57.633025095521646</c:v>
                </c:pt>
                <c:pt idx="172">
                  <c:v>57.49301402209062</c:v>
                </c:pt>
                <c:pt idx="173">
                  <c:v>57.353561227712476</c:v>
                </c:pt>
                <c:pt idx="174">
                  <c:v>57.214660643524496</c:v>
                </c:pt>
                <c:pt idx="175">
                  <c:v>57.076306310195719</c:v>
                </c:pt>
                <c:pt idx="176">
                  <c:v>56.938492373436191</c:v>
                </c:pt>
                <c:pt idx="177">
                  <c:v>56.801213079680394</c:v>
                </c:pt>
                <c:pt idx="178">
                  <c:v>56.664462771934552</c:v>
                </c:pt>
                <c:pt idx="179">
                  <c:v>56.528235885778486</c:v>
                </c:pt>
                <c:pt idx="180">
                  <c:v>56.39252694551368</c:v>
                </c:pt>
                <c:pt idx="181">
                  <c:v>56.257330560447599</c:v>
                </c:pt>
                <c:pt idx="182">
                  <c:v>56.122641421307549</c:v>
                </c:pt>
                <c:pt idx="183">
                  <c:v>55.988454296775615</c:v>
                </c:pt>
                <c:pt idx="184">
                  <c:v>55.854764030137517</c:v>
                </c:pt>
                <c:pt idx="185">
                  <c:v>47.33544566948018</c:v>
                </c:pt>
                <c:pt idx="186">
                  <c:v>47.22963452629233</c:v>
                </c:pt>
                <c:pt idx="187">
                  <c:v>47.124178255215497</c:v>
                </c:pt>
                <c:pt idx="188">
                  <c:v>47.019072912464139</c:v>
                </c:pt>
                <c:pt idx="189">
                  <c:v>46.914314602854517</c:v>
                </c:pt>
                <c:pt idx="190">
                  <c:v>46.809899477257943</c:v>
                </c:pt>
                <c:pt idx="191">
                  <c:v>46.705823730118311</c:v>
                </c:pt>
                <c:pt idx="192">
                  <c:v>46.602083597027558</c:v>
                </c:pt>
                <c:pt idx="193">
                  <c:v>46.498675352356031</c:v>
                </c:pt>
                <c:pt idx="194">
                  <c:v>46.395595306932762</c:v>
                </c:pt>
                <c:pt idx="195">
                  <c:v>46.292839805770541</c:v>
                </c:pt>
                <c:pt idx="196">
                  <c:v>46.190405225833899</c:v>
                </c:pt>
                <c:pt idx="197">
                  <c:v>46.088287973843137</c:v>
                </c:pt>
                <c:pt idx="198">
                  <c:v>45.986484484112964</c:v>
                </c:pt>
                <c:pt idx="199">
                  <c:v>45.884991216420588</c:v>
                </c:pt>
                <c:pt idx="200">
                  <c:v>45.783804653899608</c:v>
                </c:pt>
                <c:pt idx="201">
                  <c:v>45.682921300957048</c:v>
                </c:pt>
                <c:pt idx="202">
                  <c:v>45.582337681208401</c:v>
                </c:pt>
                <c:pt idx="203">
                  <c:v>45.482050335428653</c:v>
                </c:pt>
                <c:pt idx="204">
                  <c:v>45.382055819514278</c:v>
                </c:pt>
                <c:pt idx="205">
                  <c:v>45.282350702453925</c:v>
                </c:pt>
                <c:pt idx="206">
                  <c:v>45.182931564304283</c:v>
                </c:pt>
                <c:pt idx="207">
                  <c:v>45.083794994165999</c:v>
                </c:pt>
                <c:pt idx="208">
                  <c:v>44.9849375881588</c:v>
                </c:pt>
                <c:pt idx="209">
                  <c:v>44.886355947389404</c:v>
                </c:pt>
                <c:pt idx="210">
                  <c:v>44.788046675911573</c:v>
                </c:pt>
                <c:pt idx="211">
                  <c:v>44.690006378672081</c:v>
                </c:pt>
                <c:pt idx="212">
                  <c:v>44.592231659440927</c:v>
                </c:pt>
                <c:pt idx="213">
                  <c:v>44.494719118721036</c:v>
                </c:pt>
                <c:pt idx="214">
                  <c:v>44.397465351633741</c:v>
                </c:pt>
                <c:pt idx="215">
                  <c:v>44.300466945776861</c:v>
                </c:pt>
                <c:pt idx="216">
                  <c:v>44.203720479050446</c:v>
                </c:pt>
                <c:pt idx="217">
                  <c:v>44.107222517446758</c:v>
                </c:pt>
                <c:pt idx="218">
                  <c:v>44.010969612800295</c:v>
                </c:pt>
                <c:pt idx="219">
                  <c:v>43.914958300492913</c:v>
                </c:pt>
                <c:pt idx="220">
                  <c:v>43.81918509710988</c:v>
                </c:pt>
                <c:pt idx="221">
                  <c:v>43.723646498043024</c:v>
                </c:pt>
                <c:pt idx="222">
                  <c:v>43.628338975034012</c:v>
                </c:pt>
                <c:pt idx="223">
                  <c:v>43.533258973655222</c:v>
                </c:pt>
                <c:pt idx="224">
                  <c:v>43.438402910720868</c:v>
                </c:pt>
                <c:pt idx="225">
                  <c:v>43.343767171623824</c:v>
                </c:pt>
                <c:pt idx="226">
                  <c:v>43.249348107592937</c:v>
                </c:pt>
                <c:pt idx="227">
                  <c:v>43.155142032862898</c:v>
                </c:pt>
                <c:pt idx="228">
                  <c:v>43.061145221752497</c:v>
                </c:pt>
                <c:pt idx="229">
                  <c:v>42.967353905643222</c:v>
                </c:pt>
                <c:pt idx="230">
                  <c:v>42.873764269851904</c:v>
                </c:pt>
                <c:pt idx="231">
                  <c:v>42.780372450389507</c:v>
                </c:pt>
                <c:pt idx="232">
                  <c:v>42.687174530599066</c:v>
                </c:pt>
                <c:pt idx="233">
                  <c:v>42.594166537664137</c:v>
                </c:pt>
                <c:pt idx="234">
                  <c:v>42.501344438979288</c:v>
                </c:pt>
                <c:pt idx="235">
                  <c:v>42.408704138374503</c:v>
                </c:pt>
                <c:pt idx="236">
                  <c:v>42.316241472182128</c:v>
                </c:pt>
                <c:pt idx="237">
                  <c:v>42.223952205139369</c:v>
                </c:pt>
                <c:pt idx="238">
                  <c:v>42.131832026112875</c:v>
                </c:pt>
                <c:pt idx="239">
                  <c:v>42.039876543636638</c:v>
                </c:pt>
                <c:pt idx="240">
                  <c:v>41.948081281251405</c:v>
                </c:pt>
                <c:pt idx="241">
                  <c:v>41.856441672632059</c:v>
                </c:pt>
                <c:pt idx="242">
                  <c:v>41.764953056492914</c:v>
                </c:pt>
                <c:pt idx="243">
                  <c:v>41.67361067125529</c:v>
                </c:pt>
                <c:pt idx="244">
                  <c:v>41.582409649466058</c:v>
                </c:pt>
                <c:pt idx="245">
                  <c:v>41.491345011950614</c:v>
                </c:pt>
                <c:pt idx="246">
                  <c:v>41.400411661687656</c:v>
                </c:pt>
                <c:pt idx="247">
                  <c:v>41.309604377388951</c:v>
                </c:pt>
                <c:pt idx="248">
                  <c:v>41.218917806769639</c:v>
                </c:pt>
                <c:pt idx="249">
                  <c:v>41.128346459493116</c:v>
                </c:pt>
                <c:pt idx="250">
                  <c:v>41.037884699773656</c:v>
                </c:pt>
                <c:pt idx="251">
                  <c:v>40.947526738621775</c:v>
                </c:pt>
                <c:pt idx="252">
                  <c:v>40.857266625715738</c:v>
                </c:pt>
                <c:pt idx="253">
                  <c:v>40.767098240885389</c:v>
                </c:pt>
                <c:pt idx="254">
                  <c:v>40.677015285191885</c:v>
                </c:pt>
                <c:pt idx="255">
                  <c:v>40.587011271591962</c:v>
                </c:pt>
                <c:pt idx="256">
                  <c:v>40.497079515175699</c:v>
                </c:pt>
                <c:pt idx="257">
                  <c:v>40.407213122968244</c:v>
                </c:pt>
                <c:pt idx="258">
                  <c:v>40.317404983292192</c:v>
                </c:pt>
                <c:pt idx="259">
                  <c:v>40.227647754690395</c:v>
                </c:pt>
                <c:pt idx="260">
                  <c:v>40.137933854415223</c:v>
                </c:pt>
                <c:pt idx="261">
                  <c:v>40.048255446499979</c:v>
                </c:pt>
                <c:pt idx="262">
                  <c:v>39.958604429436775</c:v>
                </c:pt>
                <c:pt idx="263">
                  <c:v>39.868972423500622</c:v>
                </c:pt>
                <c:pt idx="264">
                  <c:v>39.779350757774353</c:v>
                </c:pt>
                <c:pt idx="265">
                  <c:v>39.689730456952645</c:v>
                </c:pt>
                <c:pt idx="266">
                  <c:v>39.600102228029698</c:v>
                </c:pt>
                <c:pt idx="267">
                  <c:v>39.510456447008949</c:v>
                </c:pt>
                <c:pt idx="268">
                  <c:v>39.420783145818746</c:v>
                </c:pt>
                <c:pt idx="269">
                  <c:v>39.33107199967003</c:v>
                </c:pt>
                <c:pt idx="270">
                  <c:v>39.241312315161849</c:v>
                </c:pt>
                <c:pt idx="271">
                  <c:v>39.151493019527379</c:v>
                </c:pt>
                <c:pt idx="272">
                  <c:v>39.061602651521525</c:v>
                </c:pt>
                <c:pt idx="273">
                  <c:v>38.971629354586184</c:v>
                </c:pt>
                <c:pt idx="274">
                  <c:v>38.881560873105343</c:v>
                </c:pt>
                <c:pt idx="275">
                  <c:v>38.791384552775014</c:v>
                </c:pt>
                <c:pt idx="276">
                  <c:v>38.701087346389841</c:v>
                </c:pt>
                <c:pt idx="277">
                  <c:v>38.610655826693005</c:v>
                </c:pt>
                <c:pt idx="278">
                  <c:v>38.520076208370313</c:v>
                </c:pt>
                <c:pt idx="279">
                  <c:v>38.429334381824731</c:v>
                </c:pt>
                <c:pt idx="280">
                  <c:v>38.338415962057013</c:v>
                </c:pt>
                <c:pt idx="281">
                  <c:v>38.247306356863191</c:v>
                </c:pt>
                <c:pt idx="282">
                  <c:v>38.155990859657834</c:v>
                </c:pt>
                <c:pt idx="283">
                  <c:v>38.064454773626721</c:v>
                </c:pt>
                <c:pt idx="284">
                  <c:v>37.972683575642691</c:v>
                </c:pt>
                <c:pt idx="285">
                  <c:v>37.880663130531389</c:v>
                </c:pt>
                <c:pt idx="286">
                  <c:v>37.788379968904906</c:v>
                </c:pt>
                <c:pt idx="287">
                  <c:v>37.695821644943805</c:v>
                </c:pt>
                <c:pt idx="288">
                  <c:v>37.602977194182699</c:v>
                </c:pt>
                <c:pt idx="289">
                  <c:v>37.509837715401204</c:v>
                </c:pt>
                <c:pt idx="290">
                  <c:v>37.416397104716452</c:v>
                </c:pt>
                <c:pt idx="291">
                  <c:v>37.32265297296442</c:v>
                </c:pt>
                <c:pt idx="292">
                  <c:v>37.228607777481955</c:v>
                </c:pt>
                <c:pt idx="293">
                  <c:v>37.134270192640201</c:v>
                </c:pt>
                <c:pt idx="294">
                  <c:v>37.039656722811685</c:v>
                </c:pt>
                <c:pt idx="295">
                  <c:v>36.944793514071648</c:v>
                </c:pt>
                <c:pt idx="296">
                  <c:v>36.849718224994035</c:v>
                </c:pt>
                <c:pt idx="297">
                  <c:v>36.754481638090112</c:v>
                </c:pt>
                <c:pt idx="298">
                  <c:v>36.659148387193454</c:v>
                </c:pt>
                <c:pt idx="299">
                  <c:v>36.563795715022366</c:v>
                </c:pt>
                <c:pt idx="300">
                  <c:v>36.4685086597392</c:v>
                </c:pt>
                <c:pt idx="301">
                  <c:v>36.373370048277707</c:v>
                </c:pt>
                <c:pt idx="302">
                  <c:v>36.278445739887388</c:v>
                </c:pt>
                <c:pt idx="303">
                  <c:v>36.183771993792675</c:v>
                </c:pt>
                <c:pt idx="304">
                  <c:v>36.089358312921888</c:v>
                </c:pt>
                <c:pt idx="305">
                  <c:v>35.995204439863187</c:v>
                </c:pt>
                <c:pt idx="306">
                  <c:v>35.901309329069704</c:v>
                </c:pt>
                <c:pt idx="307">
                  <c:v>35.807671937661041</c:v>
                </c:pt>
                <c:pt idx="308">
                  <c:v>35.714291228438867</c:v>
                </c:pt>
                <c:pt idx="309">
                  <c:v>35.621166169847868</c:v>
                </c:pt>
                <c:pt idx="310">
                  <c:v>35.528295735936581</c:v>
                </c:pt>
                <c:pt idx="311">
                  <c:v>35.435678906318913</c:v>
                </c:pt>
                <c:pt idx="312">
                  <c:v>35.34331466613537</c:v>
                </c:pt>
                <c:pt idx="313">
                  <c:v>35.25120200601566</c:v>
                </c:pt>
                <c:pt idx="314">
                  <c:v>35.15933992204026</c:v>
                </c:pt>
                <c:pt idx="315">
                  <c:v>35.0677274157037</c:v>
                </c:pt>
                <c:pt idx="316">
                  <c:v>34.976363493876988</c:v>
                </c:pt>
                <c:pt idx="317">
                  <c:v>34.885247168771059</c:v>
                </c:pt>
                <c:pt idx="318">
                  <c:v>34.794377457900339</c:v>
                </c:pt>
                <c:pt idx="319">
                  <c:v>34.703753384046479</c:v>
                </c:pt>
                <c:pt idx="320">
                  <c:v>34.61337397522243</c:v>
                </c:pt>
                <c:pt idx="321">
                  <c:v>34.523238264636916</c:v>
                </c:pt>
                <c:pt idx="322">
                  <c:v>34.433345290659531</c:v>
                </c:pt>
                <c:pt idx="323">
                  <c:v>34.343694096784986</c:v>
                </c:pt>
                <c:pt idx="324">
                  <c:v>34.254283731599116</c:v>
                </c:pt>
                <c:pt idx="325">
                  <c:v>34.165113248744092</c:v>
                </c:pt>
                <c:pt idx="326">
                  <c:v>34.076181706884483</c:v>
                </c:pt>
                <c:pt idx="327">
                  <c:v>33.987488169673099</c:v>
                </c:pt>
                <c:pt idx="328">
                  <c:v>33.899031705718073</c:v>
                </c:pt>
                <c:pt idx="329">
                  <c:v>33.810811388548643</c:v>
                </c:pt>
                <c:pt idx="330">
                  <c:v>33.72282629658298</c:v>
                </c:pt>
                <c:pt idx="331">
                  <c:v>33.635075513094876</c:v>
                </c:pt>
                <c:pt idx="332">
                  <c:v>33.547558126181514</c:v>
                </c:pt>
                <c:pt idx="333">
                  <c:v>33.460273228731126</c:v>
                </c:pt>
                <c:pt idx="334">
                  <c:v>33.373219918391158</c:v>
                </c:pt>
                <c:pt idx="335">
                  <c:v>33.286397297536439</c:v>
                </c:pt>
                <c:pt idx="336">
                  <c:v>33.199804473237805</c:v>
                </c:pt>
                <c:pt idx="337">
                  <c:v>33.113440557230774</c:v>
                </c:pt>
                <c:pt idx="338">
                  <c:v>33.027304665884913</c:v>
                </c:pt>
                <c:pt idx="339">
                  <c:v>32.941395920172738</c:v>
                </c:pt>
                <c:pt idx="340">
                  <c:v>32.855713445639594</c:v>
                </c:pt>
                <c:pt idx="341">
                  <c:v>32.770256372373353</c:v>
                </c:pt>
                <c:pt idx="342">
                  <c:v>32.685023834974288</c:v>
                </c:pt>
                <c:pt idx="343">
                  <c:v>32.600014972525742</c:v>
                </c:pt>
                <c:pt idx="344">
                  <c:v>32.51522892856417</c:v>
                </c:pt>
                <c:pt idx="345">
                  <c:v>32.430664851050153</c:v>
                </c:pt>
                <c:pt idx="346">
                  <c:v>32.346321892339631</c:v>
                </c:pt>
                <c:pt idx="347">
                  <c:v>32.26219920915446</c:v>
                </c:pt>
                <c:pt idx="348">
                  <c:v>32.178295962554671</c:v>
                </c:pt>
                <c:pt idx="349">
                  <c:v>32.094611317909369</c:v>
                </c:pt>
                <c:pt idx="350">
                  <c:v>32.011144444869274</c:v>
                </c:pt>
                <c:pt idx="351">
                  <c:v>31.927894517338359</c:v>
                </c:pt>
                <c:pt idx="352">
                  <c:v>31.844860713446565</c:v>
                </c:pt>
                <c:pt idx="353">
                  <c:v>31.762042215522058</c:v>
                </c:pt>
                <c:pt idx="354">
                  <c:v>31.679438210064234</c:v>
                </c:pt>
                <c:pt idx="355">
                  <c:v>31.597047887716599</c:v>
                </c:pt>
                <c:pt idx="356">
                  <c:v>31.514870443239943</c:v>
                </c:pt>
                <c:pt idx="357">
                  <c:v>31.432905075485962</c:v>
                </c:pt>
                <c:pt idx="358">
                  <c:v>31.351150987370545</c:v>
                </c:pt>
                <c:pt idx="359">
                  <c:v>31.269607385847962</c:v>
                </c:pt>
                <c:pt idx="360">
                  <c:v>31.188273481884607</c:v>
                </c:pt>
                <c:pt idx="361">
                  <c:v>31.107148490433417</c:v>
                </c:pt>
                <c:pt idx="362">
                  <c:v>31.026231630408233</c:v>
                </c:pt>
                <c:pt idx="363">
                  <c:v>30.94552212465851</c:v>
                </c:pt>
                <c:pt idx="364">
                  <c:v>30.865019199943958</c:v>
                </c:pt>
                <c:pt idx="365">
                  <c:v>30.784722086909824</c:v>
                </c:pt>
                <c:pt idx="366">
                  <c:v>30.704630020062154</c:v>
                </c:pt>
                <c:pt idx="367">
                  <c:v>30.62474223774268</c:v>
                </c:pt>
                <c:pt idx="368">
                  <c:v>30.545057982105163</c:v>
                </c:pt>
                <c:pt idx="369">
                  <c:v>30.465576499090616</c:v>
                </c:pt>
                <c:pt idx="370">
                  <c:v>30.386297038403768</c:v>
                </c:pt>
                <c:pt idx="371">
                  <c:v>30.307218853488621</c:v>
                </c:pt>
                <c:pt idx="372">
                  <c:v>30.22834120150543</c:v>
                </c:pt>
                <c:pt idx="373">
                  <c:v>30.149663343306827</c:v>
                </c:pt>
                <c:pt idx="374">
                  <c:v>30.071184543414688</c:v>
                </c:pt>
                <c:pt idx="375">
                  <c:v>29.992904069996996</c:v>
                </c:pt>
                <c:pt idx="376">
                  <c:v>29.914821194844876</c:v>
                </c:pt>
                <c:pt idx="377">
                  <c:v>29.836935193349916</c:v>
                </c:pt>
                <c:pt idx="378">
                  <c:v>22.631118282764476</c:v>
                </c:pt>
                <c:pt idx="379">
                  <c:v>22.570610614963982</c:v>
                </c:pt>
                <c:pt idx="380">
                  <c:v>22.510239179575024</c:v>
                </c:pt>
                <c:pt idx="381">
                  <c:v>22.450003536880672</c:v>
                </c:pt>
                <c:pt idx="382">
                  <c:v>22.389903249062911</c:v>
                </c:pt>
                <c:pt idx="383">
                  <c:v>22.329937880192574</c:v>
                </c:pt>
                <c:pt idx="384">
                  <c:v>22.270106996218658</c:v>
                </c:pt>
                <c:pt idx="385">
                  <c:v>22.21041016495866</c:v>
                </c:pt>
                <c:pt idx="386">
                  <c:v>22.150846956087946</c:v>
                </c:pt>
                <c:pt idx="387">
                  <c:v>22.091416941129808</c:v>
                </c:pt>
                <c:pt idx="388">
                  <c:v>22.032119693445452</c:v>
                </c:pt>
                <c:pt idx="389">
                  <c:v>21.972954788223944</c:v>
                </c:pt>
                <c:pt idx="390">
                  <c:v>21.91392180247226</c:v>
                </c:pt>
                <c:pt idx="391">
                  <c:v>21.855020315005561</c:v>
                </c:pt>
                <c:pt idx="392">
                  <c:v>21.796249906437424</c:v>
                </c:pt>
                <c:pt idx="393">
                  <c:v>21.737610159170003</c:v>
                </c:pt>
                <c:pt idx="394">
                  <c:v>21.679100657384311</c:v>
                </c:pt>
                <c:pt idx="395">
                  <c:v>21.620720987031063</c:v>
                </c:pt>
                <c:pt idx="396">
                  <c:v>21.562470735820511</c:v>
                </c:pt>
                <c:pt idx="397">
                  <c:v>21.504349493213567</c:v>
                </c:pt>
                <c:pt idx="398">
                  <c:v>21.446356850411973</c:v>
                </c:pt>
                <c:pt idx="399">
                  <c:v>21.388492400349321</c:v>
                </c:pt>
                <c:pt idx="400">
                  <c:v>21.330755737681329</c:v>
                </c:pt>
                <c:pt idx="401">
                  <c:v>21.273146458777092</c:v>
                </c:pt>
                <c:pt idx="402">
                  <c:v>21.215664161709583</c:v>
                </c:pt>
                <c:pt idx="403">
                  <c:v>21.158308446246735</c:v>
                </c:pt>
                <c:pt idx="404">
                  <c:v>21.1010789138424</c:v>
                </c:pt>
                <c:pt idx="405">
                  <c:v>21.043975167627195</c:v>
                </c:pt>
                <c:pt idx="406">
                  <c:v>20.986996812399752</c:v>
                </c:pt>
                <c:pt idx="407">
                  <c:v>20.930143454617678</c:v>
                </c:pt>
                <c:pt idx="408">
                  <c:v>20.873414702389084</c:v>
                </c:pt>
                <c:pt idx="409">
                  <c:v>20.816810165463323</c:v>
                </c:pt>
                <c:pt idx="410">
                  <c:v>20.760329455222859</c:v>
                </c:pt>
                <c:pt idx="411">
                  <c:v>20.703972184674171</c:v>
                </c:pt>
                <c:pt idx="412">
                  <c:v>20.647737968439174</c:v>
                </c:pt>
                <c:pt idx="413">
                  <c:v>20.591626422747311</c:v>
                </c:pt>
                <c:pt idx="414">
                  <c:v>20.535637165426238</c:v>
                </c:pt>
                <c:pt idx="415">
                  <c:v>20.479769815893803</c:v>
                </c:pt>
                <c:pt idx="416">
                  <c:v>20.424023995149867</c:v>
                </c:pt>
                <c:pt idx="417">
                  <c:v>20.368399325767541</c:v>
                </c:pt>
                <c:pt idx="418">
                  <c:v>20.312895431885408</c:v>
                </c:pt>
                <c:pt idx="419">
                  <c:v>20.257511939198878</c:v>
                </c:pt>
                <c:pt idx="420">
                  <c:v>20.202248474952341</c:v>
                </c:pt>
                <c:pt idx="421">
                  <c:v>20.147104667930762</c:v>
                </c:pt>
                <c:pt idx="422">
                  <c:v>20.092080148452055</c:v>
                </c:pt>
                <c:pt idx="423">
                  <c:v>20.037174548358735</c:v>
                </c:pt>
                <c:pt idx="424">
                  <c:v>19.98238750101001</c:v>
                </c:pt>
                <c:pt idx="425">
                  <c:v>19.927718641273941</c:v>
                </c:pt>
                <c:pt idx="426">
                  <c:v>19.873167605519711</c:v>
                </c:pt>
                <c:pt idx="427">
                  <c:v>19.818734031609665</c:v>
                </c:pt>
                <c:pt idx="428">
                  <c:v>19.764417558891466</c:v>
                </c:pt>
                <c:pt idx="429">
                  <c:v>19.71021782819065</c:v>
                </c:pt>
                <c:pt idx="430">
                  <c:v>19.656134481802781</c:v>
                </c:pt>
                <c:pt idx="431">
                  <c:v>19.602167163486001</c:v>
                </c:pt>
                <c:pt idx="432">
                  <c:v>19.548315518453194</c:v>
                </c:pt>
                <c:pt idx="433">
                  <c:v>19.494579193364814</c:v>
                </c:pt>
                <c:pt idx="434">
                  <c:v>19.440957836321161</c:v>
                </c:pt>
                <c:pt idx="435">
                  <c:v>19.387451096855159</c:v>
                </c:pt>
                <c:pt idx="436">
                  <c:v>19.334058625924854</c:v>
                </c:pt>
                <c:pt idx="437">
                  <c:v>19.28078007590608</c:v>
                </c:pt>
                <c:pt idx="438">
                  <c:v>19.227615100585183</c:v>
                </c:pt>
                <c:pt idx="439">
                  <c:v>19.174563355151975</c:v>
                </c:pt>
                <c:pt idx="440">
                  <c:v>19.121624496192283</c:v>
                </c:pt>
                <c:pt idx="441">
                  <c:v>19.068798181680961</c:v>
                </c:pt>
                <c:pt idx="442">
                  <c:v>19.016084070974671</c:v>
                </c:pt>
                <c:pt idx="443">
                  <c:v>18.963481824804944</c:v>
                </c:pt>
                <c:pt idx="444">
                  <c:v>18.910991105271307</c:v>
                </c:pt>
                <c:pt idx="445">
                  <c:v>18.858611575833777</c:v>
                </c:pt>
                <c:pt idx="446">
                  <c:v>18.806342901306607</c:v>
                </c:pt>
                <c:pt idx="447">
                  <c:v>18.754184747850729</c:v>
                </c:pt>
                <c:pt idx="448">
                  <c:v>18.702136782967727</c:v>
                </c:pt>
                <c:pt idx="449">
                  <c:v>18.650198675492277</c:v>
                </c:pt>
                <c:pt idx="450">
                  <c:v>18.598370095585665</c:v>
                </c:pt>
                <c:pt idx="451">
                  <c:v>18.546650714729367</c:v>
                </c:pt>
                <c:pt idx="452">
                  <c:v>18.495040205717714</c:v>
                </c:pt>
                <c:pt idx="453">
                  <c:v>18.443538242651982</c:v>
                </c:pt>
                <c:pt idx="454">
                  <c:v>18.392144500933341</c:v>
                </c:pt>
                <c:pt idx="455">
                  <c:v>18.340858657256376</c:v>
                </c:pt>
                <c:pt idx="456">
                  <c:v>18.289680389602893</c:v>
                </c:pt>
                <c:pt idx="457">
                  <c:v>18.238609377234695</c:v>
                </c:pt>
                <c:pt idx="458">
                  <c:v>18.187645300688132</c:v>
                </c:pt>
                <c:pt idx="459">
                  <c:v>18.136787841766989</c:v>
                </c:pt>
                <c:pt idx="460">
                  <c:v>18.086036683536292</c:v>
                </c:pt>
                <c:pt idx="461">
                  <c:v>18.035391510316174</c:v>
                </c:pt>
                <c:pt idx="462">
                  <c:v>17.984852007675443</c:v>
                </c:pt>
                <c:pt idx="463">
                  <c:v>17.934417862425391</c:v>
                </c:pt>
                <c:pt idx="464">
                  <c:v>17.884088762613487</c:v>
                </c:pt>
                <c:pt idx="465">
                  <c:v>17.833864397517402</c:v>
                </c:pt>
                <c:pt idx="466">
                  <c:v>17.783744457638761</c:v>
                </c:pt>
                <c:pt idx="467">
                  <c:v>17.733728634697059</c:v>
                </c:pt>
                <c:pt idx="468">
                  <c:v>17.683816621623691</c:v>
                </c:pt>
                <c:pt idx="469">
                  <c:v>17.634008112555705</c:v>
                </c:pt>
                <c:pt idx="470">
                  <c:v>17.584302802830166</c:v>
                </c:pt>
                <c:pt idx="471">
                  <c:v>17.53470038897791</c:v>
                </c:pt>
                <c:pt idx="472">
                  <c:v>17.485200568717801</c:v>
                </c:pt>
                <c:pt idx="473">
                  <c:v>17.435803040950816</c:v>
                </c:pt>
                <c:pt idx="474">
                  <c:v>17.386507505754196</c:v>
                </c:pt>
                <c:pt idx="475">
                  <c:v>17.337313664375642</c:v>
                </c:pt>
                <c:pt idx="476">
                  <c:v>17.288221219227523</c:v>
                </c:pt>
                <c:pt idx="477">
                  <c:v>17.2392298738813</c:v>
                </c:pt>
                <c:pt idx="478">
                  <c:v>17.190339333061502</c:v>
                </c:pt>
                <c:pt idx="479">
                  <c:v>17.141549302640385</c:v>
                </c:pt>
                <c:pt idx="480">
                  <c:v>17.092859489632247</c:v>
                </c:pt>
                <c:pt idx="481">
                  <c:v>17.044269602187512</c:v>
                </c:pt>
                <c:pt idx="482">
                  <c:v>16.995779349587622</c:v>
                </c:pt>
                <c:pt idx="483">
                  <c:v>16.94738844223923</c:v>
                </c:pt>
                <c:pt idx="484">
                  <c:v>16.899096591668638</c:v>
                </c:pt>
                <c:pt idx="485">
                  <c:v>16.850903510516787</c:v>
                </c:pt>
                <c:pt idx="486">
                  <c:v>16.802808912533067</c:v>
                </c:pt>
                <c:pt idx="487">
                  <c:v>16.754812512570538</c:v>
                </c:pt>
                <c:pt idx="488">
                  <c:v>16.706914026580478</c:v>
                </c:pt>
                <c:pt idx="489">
                  <c:v>16.659113171606748</c:v>
                </c:pt>
                <c:pt idx="490">
                  <c:v>16.611409665780684</c:v>
                </c:pt>
                <c:pt idx="491">
                  <c:v>16.563803228315862</c:v>
                </c:pt>
                <c:pt idx="492">
                  <c:v>16.516293579502701</c:v>
                </c:pt>
                <c:pt idx="493">
                  <c:v>16.468880440703458</c:v>
                </c:pt>
                <c:pt idx="494">
                  <c:v>16.421563534346888</c:v>
                </c:pt>
                <c:pt idx="495">
                  <c:v>16.374342583922953</c:v>
                </c:pt>
                <c:pt idx="496">
                  <c:v>16.327217313978167</c:v>
                </c:pt>
                <c:pt idx="497">
                  <c:v>16.280187450109963</c:v>
                </c:pt>
                <c:pt idx="498">
                  <c:v>16.233252718962092</c:v>
                </c:pt>
                <c:pt idx="499">
                  <c:v>16.186412848219163</c:v>
                </c:pt>
                <c:pt idx="500">
                  <c:v>16.139667566601929</c:v>
                </c:pt>
                <c:pt idx="501">
                  <c:v>16.093016603862281</c:v>
                </c:pt>
                <c:pt idx="502">
                  <c:v>16.046459690778249</c:v>
                </c:pt>
                <c:pt idx="503">
                  <c:v>15.999996559149054</c:v>
                </c:pt>
                <c:pt idx="504">
                  <c:v>15.953626941790162</c:v>
                </c:pt>
                <c:pt idx="505">
                  <c:v>15.907350572528742</c:v>
                </c:pt>
                <c:pt idx="506">
                  <c:v>15.861167186198429</c:v>
                </c:pt>
                <c:pt idx="507">
                  <c:v>15.815076518634783</c:v>
                </c:pt>
                <c:pt idx="508">
                  <c:v>15.769078306670337</c:v>
                </c:pt>
                <c:pt idx="509">
                  <c:v>15.723172288130058</c:v>
                </c:pt>
                <c:pt idx="510">
                  <c:v>15.677358201826451</c:v>
                </c:pt>
                <c:pt idx="511">
                  <c:v>15.631635787554899</c:v>
                </c:pt>
                <c:pt idx="512">
                  <c:v>15.586004786089063</c:v>
                </c:pt>
                <c:pt idx="513">
                  <c:v>15.540464939176161</c:v>
                </c:pt>
                <c:pt idx="514">
                  <c:v>15.495015989532476</c:v>
                </c:pt>
                <c:pt idx="515">
                  <c:v>15.449657680838527</c:v>
                </c:pt>
                <c:pt idx="516">
                  <c:v>15.404389757734748</c:v>
                </c:pt>
                <c:pt idx="517">
                  <c:v>15.359211965816996</c:v>
                </c:pt>
                <c:pt idx="518">
                  <c:v>15.314124051631723</c:v>
                </c:pt>
                <c:pt idx="519">
                  <c:v>15.26912576267182</c:v>
                </c:pt>
                <c:pt idx="520">
                  <c:v>15.224216847371963</c:v>
                </c:pt>
                <c:pt idx="521">
                  <c:v>15.179397055104118</c:v>
                </c:pt>
                <c:pt idx="522">
                  <c:v>15.134666136173621</c:v>
                </c:pt>
                <c:pt idx="523">
                  <c:v>15.090023841814173</c:v>
                </c:pt>
                <c:pt idx="524">
                  <c:v>15.045469924183692</c:v>
                </c:pt>
                <c:pt idx="525">
                  <c:v>15.00100413636028</c:v>
                </c:pt>
                <c:pt idx="526">
                  <c:v>14.956626232337442</c:v>
                </c:pt>
                <c:pt idx="527">
                  <c:v>14.912335967020226</c:v>
                </c:pt>
                <c:pt idx="528">
                  <c:v>14.868133096220618</c:v>
                </c:pt>
                <c:pt idx="529">
                  <c:v>14.824017376653671</c:v>
                </c:pt>
                <c:pt idx="530">
                  <c:v>14.77998856593274</c:v>
                </c:pt>
                <c:pt idx="531">
                  <c:v>14.736046422566062</c:v>
                </c:pt>
                <c:pt idx="532">
                  <c:v>14.692190705951873</c:v>
                </c:pt>
                <c:pt idx="533">
                  <c:v>14.648421176374654</c:v>
                </c:pt>
                <c:pt idx="534">
                  <c:v>14.604737595001097</c:v>
                </c:pt>
                <c:pt idx="535">
                  <c:v>14.561139723875499</c:v>
                </c:pt>
                <c:pt idx="536">
                  <c:v>14.517627325916465</c:v>
                </c:pt>
                <c:pt idx="537">
                  <c:v>14.474200164912077</c:v>
                </c:pt>
                <c:pt idx="538">
                  <c:v>14.43085800551637</c:v>
                </c:pt>
                <c:pt idx="539">
                  <c:v>14.387600613245354</c:v>
                </c:pt>
                <c:pt idx="540">
                  <c:v>14.344427754472576</c:v>
                </c:pt>
                <c:pt idx="541">
                  <c:v>14.301339196425658</c:v>
                </c:pt>
                <c:pt idx="542">
                  <c:v>14.258334707182087</c:v>
                </c:pt>
                <c:pt idx="543">
                  <c:v>14.215414055665462</c:v>
                </c:pt>
                <c:pt idx="544">
                  <c:v>14.172577011641351</c:v>
                </c:pt>
                <c:pt idx="545">
                  <c:v>14.129823345713817</c:v>
                </c:pt>
                <c:pt idx="546">
                  <c:v>14.087152829321212</c:v>
                </c:pt>
                <c:pt idx="547">
                  <c:v>14.044565234732374</c:v>
                </c:pt>
                <c:pt idx="548">
                  <c:v>14.002060335043211</c:v>
                </c:pt>
                <c:pt idx="549">
                  <c:v>13.959637904172382</c:v>
                </c:pt>
                <c:pt idx="550">
                  <c:v>13.917297716858002</c:v>
                </c:pt>
                <c:pt idx="551">
                  <c:v>13.87503954865349</c:v>
                </c:pt>
                <c:pt idx="552">
                  <c:v>13.832863175924103</c:v>
                </c:pt>
                <c:pt idx="553">
                  <c:v>13.7907683758433</c:v>
                </c:pt>
                <c:pt idx="554">
                  <c:v>13.748754926388813</c:v>
                </c:pt>
                <c:pt idx="555">
                  <c:v>13.706822606339131</c:v>
                </c:pt>
                <c:pt idx="556">
                  <c:v>13.664971195269857</c:v>
                </c:pt>
                <c:pt idx="557">
                  <c:v>13.623200473550071</c:v>
                </c:pt>
                <c:pt idx="558">
                  <c:v>13.581510222338807</c:v>
                </c:pt>
                <c:pt idx="559">
                  <c:v>13.539900223581242</c:v>
                </c:pt>
                <c:pt idx="560">
                  <c:v>13.498370260005402</c:v>
                </c:pt>
                <c:pt idx="561">
                  <c:v>13.456920115118521</c:v>
                </c:pt>
                <c:pt idx="562">
                  <c:v>13.415549573203407</c:v>
                </c:pt>
                <c:pt idx="563">
                  <c:v>13.374258419315197</c:v>
                </c:pt>
                <c:pt idx="564">
                  <c:v>13.333046439277666</c:v>
                </c:pt>
                <c:pt idx="565">
                  <c:v>13.291913419679645</c:v>
                </c:pt>
                <c:pt idx="566">
                  <c:v>13.250859147872063</c:v>
                </c:pt>
                <c:pt idx="567">
                  <c:v>13.209883411963915</c:v>
                </c:pt>
                <c:pt idx="568">
                  <c:v>13.168986000819302</c:v>
                </c:pt>
                <c:pt idx="569">
                  <c:v>13.128166704053854</c:v>
                </c:pt>
                <c:pt idx="570">
                  <c:v>13.087425312031371</c:v>
                </c:pt>
                <c:pt idx="571">
                  <c:v>13.046761615860532</c:v>
                </c:pt>
                <c:pt idx="572">
                  <c:v>13.006175407391424</c:v>
                </c:pt>
                <c:pt idx="573">
                  <c:v>12.96566647921253</c:v>
                </c:pt>
                <c:pt idx="574">
                  <c:v>12.925234624646976</c:v>
                </c:pt>
                <c:pt idx="575">
                  <c:v>12.884879637749577</c:v>
                </c:pt>
                <c:pt idx="576">
                  <c:v>12.844601313303656</c:v>
                </c:pt>
                <c:pt idx="577">
                  <c:v>12.804399446817399</c:v>
                </c:pt>
                <c:pt idx="578">
                  <c:v>12.764273837125586</c:v>
                </c:pt>
                <c:pt idx="579">
                  <c:v>12.72422495988576</c:v>
                </c:pt>
                <c:pt idx="580">
                  <c:v>12.684261596384488</c:v>
                </c:pt>
                <c:pt idx="581">
                  <c:v>12.644415213775744</c:v>
                </c:pt>
                <c:pt idx="582">
                  <c:v>12.604742193025743</c:v>
                </c:pt>
                <c:pt idx="583">
                  <c:v>12.565312902582434</c:v>
                </c:pt>
                <c:pt idx="584">
                  <c:v>12.526199070470966</c:v>
                </c:pt>
                <c:pt idx="585">
                  <c:v>12.487465295323034</c:v>
                </c:pt>
                <c:pt idx="586">
                  <c:v>12.449165030455276</c:v>
                </c:pt>
                <c:pt idx="587">
                  <c:v>12.411339624440302</c:v>
                </c:pt>
                <c:pt idx="588">
                  <c:v>12.374019034719709</c:v>
                </c:pt>
                <c:pt idx="589">
                  <c:v>12.337223280940009</c:v>
                </c:pt>
                <c:pt idx="590">
                  <c:v>12.300964103740455</c:v>
                </c:pt>
                <c:pt idx="591">
                  <c:v>12.265246558613342</c:v>
                </c:pt>
                <c:pt idx="592">
                  <c:v>12.23007042794768</c:v>
                </c:pt>
                <c:pt idx="593">
                  <c:v>12.195431416343183</c:v>
                </c:pt>
                <c:pt idx="594">
                  <c:v>12.161322134473153</c:v>
                </c:pt>
                <c:pt idx="595">
                  <c:v>12.127732894067037</c:v>
                </c:pt>
                <c:pt idx="596">
                  <c:v>12.094652342004053</c:v>
                </c:pt>
                <c:pt idx="597">
                  <c:v>12.062067961178968</c:v>
                </c:pt>
                <c:pt idx="598">
                  <c:v>12.029966462992491</c:v>
                </c:pt>
                <c:pt idx="599">
                  <c:v>11.998334092704795</c:v>
                </c:pt>
                <c:pt idx="600">
                  <c:v>11.967156865275911</c:v>
                </c:pt>
                <c:pt idx="601">
                  <c:v>11.936420746056399</c:v>
                </c:pt>
                <c:pt idx="602">
                  <c:v>11.906111787896862</c:v>
                </c:pt>
                <c:pt idx="603">
                  <c:v>11.876216233926414</c:v>
                </c:pt>
                <c:pt idx="604">
                  <c:v>11.846720593357873</c:v>
                </c:pt>
                <c:pt idx="605">
                  <c:v>11.817611696157428</c:v>
                </c:pt>
                <c:pt idx="606">
                  <c:v>11.788876731197263</c:v>
                </c:pt>
                <c:pt idx="607">
                  <c:v>11.760503271543769</c:v>
                </c:pt>
                <c:pt idx="608">
                  <c:v>11.732479289766843</c:v>
                </c:pt>
                <c:pt idx="609">
                  <c:v>11.704793165547699</c:v>
                </c:pt>
                <c:pt idx="610">
                  <c:v>11.677433687381551</c:v>
                </c:pt>
                <c:pt idx="611">
                  <c:v>11.650390049795362</c:v>
                </c:pt>
                <c:pt idx="612">
                  <c:v>11.623651847194083</c:v>
                </c:pt>
                <c:pt idx="613">
                  <c:v>11.597209065218408</c:v>
                </c:pt>
                <c:pt idx="614">
                  <c:v>11.571052070301732</c:v>
                </c:pt>
                <c:pt idx="615">
                  <c:v>11.54517159797058</c:v>
                </c:pt>
                <c:pt idx="616">
                  <c:v>11.519558740310401</c:v>
                </c:pt>
                <c:pt idx="617">
                  <c:v>11.494204932927971</c:v>
                </c:pt>
                <c:pt idx="618">
                  <c:v>11.469101941664633</c:v>
                </c:pt>
                <c:pt idx="619">
                  <c:v>11.444241849257594</c:v>
                </c:pt>
                <c:pt idx="620">
                  <c:v>11.419617042098878</c:v>
                </c:pt>
                <c:pt idx="621">
                  <c:v>11.395220197204537</c:v>
                </c:pt>
                <c:pt idx="622">
                  <c:v>11.371044269477238</c:v>
                </c:pt>
                <c:pt idx="623">
                  <c:v>11.347082479323149</c:v>
                </c:pt>
                <c:pt idx="624">
                  <c:v>11.323328300663832</c:v>
                </c:pt>
                <c:pt idx="625">
                  <c:v>11.299775449372589</c:v>
                </c:pt>
                <c:pt idx="626">
                  <c:v>11.276417872149352</c:v>
                </c:pt>
                <c:pt idx="627">
                  <c:v>11.253249735843895</c:v>
                </c:pt>
                <c:pt idx="628">
                  <c:v>11.230265417227201</c:v>
                </c:pt>
                <c:pt idx="629">
                  <c:v>11.207459493207125</c:v>
                </c:pt>
                <c:pt idx="630">
                  <c:v>11.184826731480371</c:v>
                </c:pt>
                <c:pt idx="631">
                  <c:v>11.162362081609388</c:v>
                </c:pt>
                <c:pt idx="632">
                  <c:v>11.140060666512341</c:v>
                </c:pt>
                <c:pt idx="633">
                  <c:v>11.117917774350303</c:v>
                </c:pt>
                <c:pt idx="634">
                  <c:v>11.095928850797463</c:v>
                </c:pt>
                <c:pt idx="635">
                  <c:v>11.074089491677626</c:v>
                </c:pt>
                <c:pt idx="636">
                  <c:v>11.052395435951496</c:v>
                </c:pt>
                <c:pt idx="637">
                  <c:v>11.030842559038149</c:v>
                </c:pt>
                <c:pt idx="638">
                  <c:v>11.009426866454419</c:v>
                </c:pt>
                <c:pt idx="639">
                  <c:v>10.988144487757552</c:v>
                </c:pt>
                <c:pt idx="640">
                  <c:v>10.966991670774235</c:v>
                </c:pt>
                <c:pt idx="641">
                  <c:v>10.945964776102755</c:v>
                </c:pt>
                <c:pt idx="642">
                  <c:v>10.925060271872724</c:v>
                </c:pt>
                <c:pt idx="643">
                  <c:v>10.904274728749101</c:v>
                </c:pt>
                <c:pt idx="644">
                  <c:v>10.883604815167814</c:v>
                </c:pt>
                <c:pt idx="645">
                  <c:v>10.863047292788906</c:v>
                </c:pt>
                <c:pt idx="646">
                  <c:v>10.842599012157052</c:v>
                </c:pt>
                <c:pt idx="647">
                  <c:v>10.822256908556255</c:v>
                </c:pt>
                <c:pt idx="648">
                  <c:v>10.802017998049052</c:v>
                </c:pt>
                <c:pt idx="649">
                  <c:v>10.781879373689037</c:v>
                </c:pt>
                <c:pt idx="650">
                  <c:v>10.761838201897376</c:v>
                </c:pt>
                <c:pt idx="651">
                  <c:v>10.741891718993543</c:v>
                </c:pt>
                <c:pt idx="652">
                  <c:v>10.722037227871965</c:v>
                </c:pt>
                <c:pt idx="653">
                  <c:v>10.702272094815214</c:v>
                </c:pt>
                <c:pt idx="654">
                  <c:v>10.682593746437306</c:v>
                </c:pt>
                <c:pt idx="655">
                  <c:v>10.662999666747453</c:v>
                </c:pt>
                <c:pt idx="656">
                  <c:v>10.643487394329213</c:v>
                </c:pt>
                <c:pt idx="657">
                  <c:v>10.624054519626952</c:v>
                </c:pt>
                <c:pt idx="658">
                  <c:v>10.604698682333151</c:v>
                </c:pt>
                <c:pt idx="659">
                  <c:v>10.585417568871264</c:v>
                </c:pt>
                <c:pt idx="660">
                  <c:v>10.56620890996777</c:v>
                </c:pt>
                <c:pt idx="661">
                  <c:v>10.547070478307432</c:v>
                </c:pt>
                <c:pt idx="662">
                  <c:v>10.528000086267753</c:v>
                </c:pt>
                <c:pt idx="663">
                  <c:v>10.508995583725891</c:v>
                </c:pt>
                <c:pt idx="664">
                  <c:v>10.490054855935568</c:v>
                </c:pt>
                <c:pt idx="665">
                  <c:v>10.471175821466716</c:v>
                </c:pt>
                <c:pt idx="666">
                  <c:v>10.452356430205839</c:v>
                </c:pt>
                <c:pt idx="667">
                  <c:v>10.433594661411462</c:v>
                </c:pt>
                <c:pt idx="668">
                  <c:v>10.414888521821638</c:v>
                </c:pt>
                <c:pt idx="669">
                  <c:v>10.396236043808813</c:v>
                </c:pt>
                <c:pt idx="670">
                  <c:v>10.377635283579252</c:v>
                </c:pt>
                <c:pt idx="671">
                  <c:v>10.359084319412489</c:v>
                </c:pt>
                <c:pt idx="672">
                  <c:v>10.340581249938964</c:v>
                </c:pt>
                <c:pt idx="673">
                  <c:v>10.32212419245019</c:v>
                </c:pt>
                <c:pt idx="674">
                  <c:v>10.303711281241192</c:v>
                </c:pt>
                <c:pt idx="675">
                  <c:v>10.285340665979049</c:v>
                </c:pt>
                <c:pt idx="676">
                  <c:v>10.26701051009735</c:v>
                </c:pt>
                <c:pt idx="677">
                  <c:v>10.248718989211341</c:v>
                </c:pt>
                <c:pt idx="678">
                  <c:v>10.230464289552685</c:v>
                </c:pt>
                <c:pt idx="679">
                  <c:v>10.212244606419347</c:v>
                </c:pt>
                <c:pt idx="680">
                  <c:v>10.194058142639619</c:v>
                </c:pt>
                <c:pt idx="681">
                  <c:v>10.175903107045826</c:v>
                </c:pt>
                <c:pt idx="682">
                  <c:v>10.157777712956431</c:v>
                </c:pt>
                <c:pt idx="683">
                  <c:v>10.139680176662694</c:v>
                </c:pt>
                <c:pt idx="684">
                  <c:v>10.121608715918399</c:v>
                </c:pt>
                <c:pt idx="685">
                  <c:v>10.103561548428502</c:v>
                </c:pt>
                <c:pt idx="686">
                  <c:v>10.085536890335618</c:v>
                </c:pt>
                <c:pt idx="687">
                  <c:v>10.067532954700539</c:v>
                </c:pt>
                <c:pt idx="688">
                  <c:v>10.049547949974624</c:v>
                </c:pt>
                <c:pt idx="689">
                  <c:v>10.03158007846082</c:v>
                </c:pt>
                <c:pt idx="690">
                  <c:v>10.013627534761326</c:v>
                </c:pt>
                <c:pt idx="691">
                  <c:v>9.9956885042082035</c:v>
                </c:pt>
                <c:pt idx="692">
                  <c:v>9.9777611612748274</c:v>
                </c:pt>
                <c:pt idx="693">
                  <c:v>9.9598436679643783</c:v>
                </c:pt>
                <c:pt idx="694">
                  <c:v>9.94193417217366</c:v>
                </c:pt>
                <c:pt idx="695">
                  <c:v>9.9240308060275311</c:v>
                </c:pt>
                <c:pt idx="696">
                  <c:v>9.9061316841817302</c:v>
                </c:pt>
                <c:pt idx="697">
                  <c:v>9.8882349020913693</c:v>
                </c:pt>
                <c:pt idx="698">
                  <c:v>9.8703385342396928</c:v>
                </c:pt>
                <c:pt idx="699">
                  <c:v>9.8524406323258518</c:v>
                </c:pt>
                <c:pt idx="700">
                  <c:v>9.8345392234064661</c:v>
                </c:pt>
                <c:pt idx="701">
                  <c:v>9.8166323079876747</c:v>
                </c:pt>
                <c:pt idx="702">
                  <c:v>9.7987178580635828</c:v>
                </c:pt>
                <c:pt idx="703">
                  <c:v>9.7807938150974678</c:v>
                </c:pt>
                <c:pt idx="704">
                  <c:v>9.7628580879398896</c:v>
                </c:pt>
                <c:pt idx="705">
                  <c:v>9.7449085506814299</c:v>
                </c:pt>
                <c:pt idx="706">
                  <c:v>9.7269430404326727</c:v>
                </c:pt>
                <c:pt idx="707">
                  <c:v>9.7089593550289806</c:v>
                </c:pt>
                <c:pt idx="708">
                  <c:v>9.69095525065228</c:v>
                </c:pt>
                <c:pt idx="709">
                  <c:v>9.6729284393666148</c:v>
                </c:pt>
                <c:pt idx="710">
                  <c:v>9.654876586559908</c:v>
                </c:pt>
                <c:pt idx="711">
                  <c:v>9.6367973082868161</c:v>
                </c:pt>
                <c:pt idx="712">
                  <c:v>9.6186881685055141</c:v>
                </c:pt>
                <c:pt idx="713">
                  <c:v>9.6005466762022706</c:v>
                </c:pt>
                <c:pt idx="714">
                  <c:v>9.582370282396198</c:v>
                </c:pt>
                <c:pt idx="715">
                  <c:v>9.5641563770169</c:v>
                </c:pt>
                <c:pt idx="716">
                  <c:v>9.5459022856468323</c:v>
                </c:pt>
                <c:pt idx="717">
                  <c:v>9.5276052661198491</c:v>
                </c:pt>
                <c:pt idx="718">
                  <c:v>9.5092625049680919</c:v>
                </c:pt>
                <c:pt idx="719">
                  <c:v>9.4908711137068735</c:v>
                </c:pt>
                <c:pt idx="720">
                  <c:v>9.4724281249481805</c:v>
                </c:pt>
                <c:pt idx="721">
                  <c:v>9.4539304883330146</c:v>
                </c:pt>
                <c:pt idx="722">
                  <c:v>9.4353750662713196</c:v>
                </c:pt>
                <c:pt idx="723">
                  <c:v>9.4167586294789771</c:v>
                </c:pt>
                <c:pt idx="724">
                  <c:v>9.3980778522990249</c:v>
                </c:pt>
                <c:pt idx="725">
                  <c:v>9.3793293077970361</c:v>
                </c:pt>
                <c:pt idx="726">
                  <c:v>9.3605094626157666</c:v>
                </c:pt>
                <c:pt idx="727">
                  <c:v>9.3416146715774744</c:v>
                </c:pt>
                <c:pt idx="728">
                  <c:v>9.3226411720206102</c:v>
                </c:pt>
                <c:pt idx="729">
                  <c:v>9.3035850778568374</c:v>
                </c:pt>
                <c:pt idx="730">
                  <c:v>9.2844423733341159</c:v>
                </c:pt>
                <c:pt idx="731">
                  <c:v>9.2652089064932284</c:v>
                </c:pt>
                <c:pt idx="732">
                  <c:v>9.2458803823033691</c:v>
                </c:pt>
                <c:pt idx="733">
                  <c:v>9.2264523554630955</c:v>
                </c:pt>
                <c:pt idx="734">
                  <c:v>9.2069202228549329</c:v>
                </c:pt>
                <c:pt idx="735">
                  <c:v>9.1872792156413539</c:v>
                </c:pt>
                <c:pt idx="736">
                  <c:v>9.167524390992412</c:v>
                </c:pt>
                <c:pt idx="737">
                  <c:v>9.1476506234370163</c:v>
                </c:pt>
                <c:pt idx="738">
                  <c:v>9.1276525958336947</c:v>
                </c:pt>
                <c:pt idx="739">
                  <c:v>9.1075247899582337</c:v>
                </c:pt>
                <c:pt idx="740">
                  <c:v>9.0872614767145024</c:v>
                </c:pt>
                <c:pt idx="741">
                  <c:v>9.0668567059776137</c:v>
                </c:pt>
                <c:pt idx="742">
                  <c:v>9.0463042960898861</c:v>
                </c:pt>
                <c:pt idx="743">
                  <c:v>9.0255978230393339</c:v>
                </c:pt>
                <c:pt idx="744">
                  <c:v>9.0047306093662769</c:v>
                </c:pt>
                <c:pt idx="745">
                  <c:v>8.9836957128590598</c:v>
                </c:pt>
                <c:pt idx="746">
                  <c:v>8.9624859151246596</c:v>
                </c:pt>
                <c:pt idx="747">
                  <c:v>8.9410937101465038</c:v>
                </c:pt>
                <c:pt idx="748">
                  <c:v>8.9195112929791094</c:v>
                </c:pt>
                <c:pt idx="749">
                  <c:v>8.8977305487732679</c:v>
                </c:pt>
                <c:pt idx="750">
                  <c:v>8.8757430423823962</c:v>
                </c:pt>
                <c:pt idx="751">
                  <c:v>8.8535400088718461</c:v>
                </c:pt>
                <c:pt idx="752">
                  <c:v>8.8311123453440814</c:v>
                </c:pt>
                <c:pt idx="753">
                  <c:v>8.8084506046044453</c:v>
                </c:pt>
                <c:pt idx="754">
                  <c:v>8.7855449913352572</c:v>
                </c:pt>
                <c:pt idx="755">
                  <c:v>8.7623853616261727</c:v>
                </c:pt>
                <c:pt idx="756">
                  <c:v>8.7389612269359986</c:v>
                </c:pt>
                <c:pt idx="757">
                  <c:v>8.7152617638466268</c:v>
                </c:pt>
                <c:pt idx="758">
                  <c:v>8.6912758313322911</c:v>
                </c:pt>
                <c:pt idx="759">
                  <c:v>8.6669919977252334</c:v>
                </c:pt>
                <c:pt idx="760">
                  <c:v>8.6423985801350796</c:v>
                </c:pt>
                <c:pt idx="761">
                  <c:v>8.6174836998091564</c:v>
                </c:pt>
                <c:pt idx="762">
                  <c:v>8.5922353578399679</c:v>
                </c:pt>
                <c:pt idx="763">
                  <c:v>8.5666415367792297</c:v>
                </c:pt>
                <c:pt idx="764">
                  <c:v>8.5406903351612868</c:v>
                </c:pt>
                <c:pt idx="765">
                  <c:v>8.514370143728911</c:v>
                </c:pt>
                <c:pt idx="766">
                  <c:v>8.4876698743457837</c:v>
                </c:pt>
                <c:pt idx="767">
                  <c:v>8.4605792552170556</c:v>
                </c:pt>
                <c:pt idx="768">
                  <c:v>8.4330892091066403</c:v>
                </c:pt>
                <c:pt idx="769">
                  <c:v>8.4051923346268609</c:v>
                </c:pt>
                <c:pt idx="770">
                  <c:v>8.3768835140300553</c:v>
                </c:pt>
                <c:pt idx="771">
                  <c:v>8.3481606734802085</c:v>
                </c:pt>
                <c:pt idx="772">
                  <c:v>8.3190257218946613</c:v>
                </c:pt>
                <c:pt idx="773">
                  <c:v>8.2894856889811876</c:v>
                </c:pt>
                <c:pt idx="774">
                  <c:v>8.2595540661541804</c:v>
                </c:pt>
                <c:pt idx="775">
                  <c:v>8.2292523150163674</c:v>
                </c:pt>
                <c:pt idx="776">
                  <c:v>8.1986114289215948</c:v>
                </c:pt>
                <c:pt idx="777">
                  <c:v>8.1676732853666181</c:v>
                </c:pt>
                <c:pt idx="778">
                  <c:v>8.13649127352204</c:v>
                </c:pt>
                <c:pt idx="779">
                  <c:v>8.1051292990706543</c:v>
                </c:pt>
                <c:pt idx="780">
                  <c:v>8.0736578399751124</c:v>
                </c:pt>
                <c:pt idx="781">
                  <c:v>8.0421457044953968</c:v>
                </c:pt>
                <c:pt idx="782">
                  <c:v>8.0106478431694654</c:v>
                </c:pt>
                <c:pt idx="783">
                  <c:v>7.9791948787688511</c:v>
                </c:pt>
                <c:pt idx="784">
                  <c:v>7.9477953918058688</c:v>
                </c:pt>
                <c:pt idx="785">
                  <c:v>7.9164499105453956</c:v>
                </c:pt>
                <c:pt idx="786">
                  <c:v>7.8851583086825485</c:v>
                </c:pt>
                <c:pt idx="787">
                  <c:v>7.8539204577943451</c:v>
                </c:pt>
                <c:pt idx="788">
                  <c:v>7.8227362298597427</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91341376"/>
        <c:axId val="91341952"/>
      </c:scatterChart>
      <c:valAx>
        <c:axId val="91341376"/>
        <c:scaling>
          <c:orientation val="minMax"/>
          <c:min val="0"/>
        </c:scaling>
        <c:delete val="0"/>
        <c:axPos val="b"/>
        <c:majorGridlines/>
        <c:minorGridlines/>
        <c:numFmt formatCode="General" sourceLinked="1"/>
        <c:majorTickMark val="out"/>
        <c:minorTickMark val="none"/>
        <c:tickLblPos val="nextTo"/>
        <c:spPr>
          <a:ln w="25400"/>
        </c:spPr>
        <c:crossAx val="91341952"/>
        <c:crosses val="autoZero"/>
        <c:crossBetween val="midCat"/>
      </c:valAx>
      <c:valAx>
        <c:axId val="91341952"/>
        <c:scaling>
          <c:orientation val="minMax"/>
          <c:min val="-10"/>
        </c:scaling>
        <c:delete val="0"/>
        <c:axPos val="l"/>
        <c:majorGridlines/>
        <c:minorGridlines/>
        <c:numFmt formatCode="0.0" sourceLinked="1"/>
        <c:majorTickMark val="out"/>
        <c:minorTickMark val="none"/>
        <c:tickLblPos val="nextTo"/>
        <c:spPr>
          <a:ln w="28575"/>
        </c:spPr>
        <c:crossAx val="91341376"/>
        <c:crosses val="autoZero"/>
        <c:crossBetween val="midCat"/>
      </c:valAx>
      <c:spPr>
        <a:gradFill>
          <a:gsLst>
            <a:gs pos="0">
              <a:srgbClr val="4F81BD">
                <a:tint val="66000"/>
                <a:satMod val="160000"/>
                <a:alpha val="54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ru-RU"/>
        </a:p>
      </c:txPr>
    </c:title>
    <c:autoTitleDeleted val="0"/>
    <c:plotArea>
      <c:layout/>
      <c:scatterChart>
        <c:scatterStyle val="lineMarker"/>
        <c:varyColors val="0"/>
        <c:ser>
          <c:idx val="0"/>
          <c:order val="0"/>
          <c:tx>
            <c:strRef>
              <c:f>Calculations!$F$1</c:f>
              <c:strCache>
                <c:ptCount val="1"/>
                <c:pt idx="0">
                  <c:v>Высота  /  Height [m]</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Calculations!$F$2:$F$1302</c:f>
              <c:numCache>
                <c:formatCode>General</c:formatCode>
                <c:ptCount val="1301"/>
                <c:pt idx="0">
                  <c:v>300</c:v>
                </c:pt>
                <c:pt idx="1">
                  <c:v>300</c:v>
                </c:pt>
                <c:pt idx="2">
                  <c:v>300</c:v>
                </c:pt>
                <c:pt idx="3">
                  <c:v>300</c:v>
                </c:pt>
                <c:pt idx="4">
                  <c:v>300</c:v>
                </c:pt>
                <c:pt idx="5">
                  <c:v>300</c:v>
                </c:pt>
                <c:pt idx="6">
                  <c:v>300</c:v>
                </c:pt>
                <c:pt idx="7">
                  <c:v>300</c:v>
                </c:pt>
                <c:pt idx="8">
                  <c:v>300</c:v>
                </c:pt>
                <c:pt idx="9">
                  <c:v>300</c:v>
                </c:pt>
                <c:pt idx="10">
                  <c:v>300</c:v>
                </c:pt>
                <c:pt idx="11">
                  <c:v>300</c:v>
                </c:pt>
                <c:pt idx="12">
                  <c:v>300</c:v>
                </c:pt>
                <c:pt idx="13">
                  <c:v>300</c:v>
                </c:pt>
                <c:pt idx="14">
                  <c:v>300</c:v>
                </c:pt>
                <c:pt idx="15">
                  <c:v>300</c:v>
                </c:pt>
                <c:pt idx="16">
                  <c:v>300</c:v>
                </c:pt>
                <c:pt idx="17">
                  <c:v>300</c:v>
                </c:pt>
                <c:pt idx="18">
                  <c:v>300</c:v>
                </c:pt>
                <c:pt idx="19">
                  <c:v>300</c:v>
                </c:pt>
                <c:pt idx="20">
                  <c:v>300</c:v>
                </c:pt>
                <c:pt idx="21">
                  <c:v>300</c:v>
                </c:pt>
                <c:pt idx="22">
                  <c:v>300</c:v>
                </c:pt>
                <c:pt idx="23">
                  <c:v>300</c:v>
                </c:pt>
                <c:pt idx="24">
                  <c:v>300</c:v>
                </c:pt>
                <c:pt idx="25">
                  <c:v>300</c:v>
                </c:pt>
                <c:pt idx="26">
                  <c:v>300</c:v>
                </c:pt>
                <c:pt idx="27">
                  <c:v>300</c:v>
                </c:pt>
                <c:pt idx="28">
                  <c:v>300</c:v>
                </c:pt>
                <c:pt idx="29">
                  <c:v>300</c:v>
                </c:pt>
                <c:pt idx="30">
                  <c:v>300</c:v>
                </c:pt>
                <c:pt idx="31">
                  <c:v>300</c:v>
                </c:pt>
                <c:pt idx="32">
                  <c:v>300</c:v>
                </c:pt>
                <c:pt idx="33">
                  <c:v>300</c:v>
                </c:pt>
                <c:pt idx="34">
                  <c:v>300</c:v>
                </c:pt>
                <c:pt idx="35">
                  <c:v>300</c:v>
                </c:pt>
                <c:pt idx="36">
                  <c:v>300</c:v>
                </c:pt>
                <c:pt idx="37">
                  <c:v>300</c:v>
                </c:pt>
                <c:pt idx="38">
                  <c:v>300</c:v>
                </c:pt>
                <c:pt idx="39">
                  <c:v>300</c:v>
                </c:pt>
                <c:pt idx="40">
                  <c:v>300</c:v>
                </c:pt>
                <c:pt idx="41">
                  <c:v>300</c:v>
                </c:pt>
                <c:pt idx="42">
                  <c:v>300</c:v>
                </c:pt>
                <c:pt idx="43">
                  <c:v>300</c:v>
                </c:pt>
                <c:pt idx="44">
                  <c:v>300</c:v>
                </c:pt>
                <c:pt idx="45">
                  <c:v>300</c:v>
                </c:pt>
                <c:pt idx="46">
                  <c:v>300</c:v>
                </c:pt>
                <c:pt idx="47">
                  <c:v>300</c:v>
                </c:pt>
                <c:pt idx="48">
                  <c:v>300</c:v>
                </c:pt>
                <c:pt idx="49">
                  <c:v>300</c:v>
                </c:pt>
                <c:pt idx="50">
                  <c:v>300</c:v>
                </c:pt>
                <c:pt idx="51">
                  <c:v>300</c:v>
                </c:pt>
                <c:pt idx="52">
                  <c:v>300</c:v>
                </c:pt>
                <c:pt idx="53">
                  <c:v>300</c:v>
                </c:pt>
                <c:pt idx="54">
                  <c:v>300</c:v>
                </c:pt>
                <c:pt idx="55">
                  <c:v>300</c:v>
                </c:pt>
                <c:pt idx="56">
                  <c:v>300</c:v>
                </c:pt>
                <c:pt idx="57">
                  <c:v>300</c:v>
                </c:pt>
                <c:pt idx="58">
                  <c:v>300</c:v>
                </c:pt>
                <c:pt idx="59">
                  <c:v>300</c:v>
                </c:pt>
                <c:pt idx="60">
                  <c:v>300</c:v>
                </c:pt>
                <c:pt idx="61">
                  <c:v>300</c:v>
                </c:pt>
                <c:pt idx="62">
                  <c:v>300</c:v>
                </c:pt>
                <c:pt idx="63">
                  <c:v>300</c:v>
                </c:pt>
                <c:pt idx="64">
                  <c:v>300</c:v>
                </c:pt>
                <c:pt idx="65">
                  <c:v>300</c:v>
                </c:pt>
                <c:pt idx="66">
                  <c:v>300</c:v>
                </c:pt>
                <c:pt idx="67">
                  <c:v>300</c:v>
                </c:pt>
                <c:pt idx="68">
                  <c:v>300</c:v>
                </c:pt>
                <c:pt idx="69">
                  <c:v>300</c:v>
                </c:pt>
                <c:pt idx="70">
                  <c:v>300</c:v>
                </c:pt>
                <c:pt idx="71">
                  <c:v>300</c:v>
                </c:pt>
                <c:pt idx="72">
                  <c:v>300</c:v>
                </c:pt>
                <c:pt idx="73">
                  <c:v>300</c:v>
                </c:pt>
                <c:pt idx="74">
                  <c:v>300</c:v>
                </c:pt>
                <c:pt idx="75">
                  <c:v>300</c:v>
                </c:pt>
                <c:pt idx="76">
                  <c:v>300</c:v>
                </c:pt>
                <c:pt idx="77">
                  <c:v>300</c:v>
                </c:pt>
                <c:pt idx="78">
                  <c:v>300</c:v>
                </c:pt>
                <c:pt idx="79">
                  <c:v>300</c:v>
                </c:pt>
                <c:pt idx="80">
                  <c:v>300</c:v>
                </c:pt>
                <c:pt idx="81">
                  <c:v>300</c:v>
                </c:pt>
                <c:pt idx="82">
                  <c:v>300</c:v>
                </c:pt>
                <c:pt idx="83">
                  <c:v>300</c:v>
                </c:pt>
                <c:pt idx="84">
                  <c:v>300</c:v>
                </c:pt>
                <c:pt idx="85">
                  <c:v>300</c:v>
                </c:pt>
                <c:pt idx="86">
                  <c:v>300</c:v>
                </c:pt>
                <c:pt idx="87">
                  <c:v>300</c:v>
                </c:pt>
                <c:pt idx="88">
                  <c:v>300</c:v>
                </c:pt>
                <c:pt idx="89">
                  <c:v>300</c:v>
                </c:pt>
                <c:pt idx="90">
                  <c:v>300</c:v>
                </c:pt>
                <c:pt idx="91">
                  <c:v>300</c:v>
                </c:pt>
                <c:pt idx="92">
                  <c:v>300</c:v>
                </c:pt>
                <c:pt idx="93">
                  <c:v>300</c:v>
                </c:pt>
                <c:pt idx="94">
                  <c:v>300</c:v>
                </c:pt>
                <c:pt idx="95">
                  <c:v>300</c:v>
                </c:pt>
                <c:pt idx="96">
                  <c:v>300</c:v>
                </c:pt>
                <c:pt idx="97">
                  <c:v>300</c:v>
                </c:pt>
                <c:pt idx="98">
                  <c:v>300</c:v>
                </c:pt>
                <c:pt idx="99">
                  <c:v>300</c:v>
                </c:pt>
                <c:pt idx="100">
                  <c:v>300</c:v>
                </c:pt>
                <c:pt idx="101">
                  <c:v>300</c:v>
                </c:pt>
                <c:pt idx="102">
                  <c:v>300</c:v>
                </c:pt>
                <c:pt idx="103">
                  <c:v>300</c:v>
                </c:pt>
                <c:pt idx="104">
                  <c:v>300</c:v>
                </c:pt>
                <c:pt idx="105">
                  <c:v>300</c:v>
                </c:pt>
                <c:pt idx="106">
                  <c:v>300</c:v>
                </c:pt>
                <c:pt idx="107">
                  <c:v>300</c:v>
                </c:pt>
                <c:pt idx="108">
                  <c:v>300</c:v>
                </c:pt>
                <c:pt idx="109">
                  <c:v>300</c:v>
                </c:pt>
                <c:pt idx="110">
                  <c:v>300</c:v>
                </c:pt>
                <c:pt idx="111">
                  <c:v>300</c:v>
                </c:pt>
                <c:pt idx="112">
                  <c:v>300</c:v>
                </c:pt>
                <c:pt idx="113">
                  <c:v>300</c:v>
                </c:pt>
                <c:pt idx="114">
                  <c:v>300</c:v>
                </c:pt>
                <c:pt idx="115">
                  <c:v>300</c:v>
                </c:pt>
                <c:pt idx="116">
                  <c:v>300</c:v>
                </c:pt>
                <c:pt idx="117">
                  <c:v>300</c:v>
                </c:pt>
                <c:pt idx="118">
                  <c:v>300</c:v>
                </c:pt>
                <c:pt idx="119">
                  <c:v>300</c:v>
                </c:pt>
                <c:pt idx="120">
                  <c:v>300</c:v>
                </c:pt>
                <c:pt idx="121">
                  <c:v>300</c:v>
                </c:pt>
                <c:pt idx="122">
                  <c:v>300</c:v>
                </c:pt>
                <c:pt idx="123">
                  <c:v>300</c:v>
                </c:pt>
                <c:pt idx="124">
                  <c:v>300</c:v>
                </c:pt>
                <c:pt idx="125">
                  <c:v>300</c:v>
                </c:pt>
                <c:pt idx="126">
                  <c:v>300</c:v>
                </c:pt>
                <c:pt idx="127">
                  <c:v>300</c:v>
                </c:pt>
                <c:pt idx="128">
                  <c:v>300</c:v>
                </c:pt>
                <c:pt idx="129">
                  <c:v>300</c:v>
                </c:pt>
                <c:pt idx="130">
                  <c:v>300</c:v>
                </c:pt>
                <c:pt idx="131">
                  <c:v>300</c:v>
                </c:pt>
                <c:pt idx="132">
                  <c:v>300</c:v>
                </c:pt>
                <c:pt idx="133">
                  <c:v>300</c:v>
                </c:pt>
                <c:pt idx="134">
                  <c:v>300</c:v>
                </c:pt>
                <c:pt idx="135">
                  <c:v>300</c:v>
                </c:pt>
                <c:pt idx="136">
                  <c:v>300</c:v>
                </c:pt>
                <c:pt idx="137">
                  <c:v>300</c:v>
                </c:pt>
                <c:pt idx="138">
                  <c:v>300</c:v>
                </c:pt>
                <c:pt idx="139">
                  <c:v>300</c:v>
                </c:pt>
                <c:pt idx="140">
                  <c:v>300</c:v>
                </c:pt>
                <c:pt idx="141">
                  <c:v>300</c:v>
                </c:pt>
                <c:pt idx="142">
                  <c:v>300</c:v>
                </c:pt>
                <c:pt idx="143">
                  <c:v>300</c:v>
                </c:pt>
                <c:pt idx="144">
                  <c:v>300</c:v>
                </c:pt>
                <c:pt idx="145">
                  <c:v>300</c:v>
                </c:pt>
                <c:pt idx="146">
                  <c:v>300</c:v>
                </c:pt>
                <c:pt idx="147">
                  <c:v>300</c:v>
                </c:pt>
                <c:pt idx="148">
                  <c:v>300</c:v>
                </c:pt>
                <c:pt idx="149">
                  <c:v>300</c:v>
                </c:pt>
                <c:pt idx="150">
                  <c:v>300</c:v>
                </c:pt>
                <c:pt idx="151">
                  <c:v>300</c:v>
                </c:pt>
                <c:pt idx="152">
                  <c:v>300</c:v>
                </c:pt>
                <c:pt idx="153">
                  <c:v>300</c:v>
                </c:pt>
                <c:pt idx="154">
                  <c:v>300</c:v>
                </c:pt>
                <c:pt idx="155">
                  <c:v>300</c:v>
                </c:pt>
                <c:pt idx="156">
                  <c:v>300</c:v>
                </c:pt>
                <c:pt idx="157">
                  <c:v>300</c:v>
                </c:pt>
                <c:pt idx="158">
                  <c:v>300</c:v>
                </c:pt>
                <c:pt idx="159">
                  <c:v>300</c:v>
                </c:pt>
                <c:pt idx="160">
                  <c:v>300</c:v>
                </c:pt>
                <c:pt idx="161">
                  <c:v>300</c:v>
                </c:pt>
                <c:pt idx="162">
                  <c:v>300</c:v>
                </c:pt>
                <c:pt idx="163">
                  <c:v>300</c:v>
                </c:pt>
                <c:pt idx="164">
                  <c:v>300</c:v>
                </c:pt>
                <c:pt idx="165">
                  <c:v>300</c:v>
                </c:pt>
                <c:pt idx="166">
                  <c:v>300</c:v>
                </c:pt>
                <c:pt idx="167">
                  <c:v>300</c:v>
                </c:pt>
                <c:pt idx="168">
                  <c:v>300</c:v>
                </c:pt>
                <c:pt idx="169">
                  <c:v>300</c:v>
                </c:pt>
                <c:pt idx="170">
                  <c:v>300</c:v>
                </c:pt>
                <c:pt idx="171">
                  <c:v>300</c:v>
                </c:pt>
                <c:pt idx="172">
                  <c:v>300</c:v>
                </c:pt>
                <c:pt idx="173">
                  <c:v>300</c:v>
                </c:pt>
                <c:pt idx="174">
                  <c:v>300</c:v>
                </c:pt>
                <c:pt idx="175">
                  <c:v>300</c:v>
                </c:pt>
                <c:pt idx="176">
                  <c:v>300</c:v>
                </c:pt>
                <c:pt idx="177">
                  <c:v>300</c:v>
                </c:pt>
                <c:pt idx="178">
                  <c:v>300</c:v>
                </c:pt>
                <c:pt idx="179">
                  <c:v>300</c:v>
                </c:pt>
                <c:pt idx="180">
                  <c:v>300</c:v>
                </c:pt>
                <c:pt idx="181">
                  <c:v>300</c:v>
                </c:pt>
                <c:pt idx="182">
                  <c:v>300</c:v>
                </c:pt>
                <c:pt idx="183">
                  <c:v>300</c:v>
                </c:pt>
                <c:pt idx="184">
                  <c:v>300</c:v>
                </c:pt>
                <c:pt idx="185">
                  <c:v>300</c:v>
                </c:pt>
                <c:pt idx="186">
                  <c:v>300</c:v>
                </c:pt>
                <c:pt idx="187">
                  <c:v>300</c:v>
                </c:pt>
                <c:pt idx="188">
                  <c:v>300</c:v>
                </c:pt>
                <c:pt idx="189">
                  <c:v>300</c:v>
                </c:pt>
                <c:pt idx="190">
                  <c:v>300</c:v>
                </c:pt>
                <c:pt idx="191">
                  <c:v>300</c:v>
                </c:pt>
                <c:pt idx="192">
                  <c:v>300</c:v>
                </c:pt>
                <c:pt idx="193">
                  <c:v>300</c:v>
                </c:pt>
                <c:pt idx="194">
                  <c:v>300</c:v>
                </c:pt>
                <c:pt idx="195">
                  <c:v>300</c:v>
                </c:pt>
                <c:pt idx="196">
                  <c:v>300</c:v>
                </c:pt>
                <c:pt idx="197">
                  <c:v>300</c:v>
                </c:pt>
                <c:pt idx="198">
                  <c:v>300</c:v>
                </c:pt>
                <c:pt idx="199">
                  <c:v>300</c:v>
                </c:pt>
                <c:pt idx="200">
                  <c:v>300</c:v>
                </c:pt>
                <c:pt idx="201">
                  <c:v>300</c:v>
                </c:pt>
                <c:pt idx="202">
                  <c:v>300</c:v>
                </c:pt>
                <c:pt idx="203">
                  <c:v>300</c:v>
                </c:pt>
                <c:pt idx="204">
                  <c:v>300</c:v>
                </c:pt>
                <c:pt idx="205">
                  <c:v>300</c:v>
                </c:pt>
                <c:pt idx="206">
                  <c:v>300</c:v>
                </c:pt>
                <c:pt idx="207">
                  <c:v>300</c:v>
                </c:pt>
                <c:pt idx="208">
                  <c:v>300</c:v>
                </c:pt>
                <c:pt idx="209">
                  <c:v>300</c:v>
                </c:pt>
                <c:pt idx="210">
                  <c:v>300</c:v>
                </c:pt>
                <c:pt idx="211">
                  <c:v>300</c:v>
                </c:pt>
                <c:pt idx="212">
                  <c:v>300</c:v>
                </c:pt>
                <c:pt idx="213">
                  <c:v>300</c:v>
                </c:pt>
                <c:pt idx="214">
                  <c:v>300</c:v>
                </c:pt>
                <c:pt idx="215">
                  <c:v>300</c:v>
                </c:pt>
                <c:pt idx="216">
                  <c:v>300</c:v>
                </c:pt>
                <c:pt idx="217">
                  <c:v>300</c:v>
                </c:pt>
                <c:pt idx="218">
                  <c:v>300</c:v>
                </c:pt>
                <c:pt idx="219">
                  <c:v>300</c:v>
                </c:pt>
                <c:pt idx="220">
                  <c:v>300</c:v>
                </c:pt>
                <c:pt idx="221">
                  <c:v>300</c:v>
                </c:pt>
                <c:pt idx="222">
                  <c:v>300</c:v>
                </c:pt>
                <c:pt idx="223">
                  <c:v>300</c:v>
                </c:pt>
                <c:pt idx="224">
                  <c:v>300</c:v>
                </c:pt>
                <c:pt idx="225">
                  <c:v>300</c:v>
                </c:pt>
                <c:pt idx="226">
                  <c:v>300</c:v>
                </c:pt>
                <c:pt idx="227">
                  <c:v>300</c:v>
                </c:pt>
                <c:pt idx="228">
                  <c:v>300</c:v>
                </c:pt>
                <c:pt idx="229">
                  <c:v>300</c:v>
                </c:pt>
                <c:pt idx="230">
                  <c:v>300</c:v>
                </c:pt>
                <c:pt idx="231">
                  <c:v>300</c:v>
                </c:pt>
                <c:pt idx="232">
                  <c:v>300</c:v>
                </c:pt>
                <c:pt idx="233">
                  <c:v>300</c:v>
                </c:pt>
                <c:pt idx="234">
                  <c:v>300</c:v>
                </c:pt>
                <c:pt idx="235">
                  <c:v>300</c:v>
                </c:pt>
                <c:pt idx="236">
                  <c:v>300</c:v>
                </c:pt>
                <c:pt idx="237">
                  <c:v>300</c:v>
                </c:pt>
                <c:pt idx="238">
                  <c:v>300</c:v>
                </c:pt>
                <c:pt idx="239">
                  <c:v>300</c:v>
                </c:pt>
                <c:pt idx="240">
                  <c:v>300</c:v>
                </c:pt>
                <c:pt idx="241">
                  <c:v>300</c:v>
                </c:pt>
                <c:pt idx="242">
                  <c:v>300</c:v>
                </c:pt>
                <c:pt idx="243">
                  <c:v>300</c:v>
                </c:pt>
                <c:pt idx="244">
                  <c:v>300</c:v>
                </c:pt>
                <c:pt idx="245">
                  <c:v>300</c:v>
                </c:pt>
                <c:pt idx="246">
                  <c:v>300</c:v>
                </c:pt>
                <c:pt idx="247">
                  <c:v>300</c:v>
                </c:pt>
                <c:pt idx="248">
                  <c:v>300</c:v>
                </c:pt>
                <c:pt idx="249">
                  <c:v>300</c:v>
                </c:pt>
                <c:pt idx="250">
                  <c:v>300</c:v>
                </c:pt>
                <c:pt idx="251">
                  <c:v>300</c:v>
                </c:pt>
                <c:pt idx="252">
                  <c:v>300</c:v>
                </c:pt>
                <c:pt idx="253">
                  <c:v>300</c:v>
                </c:pt>
                <c:pt idx="254">
                  <c:v>300</c:v>
                </c:pt>
                <c:pt idx="255">
                  <c:v>300</c:v>
                </c:pt>
                <c:pt idx="256">
                  <c:v>300</c:v>
                </c:pt>
                <c:pt idx="257">
                  <c:v>300</c:v>
                </c:pt>
                <c:pt idx="258">
                  <c:v>300</c:v>
                </c:pt>
                <c:pt idx="259">
                  <c:v>300</c:v>
                </c:pt>
                <c:pt idx="260">
                  <c:v>300</c:v>
                </c:pt>
                <c:pt idx="261">
                  <c:v>300</c:v>
                </c:pt>
                <c:pt idx="262">
                  <c:v>300</c:v>
                </c:pt>
                <c:pt idx="263">
                  <c:v>300</c:v>
                </c:pt>
                <c:pt idx="264">
                  <c:v>300</c:v>
                </c:pt>
                <c:pt idx="265">
                  <c:v>300</c:v>
                </c:pt>
                <c:pt idx="266">
                  <c:v>300</c:v>
                </c:pt>
                <c:pt idx="267">
                  <c:v>300</c:v>
                </c:pt>
                <c:pt idx="268">
                  <c:v>300</c:v>
                </c:pt>
                <c:pt idx="269">
                  <c:v>300</c:v>
                </c:pt>
                <c:pt idx="270">
                  <c:v>300</c:v>
                </c:pt>
                <c:pt idx="271">
                  <c:v>300</c:v>
                </c:pt>
                <c:pt idx="272">
                  <c:v>300</c:v>
                </c:pt>
                <c:pt idx="273">
                  <c:v>300</c:v>
                </c:pt>
                <c:pt idx="274">
                  <c:v>300</c:v>
                </c:pt>
                <c:pt idx="275">
                  <c:v>300</c:v>
                </c:pt>
                <c:pt idx="276">
                  <c:v>300</c:v>
                </c:pt>
                <c:pt idx="277">
                  <c:v>300</c:v>
                </c:pt>
                <c:pt idx="278">
                  <c:v>300</c:v>
                </c:pt>
                <c:pt idx="279">
                  <c:v>300</c:v>
                </c:pt>
                <c:pt idx="280">
                  <c:v>300</c:v>
                </c:pt>
                <c:pt idx="281">
                  <c:v>300</c:v>
                </c:pt>
                <c:pt idx="282">
                  <c:v>300</c:v>
                </c:pt>
                <c:pt idx="283">
                  <c:v>300</c:v>
                </c:pt>
                <c:pt idx="284">
                  <c:v>300</c:v>
                </c:pt>
                <c:pt idx="285">
                  <c:v>300</c:v>
                </c:pt>
                <c:pt idx="286">
                  <c:v>300</c:v>
                </c:pt>
                <c:pt idx="287">
                  <c:v>300</c:v>
                </c:pt>
                <c:pt idx="288">
                  <c:v>300</c:v>
                </c:pt>
                <c:pt idx="289">
                  <c:v>300</c:v>
                </c:pt>
                <c:pt idx="290">
                  <c:v>300</c:v>
                </c:pt>
                <c:pt idx="291">
                  <c:v>300</c:v>
                </c:pt>
                <c:pt idx="292">
                  <c:v>300</c:v>
                </c:pt>
                <c:pt idx="293">
                  <c:v>300</c:v>
                </c:pt>
                <c:pt idx="294">
                  <c:v>300</c:v>
                </c:pt>
                <c:pt idx="295">
                  <c:v>300</c:v>
                </c:pt>
                <c:pt idx="296">
                  <c:v>300</c:v>
                </c:pt>
                <c:pt idx="297">
                  <c:v>300</c:v>
                </c:pt>
                <c:pt idx="298">
                  <c:v>300</c:v>
                </c:pt>
                <c:pt idx="299">
                  <c:v>300</c:v>
                </c:pt>
                <c:pt idx="300">
                  <c:v>300</c:v>
                </c:pt>
                <c:pt idx="301">
                  <c:v>300</c:v>
                </c:pt>
                <c:pt idx="302">
                  <c:v>300</c:v>
                </c:pt>
                <c:pt idx="303">
                  <c:v>300</c:v>
                </c:pt>
                <c:pt idx="304">
                  <c:v>300</c:v>
                </c:pt>
                <c:pt idx="305">
                  <c:v>300</c:v>
                </c:pt>
                <c:pt idx="306">
                  <c:v>300</c:v>
                </c:pt>
                <c:pt idx="307">
                  <c:v>300</c:v>
                </c:pt>
                <c:pt idx="308">
                  <c:v>300</c:v>
                </c:pt>
                <c:pt idx="309">
                  <c:v>300</c:v>
                </c:pt>
                <c:pt idx="310">
                  <c:v>300</c:v>
                </c:pt>
                <c:pt idx="311">
                  <c:v>300</c:v>
                </c:pt>
                <c:pt idx="312">
                  <c:v>300</c:v>
                </c:pt>
                <c:pt idx="313">
                  <c:v>300</c:v>
                </c:pt>
                <c:pt idx="314">
                  <c:v>300</c:v>
                </c:pt>
                <c:pt idx="315">
                  <c:v>300</c:v>
                </c:pt>
                <c:pt idx="316">
                  <c:v>300</c:v>
                </c:pt>
                <c:pt idx="317">
                  <c:v>300</c:v>
                </c:pt>
                <c:pt idx="318">
                  <c:v>300</c:v>
                </c:pt>
                <c:pt idx="319">
                  <c:v>300</c:v>
                </c:pt>
                <c:pt idx="320">
                  <c:v>300</c:v>
                </c:pt>
                <c:pt idx="321">
                  <c:v>300</c:v>
                </c:pt>
                <c:pt idx="322">
                  <c:v>300</c:v>
                </c:pt>
                <c:pt idx="323">
                  <c:v>300</c:v>
                </c:pt>
                <c:pt idx="324">
                  <c:v>300</c:v>
                </c:pt>
                <c:pt idx="325">
                  <c:v>300</c:v>
                </c:pt>
                <c:pt idx="326">
                  <c:v>300</c:v>
                </c:pt>
                <c:pt idx="327">
                  <c:v>300</c:v>
                </c:pt>
                <c:pt idx="328">
                  <c:v>300</c:v>
                </c:pt>
                <c:pt idx="329">
                  <c:v>300</c:v>
                </c:pt>
                <c:pt idx="330">
                  <c:v>300</c:v>
                </c:pt>
                <c:pt idx="331">
                  <c:v>300</c:v>
                </c:pt>
                <c:pt idx="332">
                  <c:v>300</c:v>
                </c:pt>
                <c:pt idx="333">
                  <c:v>300</c:v>
                </c:pt>
                <c:pt idx="334">
                  <c:v>300</c:v>
                </c:pt>
                <c:pt idx="335">
                  <c:v>300</c:v>
                </c:pt>
                <c:pt idx="336">
                  <c:v>300</c:v>
                </c:pt>
                <c:pt idx="337">
                  <c:v>300</c:v>
                </c:pt>
                <c:pt idx="338">
                  <c:v>300</c:v>
                </c:pt>
                <c:pt idx="339">
                  <c:v>300</c:v>
                </c:pt>
                <c:pt idx="340">
                  <c:v>300</c:v>
                </c:pt>
                <c:pt idx="341">
                  <c:v>300</c:v>
                </c:pt>
                <c:pt idx="342">
                  <c:v>300</c:v>
                </c:pt>
                <c:pt idx="343">
                  <c:v>300</c:v>
                </c:pt>
                <c:pt idx="344">
                  <c:v>300</c:v>
                </c:pt>
                <c:pt idx="345">
                  <c:v>300</c:v>
                </c:pt>
                <c:pt idx="346">
                  <c:v>300</c:v>
                </c:pt>
                <c:pt idx="347">
                  <c:v>300</c:v>
                </c:pt>
                <c:pt idx="348">
                  <c:v>300</c:v>
                </c:pt>
                <c:pt idx="349">
                  <c:v>300</c:v>
                </c:pt>
                <c:pt idx="350">
                  <c:v>300</c:v>
                </c:pt>
                <c:pt idx="351">
                  <c:v>300</c:v>
                </c:pt>
                <c:pt idx="352">
                  <c:v>300</c:v>
                </c:pt>
                <c:pt idx="353">
                  <c:v>300</c:v>
                </c:pt>
                <c:pt idx="354">
                  <c:v>300</c:v>
                </c:pt>
                <c:pt idx="355">
                  <c:v>300</c:v>
                </c:pt>
                <c:pt idx="356">
                  <c:v>300</c:v>
                </c:pt>
                <c:pt idx="357">
                  <c:v>300</c:v>
                </c:pt>
                <c:pt idx="358">
                  <c:v>300</c:v>
                </c:pt>
                <c:pt idx="359">
                  <c:v>300</c:v>
                </c:pt>
                <c:pt idx="360">
                  <c:v>300</c:v>
                </c:pt>
                <c:pt idx="361">
                  <c:v>300</c:v>
                </c:pt>
                <c:pt idx="362">
                  <c:v>300</c:v>
                </c:pt>
                <c:pt idx="363">
                  <c:v>300</c:v>
                </c:pt>
                <c:pt idx="364">
                  <c:v>300</c:v>
                </c:pt>
                <c:pt idx="365">
                  <c:v>300</c:v>
                </c:pt>
                <c:pt idx="366">
                  <c:v>300</c:v>
                </c:pt>
                <c:pt idx="367">
                  <c:v>300</c:v>
                </c:pt>
                <c:pt idx="368">
                  <c:v>300</c:v>
                </c:pt>
                <c:pt idx="369">
                  <c:v>300</c:v>
                </c:pt>
                <c:pt idx="370">
                  <c:v>300</c:v>
                </c:pt>
                <c:pt idx="371">
                  <c:v>300</c:v>
                </c:pt>
                <c:pt idx="372">
                  <c:v>300</c:v>
                </c:pt>
                <c:pt idx="373">
                  <c:v>300</c:v>
                </c:pt>
                <c:pt idx="374">
                  <c:v>300</c:v>
                </c:pt>
                <c:pt idx="375">
                  <c:v>300</c:v>
                </c:pt>
                <c:pt idx="376">
                  <c:v>300</c:v>
                </c:pt>
                <c:pt idx="377">
                  <c:v>300</c:v>
                </c:pt>
                <c:pt idx="378">
                  <c:v>300</c:v>
                </c:pt>
                <c:pt idx="379">
                  <c:v>300</c:v>
                </c:pt>
                <c:pt idx="380">
                  <c:v>300</c:v>
                </c:pt>
                <c:pt idx="381">
                  <c:v>300</c:v>
                </c:pt>
                <c:pt idx="382">
                  <c:v>300</c:v>
                </c:pt>
                <c:pt idx="383">
                  <c:v>300</c:v>
                </c:pt>
                <c:pt idx="384">
                  <c:v>300</c:v>
                </c:pt>
                <c:pt idx="385">
                  <c:v>300</c:v>
                </c:pt>
                <c:pt idx="386">
                  <c:v>300</c:v>
                </c:pt>
                <c:pt idx="387">
                  <c:v>300</c:v>
                </c:pt>
                <c:pt idx="388">
                  <c:v>300</c:v>
                </c:pt>
                <c:pt idx="389">
                  <c:v>300</c:v>
                </c:pt>
                <c:pt idx="390">
                  <c:v>300</c:v>
                </c:pt>
                <c:pt idx="391">
                  <c:v>300</c:v>
                </c:pt>
                <c:pt idx="392">
                  <c:v>300</c:v>
                </c:pt>
                <c:pt idx="393">
                  <c:v>300</c:v>
                </c:pt>
                <c:pt idx="394">
                  <c:v>300</c:v>
                </c:pt>
                <c:pt idx="395">
                  <c:v>300</c:v>
                </c:pt>
                <c:pt idx="396">
                  <c:v>300</c:v>
                </c:pt>
                <c:pt idx="397">
                  <c:v>300</c:v>
                </c:pt>
                <c:pt idx="398">
                  <c:v>300</c:v>
                </c:pt>
                <c:pt idx="399">
                  <c:v>300</c:v>
                </c:pt>
                <c:pt idx="400">
                  <c:v>300</c:v>
                </c:pt>
                <c:pt idx="401">
                  <c:v>300</c:v>
                </c:pt>
                <c:pt idx="402">
                  <c:v>300</c:v>
                </c:pt>
                <c:pt idx="403">
                  <c:v>300</c:v>
                </c:pt>
                <c:pt idx="404">
                  <c:v>300</c:v>
                </c:pt>
                <c:pt idx="405">
                  <c:v>300</c:v>
                </c:pt>
                <c:pt idx="406">
                  <c:v>300</c:v>
                </c:pt>
                <c:pt idx="407">
                  <c:v>300</c:v>
                </c:pt>
                <c:pt idx="408">
                  <c:v>300</c:v>
                </c:pt>
                <c:pt idx="409">
                  <c:v>300</c:v>
                </c:pt>
                <c:pt idx="410">
                  <c:v>300</c:v>
                </c:pt>
                <c:pt idx="411">
                  <c:v>300</c:v>
                </c:pt>
                <c:pt idx="412">
                  <c:v>300</c:v>
                </c:pt>
                <c:pt idx="413">
                  <c:v>300</c:v>
                </c:pt>
                <c:pt idx="414">
                  <c:v>300</c:v>
                </c:pt>
                <c:pt idx="415">
                  <c:v>300</c:v>
                </c:pt>
                <c:pt idx="416">
                  <c:v>300</c:v>
                </c:pt>
                <c:pt idx="417">
                  <c:v>300</c:v>
                </c:pt>
                <c:pt idx="418">
                  <c:v>300</c:v>
                </c:pt>
                <c:pt idx="419">
                  <c:v>300</c:v>
                </c:pt>
                <c:pt idx="420">
                  <c:v>300</c:v>
                </c:pt>
                <c:pt idx="421">
                  <c:v>300</c:v>
                </c:pt>
                <c:pt idx="422">
                  <c:v>300</c:v>
                </c:pt>
                <c:pt idx="423">
                  <c:v>300</c:v>
                </c:pt>
                <c:pt idx="424">
                  <c:v>300</c:v>
                </c:pt>
                <c:pt idx="425">
                  <c:v>300</c:v>
                </c:pt>
                <c:pt idx="426">
                  <c:v>300</c:v>
                </c:pt>
                <c:pt idx="427">
                  <c:v>300</c:v>
                </c:pt>
                <c:pt idx="428">
                  <c:v>300</c:v>
                </c:pt>
                <c:pt idx="429">
                  <c:v>300</c:v>
                </c:pt>
                <c:pt idx="430">
                  <c:v>300</c:v>
                </c:pt>
                <c:pt idx="431">
                  <c:v>300</c:v>
                </c:pt>
                <c:pt idx="432">
                  <c:v>300</c:v>
                </c:pt>
                <c:pt idx="433">
                  <c:v>300</c:v>
                </c:pt>
                <c:pt idx="434">
                  <c:v>300</c:v>
                </c:pt>
                <c:pt idx="435">
                  <c:v>300</c:v>
                </c:pt>
                <c:pt idx="436">
                  <c:v>300</c:v>
                </c:pt>
                <c:pt idx="437">
                  <c:v>300</c:v>
                </c:pt>
                <c:pt idx="438">
                  <c:v>300</c:v>
                </c:pt>
                <c:pt idx="439">
                  <c:v>300</c:v>
                </c:pt>
                <c:pt idx="440">
                  <c:v>300</c:v>
                </c:pt>
                <c:pt idx="441">
                  <c:v>300</c:v>
                </c:pt>
                <c:pt idx="442">
                  <c:v>300</c:v>
                </c:pt>
                <c:pt idx="443">
                  <c:v>300</c:v>
                </c:pt>
                <c:pt idx="444">
                  <c:v>300</c:v>
                </c:pt>
                <c:pt idx="445">
                  <c:v>300</c:v>
                </c:pt>
                <c:pt idx="446">
                  <c:v>300</c:v>
                </c:pt>
                <c:pt idx="447">
                  <c:v>300</c:v>
                </c:pt>
                <c:pt idx="448">
                  <c:v>300</c:v>
                </c:pt>
                <c:pt idx="449">
                  <c:v>300</c:v>
                </c:pt>
                <c:pt idx="450">
                  <c:v>300</c:v>
                </c:pt>
                <c:pt idx="451">
                  <c:v>300</c:v>
                </c:pt>
                <c:pt idx="452">
                  <c:v>300</c:v>
                </c:pt>
                <c:pt idx="453">
                  <c:v>300</c:v>
                </c:pt>
                <c:pt idx="454">
                  <c:v>300</c:v>
                </c:pt>
                <c:pt idx="455">
                  <c:v>300</c:v>
                </c:pt>
                <c:pt idx="456">
                  <c:v>300</c:v>
                </c:pt>
                <c:pt idx="457">
                  <c:v>300</c:v>
                </c:pt>
                <c:pt idx="458">
                  <c:v>300</c:v>
                </c:pt>
                <c:pt idx="459">
                  <c:v>300</c:v>
                </c:pt>
                <c:pt idx="460">
                  <c:v>300</c:v>
                </c:pt>
                <c:pt idx="461">
                  <c:v>300</c:v>
                </c:pt>
                <c:pt idx="462">
                  <c:v>300</c:v>
                </c:pt>
                <c:pt idx="463">
                  <c:v>300</c:v>
                </c:pt>
                <c:pt idx="464">
                  <c:v>300</c:v>
                </c:pt>
                <c:pt idx="465">
                  <c:v>300</c:v>
                </c:pt>
                <c:pt idx="466">
                  <c:v>300</c:v>
                </c:pt>
                <c:pt idx="467">
                  <c:v>300</c:v>
                </c:pt>
                <c:pt idx="468">
                  <c:v>300</c:v>
                </c:pt>
                <c:pt idx="469">
                  <c:v>300</c:v>
                </c:pt>
                <c:pt idx="470">
                  <c:v>300</c:v>
                </c:pt>
                <c:pt idx="471">
                  <c:v>300</c:v>
                </c:pt>
                <c:pt idx="472">
                  <c:v>300</c:v>
                </c:pt>
                <c:pt idx="473">
                  <c:v>300</c:v>
                </c:pt>
                <c:pt idx="474">
                  <c:v>300</c:v>
                </c:pt>
                <c:pt idx="475">
                  <c:v>300</c:v>
                </c:pt>
                <c:pt idx="476">
                  <c:v>300</c:v>
                </c:pt>
                <c:pt idx="477">
                  <c:v>300</c:v>
                </c:pt>
                <c:pt idx="478">
                  <c:v>300</c:v>
                </c:pt>
                <c:pt idx="479">
                  <c:v>300</c:v>
                </c:pt>
                <c:pt idx="480">
                  <c:v>300</c:v>
                </c:pt>
                <c:pt idx="481">
                  <c:v>300</c:v>
                </c:pt>
                <c:pt idx="482">
                  <c:v>300</c:v>
                </c:pt>
                <c:pt idx="483">
                  <c:v>300</c:v>
                </c:pt>
                <c:pt idx="484">
                  <c:v>300</c:v>
                </c:pt>
                <c:pt idx="485">
                  <c:v>300</c:v>
                </c:pt>
                <c:pt idx="486">
                  <c:v>300</c:v>
                </c:pt>
                <c:pt idx="487">
                  <c:v>300</c:v>
                </c:pt>
                <c:pt idx="488">
                  <c:v>300</c:v>
                </c:pt>
                <c:pt idx="489">
                  <c:v>300</c:v>
                </c:pt>
                <c:pt idx="490">
                  <c:v>300</c:v>
                </c:pt>
                <c:pt idx="491">
                  <c:v>300</c:v>
                </c:pt>
                <c:pt idx="492">
                  <c:v>300</c:v>
                </c:pt>
                <c:pt idx="493">
                  <c:v>300</c:v>
                </c:pt>
                <c:pt idx="494">
                  <c:v>300</c:v>
                </c:pt>
                <c:pt idx="495">
                  <c:v>300</c:v>
                </c:pt>
                <c:pt idx="496">
                  <c:v>300</c:v>
                </c:pt>
                <c:pt idx="497">
                  <c:v>300</c:v>
                </c:pt>
                <c:pt idx="498">
                  <c:v>300</c:v>
                </c:pt>
                <c:pt idx="499">
                  <c:v>300</c:v>
                </c:pt>
                <c:pt idx="500">
                  <c:v>300</c:v>
                </c:pt>
                <c:pt idx="501">
                  <c:v>300</c:v>
                </c:pt>
                <c:pt idx="502">
                  <c:v>300</c:v>
                </c:pt>
                <c:pt idx="503">
                  <c:v>300</c:v>
                </c:pt>
                <c:pt idx="504">
                  <c:v>300</c:v>
                </c:pt>
                <c:pt idx="505">
                  <c:v>300</c:v>
                </c:pt>
                <c:pt idx="506">
                  <c:v>300</c:v>
                </c:pt>
                <c:pt idx="507">
                  <c:v>300</c:v>
                </c:pt>
                <c:pt idx="508">
                  <c:v>300</c:v>
                </c:pt>
                <c:pt idx="509">
                  <c:v>300</c:v>
                </c:pt>
                <c:pt idx="510">
                  <c:v>300</c:v>
                </c:pt>
                <c:pt idx="511">
                  <c:v>300</c:v>
                </c:pt>
                <c:pt idx="512">
                  <c:v>300</c:v>
                </c:pt>
                <c:pt idx="513">
                  <c:v>300</c:v>
                </c:pt>
                <c:pt idx="514">
                  <c:v>300</c:v>
                </c:pt>
                <c:pt idx="515">
                  <c:v>300</c:v>
                </c:pt>
                <c:pt idx="516">
                  <c:v>300</c:v>
                </c:pt>
                <c:pt idx="517">
                  <c:v>300</c:v>
                </c:pt>
                <c:pt idx="518">
                  <c:v>300</c:v>
                </c:pt>
                <c:pt idx="519">
                  <c:v>300</c:v>
                </c:pt>
                <c:pt idx="520">
                  <c:v>300</c:v>
                </c:pt>
                <c:pt idx="521">
                  <c:v>300</c:v>
                </c:pt>
                <c:pt idx="522">
                  <c:v>300</c:v>
                </c:pt>
                <c:pt idx="523">
                  <c:v>300</c:v>
                </c:pt>
                <c:pt idx="524">
                  <c:v>300</c:v>
                </c:pt>
                <c:pt idx="525">
                  <c:v>300</c:v>
                </c:pt>
                <c:pt idx="526">
                  <c:v>300</c:v>
                </c:pt>
                <c:pt idx="527">
                  <c:v>300</c:v>
                </c:pt>
                <c:pt idx="528">
                  <c:v>300</c:v>
                </c:pt>
                <c:pt idx="529">
                  <c:v>300</c:v>
                </c:pt>
                <c:pt idx="530">
                  <c:v>300</c:v>
                </c:pt>
                <c:pt idx="531">
                  <c:v>300</c:v>
                </c:pt>
                <c:pt idx="532">
                  <c:v>300</c:v>
                </c:pt>
                <c:pt idx="533">
                  <c:v>300</c:v>
                </c:pt>
                <c:pt idx="534">
                  <c:v>300</c:v>
                </c:pt>
                <c:pt idx="535">
                  <c:v>300</c:v>
                </c:pt>
                <c:pt idx="536">
                  <c:v>300</c:v>
                </c:pt>
                <c:pt idx="537">
                  <c:v>300</c:v>
                </c:pt>
                <c:pt idx="538">
                  <c:v>300</c:v>
                </c:pt>
                <c:pt idx="539">
                  <c:v>300</c:v>
                </c:pt>
                <c:pt idx="540">
                  <c:v>300</c:v>
                </c:pt>
                <c:pt idx="541">
                  <c:v>300</c:v>
                </c:pt>
                <c:pt idx="542">
                  <c:v>300</c:v>
                </c:pt>
                <c:pt idx="543">
                  <c:v>300</c:v>
                </c:pt>
                <c:pt idx="544">
                  <c:v>300</c:v>
                </c:pt>
                <c:pt idx="545">
                  <c:v>300</c:v>
                </c:pt>
                <c:pt idx="546">
                  <c:v>300</c:v>
                </c:pt>
                <c:pt idx="547">
                  <c:v>300</c:v>
                </c:pt>
                <c:pt idx="548">
                  <c:v>300</c:v>
                </c:pt>
                <c:pt idx="549">
                  <c:v>300</c:v>
                </c:pt>
                <c:pt idx="550">
                  <c:v>300</c:v>
                </c:pt>
                <c:pt idx="551">
                  <c:v>300</c:v>
                </c:pt>
                <c:pt idx="552">
                  <c:v>300</c:v>
                </c:pt>
                <c:pt idx="553">
                  <c:v>300</c:v>
                </c:pt>
                <c:pt idx="554">
                  <c:v>300</c:v>
                </c:pt>
                <c:pt idx="555">
                  <c:v>300</c:v>
                </c:pt>
                <c:pt idx="556">
                  <c:v>300</c:v>
                </c:pt>
                <c:pt idx="557">
                  <c:v>300</c:v>
                </c:pt>
                <c:pt idx="558">
                  <c:v>300</c:v>
                </c:pt>
                <c:pt idx="559">
                  <c:v>300</c:v>
                </c:pt>
                <c:pt idx="560">
                  <c:v>300</c:v>
                </c:pt>
                <c:pt idx="561">
                  <c:v>300</c:v>
                </c:pt>
                <c:pt idx="562">
                  <c:v>300</c:v>
                </c:pt>
                <c:pt idx="563">
                  <c:v>300</c:v>
                </c:pt>
                <c:pt idx="564">
                  <c:v>300</c:v>
                </c:pt>
                <c:pt idx="565">
                  <c:v>300</c:v>
                </c:pt>
                <c:pt idx="566">
                  <c:v>300</c:v>
                </c:pt>
                <c:pt idx="567">
                  <c:v>300</c:v>
                </c:pt>
                <c:pt idx="568">
                  <c:v>300</c:v>
                </c:pt>
                <c:pt idx="569">
                  <c:v>300</c:v>
                </c:pt>
                <c:pt idx="570">
                  <c:v>300</c:v>
                </c:pt>
                <c:pt idx="571">
                  <c:v>300</c:v>
                </c:pt>
                <c:pt idx="572">
                  <c:v>300</c:v>
                </c:pt>
                <c:pt idx="573">
                  <c:v>300</c:v>
                </c:pt>
                <c:pt idx="574">
                  <c:v>300</c:v>
                </c:pt>
                <c:pt idx="575">
                  <c:v>300</c:v>
                </c:pt>
                <c:pt idx="576">
                  <c:v>300</c:v>
                </c:pt>
                <c:pt idx="577">
                  <c:v>300</c:v>
                </c:pt>
                <c:pt idx="578">
                  <c:v>300</c:v>
                </c:pt>
                <c:pt idx="579">
                  <c:v>300</c:v>
                </c:pt>
                <c:pt idx="580">
                  <c:v>300</c:v>
                </c:pt>
                <c:pt idx="581">
                  <c:v>300</c:v>
                </c:pt>
                <c:pt idx="582">
                  <c:v>300</c:v>
                </c:pt>
                <c:pt idx="583">
                  <c:v>300</c:v>
                </c:pt>
                <c:pt idx="584">
                  <c:v>300</c:v>
                </c:pt>
                <c:pt idx="585">
                  <c:v>300</c:v>
                </c:pt>
                <c:pt idx="586">
                  <c:v>300</c:v>
                </c:pt>
                <c:pt idx="587">
                  <c:v>300</c:v>
                </c:pt>
                <c:pt idx="588">
                  <c:v>300</c:v>
                </c:pt>
                <c:pt idx="589">
                  <c:v>300</c:v>
                </c:pt>
                <c:pt idx="590">
                  <c:v>300</c:v>
                </c:pt>
                <c:pt idx="591">
                  <c:v>300</c:v>
                </c:pt>
                <c:pt idx="592">
                  <c:v>300</c:v>
                </c:pt>
                <c:pt idx="593">
                  <c:v>300</c:v>
                </c:pt>
                <c:pt idx="594">
                  <c:v>300</c:v>
                </c:pt>
                <c:pt idx="595">
                  <c:v>300</c:v>
                </c:pt>
                <c:pt idx="596">
                  <c:v>300</c:v>
                </c:pt>
                <c:pt idx="597">
                  <c:v>300</c:v>
                </c:pt>
                <c:pt idx="598">
                  <c:v>300</c:v>
                </c:pt>
                <c:pt idx="599">
                  <c:v>300</c:v>
                </c:pt>
                <c:pt idx="600">
                  <c:v>300</c:v>
                </c:pt>
                <c:pt idx="601">
                  <c:v>300</c:v>
                </c:pt>
                <c:pt idx="602">
                  <c:v>300</c:v>
                </c:pt>
                <c:pt idx="603">
                  <c:v>300</c:v>
                </c:pt>
                <c:pt idx="604">
                  <c:v>300</c:v>
                </c:pt>
                <c:pt idx="605">
                  <c:v>300</c:v>
                </c:pt>
                <c:pt idx="606">
                  <c:v>300</c:v>
                </c:pt>
                <c:pt idx="607">
                  <c:v>300</c:v>
                </c:pt>
                <c:pt idx="608">
                  <c:v>300</c:v>
                </c:pt>
                <c:pt idx="609">
                  <c:v>300</c:v>
                </c:pt>
                <c:pt idx="610">
                  <c:v>300</c:v>
                </c:pt>
                <c:pt idx="611">
                  <c:v>300</c:v>
                </c:pt>
                <c:pt idx="612">
                  <c:v>300</c:v>
                </c:pt>
                <c:pt idx="613">
                  <c:v>300</c:v>
                </c:pt>
                <c:pt idx="614">
                  <c:v>300</c:v>
                </c:pt>
                <c:pt idx="615">
                  <c:v>300</c:v>
                </c:pt>
                <c:pt idx="616">
                  <c:v>300</c:v>
                </c:pt>
                <c:pt idx="617">
                  <c:v>300</c:v>
                </c:pt>
                <c:pt idx="618">
                  <c:v>300</c:v>
                </c:pt>
                <c:pt idx="619">
                  <c:v>300</c:v>
                </c:pt>
                <c:pt idx="620">
                  <c:v>300</c:v>
                </c:pt>
                <c:pt idx="621">
                  <c:v>300</c:v>
                </c:pt>
                <c:pt idx="622">
                  <c:v>300</c:v>
                </c:pt>
                <c:pt idx="623">
                  <c:v>300</c:v>
                </c:pt>
                <c:pt idx="624">
                  <c:v>300</c:v>
                </c:pt>
                <c:pt idx="625">
                  <c:v>300</c:v>
                </c:pt>
                <c:pt idx="626">
                  <c:v>300</c:v>
                </c:pt>
                <c:pt idx="627">
                  <c:v>300</c:v>
                </c:pt>
                <c:pt idx="628">
                  <c:v>300</c:v>
                </c:pt>
                <c:pt idx="629">
                  <c:v>300</c:v>
                </c:pt>
                <c:pt idx="630">
                  <c:v>300</c:v>
                </c:pt>
                <c:pt idx="631">
                  <c:v>300</c:v>
                </c:pt>
                <c:pt idx="632">
                  <c:v>300</c:v>
                </c:pt>
                <c:pt idx="633">
                  <c:v>300</c:v>
                </c:pt>
                <c:pt idx="634">
                  <c:v>300</c:v>
                </c:pt>
                <c:pt idx="635">
                  <c:v>300</c:v>
                </c:pt>
                <c:pt idx="636">
                  <c:v>300</c:v>
                </c:pt>
                <c:pt idx="637">
                  <c:v>300</c:v>
                </c:pt>
                <c:pt idx="638">
                  <c:v>300</c:v>
                </c:pt>
                <c:pt idx="639">
                  <c:v>300</c:v>
                </c:pt>
                <c:pt idx="640">
                  <c:v>300</c:v>
                </c:pt>
                <c:pt idx="641">
                  <c:v>300</c:v>
                </c:pt>
                <c:pt idx="642">
                  <c:v>300</c:v>
                </c:pt>
                <c:pt idx="643">
                  <c:v>300</c:v>
                </c:pt>
                <c:pt idx="644">
                  <c:v>300</c:v>
                </c:pt>
                <c:pt idx="645">
                  <c:v>300</c:v>
                </c:pt>
                <c:pt idx="646">
                  <c:v>300</c:v>
                </c:pt>
                <c:pt idx="647">
                  <c:v>300</c:v>
                </c:pt>
                <c:pt idx="648">
                  <c:v>300</c:v>
                </c:pt>
                <c:pt idx="649">
                  <c:v>300</c:v>
                </c:pt>
                <c:pt idx="650">
                  <c:v>300</c:v>
                </c:pt>
                <c:pt idx="651">
                  <c:v>300</c:v>
                </c:pt>
                <c:pt idx="652">
                  <c:v>300</c:v>
                </c:pt>
                <c:pt idx="653">
                  <c:v>300</c:v>
                </c:pt>
                <c:pt idx="654">
                  <c:v>300</c:v>
                </c:pt>
                <c:pt idx="655">
                  <c:v>300</c:v>
                </c:pt>
                <c:pt idx="656">
                  <c:v>300</c:v>
                </c:pt>
                <c:pt idx="657">
                  <c:v>300</c:v>
                </c:pt>
                <c:pt idx="658">
                  <c:v>300</c:v>
                </c:pt>
                <c:pt idx="659">
                  <c:v>300</c:v>
                </c:pt>
                <c:pt idx="660">
                  <c:v>300</c:v>
                </c:pt>
                <c:pt idx="661">
                  <c:v>300</c:v>
                </c:pt>
                <c:pt idx="662">
                  <c:v>300</c:v>
                </c:pt>
                <c:pt idx="663">
                  <c:v>300</c:v>
                </c:pt>
                <c:pt idx="664">
                  <c:v>300</c:v>
                </c:pt>
                <c:pt idx="665">
                  <c:v>300</c:v>
                </c:pt>
                <c:pt idx="666">
                  <c:v>300</c:v>
                </c:pt>
                <c:pt idx="667">
                  <c:v>300</c:v>
                </c:pt>
                <c:pt idx="668">
                  <c:v>300</c:v>
                </c:pt>
                <c:pt idx="669">
                  <c:v>300</c:v>
                </c:pt>
                <c:pt idx="670">
                  <c:v>300</c:v>
                </c:pt>
                <c:pt idx="671">
                  <c:v>300</c:v>
                </c:pt>
                <c:pt idx="672">
                  <c:v>300</c:v>
                </c:pt>
                <c:pt idx="673">
                  <c:v>300</c:v>
                </c:pt>
                <c:pt idx="674">
                  <c:v>300</c:v>
                </c:pt>
                <c:pt idx="675">
                  <c:v>300</c:v>
                </c:pt>
                <c:pt idx="676">
                  <c:v>300</c:v>
                </c:pt>
                <c:pt idx="677">
                  <c:v>300</c:v>
                </c:pt>
                <c:pt idx="678">
                  <c:v>300</c:v>
                </c:pt>
                <c:pt idx="679">
                  <c:v>300</c:v>
                </c:pt>
                <c:pt idx="680">
                  <c:v>300</c:v>
                </c:pt>
                <c:pt idx="681">
                  <c:v>300</c:v>
                </c:pt>
                <c:pt idx="682">
                  <c:v>300</c:v>
                </c:pt>
                <c:pt idx="683">
                  <c:v>300</c:v>
                </c:pt>
                <c:pt idx="684">
                  <c:v>300</c:v>
                </c:pt>
                <c:pt idx="685">
                  <c:v>300</c:v>
                </c:pt>
                <c:pt idx="686">
                  <c:v>300</c:v>
                </c:pt>
                <c:pt idx="687">
                  <c:v>300</c:v>
                </c:pt>
                <c:pt idx="688">
                  <c:v>300</c:v>
                </c:pt>
                <c:pt idx="689">
                  <c:v>300</c:v>
                </c:pt>
                <c:pt idx="690">
                  <c:v>300</c:v>
                </c:pt>
                <c:pt idx="691">
                  <c:v>300</c:v>
                </c:pt>
                <c:pt idx="692">
                  <c:v>300</c:v>
                </c:pt>
                <c:pt idx="693">
                  <c:v>300</c:v>
                </c:pt>
                <c:pt idx="694">
                  <c:v>300</c:v>
                </c:pt>
                <c:pt idx="695">
                  <c:v>300</c:v>
                </c:pt>
                <c:pt idx="696">
                  <c:v>300</c:v>
                </c:pt>
                <c:pt idx="697">
                  <c:v>300</c:v>
                </c:pt>
                <c:pt idx="698">
                  <c:v>300</c:v>
                </c:pt>
                <c:pt idx="699">
                  <c:v>300</c:v>
                </c:pt>
                <c:pt idx="700">
                  <c:v>300</c:v>
                </c:pt>
                <c:pt idx="701">
                  <c:v>300</c:v>
                </c:pt>
                <c:pt idx="702">
                  <c:v>300</c:v>
                </c:pt>
                <c:pt idx="703">
                  <c:v>300</c:v>
                </c:pt>
                <c:pt idx="704">
                  <c:v>300</c:v>
                </c:pt>
                <c:pt idx="705">
                  <c:v>300</c:v>
                </c:pt>
                <c:pt idx="706">
                  <c:v>300</c:v>
                </c:pt>
                <c:pt idx="707">
                  <c:v>300</c:v>
                </c:pt>
                <c:pt idx="708">
                  <c:v>300</c:v>
                </c:pt>
                <c:pt idx="709">
                  <c:v>300</c:v>
                </c:pt>
                <c:pt idx="710">
                  <c:v>300</c:v>
                </c:pt>
                <c:pt idx="711">
                  <c:v>300</c:v>
                </c:pt>
                <c:pt idx="712">
                  <c:v>300</c:v>
                </c:pt>
                <c:pt idx="713">
                  <c:v>300</c:v>
                </c:pt>
                <c:pt idx="714">
                  <c:v>300</c:v>
                </c:pt>
                <c:pt idx="715">
                  <c:v>300</c:v>
                </c:pt>
                <c:pt idx="716">
                  <c:v>300</c:v>
                </c:pt>
                <c:pt idx="717">
                  <c:v>300</c:v>
                </c:pt>
                <c:pt idx="718">
                  <c:v>300</c:v>
                </c:pt>
                <c:pt idx="719">
                  <c:v>300</c:v>
                </c:pt>
                <c:pt idx="720">
                  <c:v>300</c:v>
                </c:pt>
                <c:pt idx="721">
                  <c:v>300</c:v>
                </c:pt>
                <c:pt idx="722">
                  <c:v>300</c:v>
                </c:pt>
                <c:pt idx="723">
                  <c:v>300</c:v>
                </c:pt>
                <c:pt idx="724">
                  <c:v>300</c:v>
                </c:pt>
                <c:pt idx="725">
                  <c:v>300</c:v>
                </c:pt>
                <c:pt idx="726">
                  <c:v>300</c:v>
                </c:pt>
                <c:pt idx="727">
                  <c:v>300</c:v>
                </c:pt>
                <c:pt idx="728">
                  <c:v>300</c:v>
                </c:pt>
                <c:pt idx="729">
                  <c:v>300</c:v>
                </c:pt>
                <c:pt idx="730">
                  <c:v>300</c:v>
                </c:pt>
                <c:pt idx="731">
                  <c:v>300</c:v>
                </c:pt>
                <c:pt idx="732">
                  <c:v>300</c:v>
                </c:pt>
                <c:pt idx="733">
                  <c:v>300</c:v>
                </c:pt>
                <c:pt idx="734">
                  <c:v>300</c:v>
                </c:pt>
                <c:pt idx="735">
                  <c:v>300</c:v>
                </c:pt>
                <c:pt idx="736">
                  <c:v>300</c:v>
                </c:pt>
                <c:pt idx="737">
                  <c:v>300</c:v>
                </c:pt>
                <c:pt idx="738">
                  <c:v>300</c:v>
                </c:pt>
                <c:pt idx="739">
                  <c:v>300</c:v>
                </c:pt>
                <c:pt idx="740">
                  <c:v>300</c:v>
                </c:pt>
                <c:pt idx="741">
                  <c:v>300</c:v>
                </c:pt>
                <c:pt idx="742">
                  <c:v>300</c:v>
                </c:pt>
                <c:pt idx="743">
                  <c:v>300</c:v>
                </c:pt>
                <c:pt idx="744">
                  <c:v>300</c:v>
                </c:pt>
                <c:pt idx="745">
                  <c:v>300</c:v>
                </c:pt>
                <c:pt idx="746">
                  <c:v>300</c:v>
                </c:pt>
                <c:pt idx="747">
                  <c:v>300</c:v>
                </c:pt>
                <c:pt idx="748">
                  <c:v>300</c:v>
                </c:pt>
                <c:pt idx="749">
                  <c:v>300</c:v>
                </c:pt>
                <c:pt idx="750">
                  <c:v>300</c:v>
                </c:pt>
                <c:pt idx="751">
                  <c:v>300</c:v>
                </c:pt>
                <c:pt idx="752">
                  <c:v>300</c:v>
                </c:pt>
                <c:pt idx="753">
                  <c:v>300</c:v>
                </c:pt>
                <c:pt idx="754">
                  <c:v>300</c:v>
                </c:pt>
                <c:pt idx="755">
                  <c:v>300</c:v>
                </c:pt>
                <c:pt idx="756">
                  <c:v>300</c:v>
                </c:pt>
                <c:pt idx="757">
                  <c:v>300</c:v>
                </c:pt>
                <c:pt idx="758">
                  <c:v>300</c:v>
                </c:pt>
                <c:pt idx="759">
                  <c:v>300</c:v>
                </c:pt>
                <c:pt idx="760">
                  <c:v>300</c:v>
                </c:pt>
                <c:pt idx="761">
                  <c:v>300</c:v>
                </c:pt>
                <c:pt idx="762">
                  <c:v>300</c:v>
                </c:pt>
                <c:pt idx="763">
                  <c:v>300</c:v>
                </c:pt>
                <c:pt idx="764">
                  <c:v>300</c:v>
                </c:pt>
                <c:pt idx="765">
                  <c:v>300</c:v>
                </c:pt>
                <c:pt idx="766">
                  <c:v>300</c:v>
                </c:pt>
                <c:pt idx="767">
                  <c:v>300</c:v>
                </c:pt>
                <c:pt idx="768">
                  <c:v>300</c:v>
                </c:pt>
                <c:pt idx="769">
                  <c:v>300</c:v>
                </c:pt>
                <c:pt idx="770">
                  <c:v>300</c:v>
                </c:pt>
                <c:pt idx="771">
                  <c:v>300</c:v>
                </c:pt>
                <c:pt idx="772">
                  <c:v>300</c:v>
                </c:pt>
                <c:pt idx="773">
                  <c:v>300</c:v>
                </c:pt>
                <c:pt idx="774">
                  <c:v>300</c:v>
                </c:pt>
                <c:pt idx="775">
                  <c:v>300</c:v>
                </c:pt>
                <c:pt idx="776">
                  <c:v>300</c:v>
                </c:pt>
                <c:pt idx="777">
                  <c:v>300</c:v>
                </c:pt>
                <c:pt idx="778">
                  <c:v>300</c:v>
                </c:pt>
                <c:pt idx="779">
                  <c:v>300</c:v>
                </c:pt>
                <c:pt idx="780">
                  <c:v>300</c:v>
                </c:pt>
                <c:pt idx="781">
                  <c:v>300</c:v>
                </c:pt>
                <c:pt idx="782">
                  <c:v>300</c:v>
                </c:pt>
                <c:pt idx="783">
                  <c:v>300</c:v>
                </c:pt>
                <c:pt idx="784">
                  <c:v>300</c:v>
                </c:pt>
                <c:pt idx="785">
                  <c:v>300</c:v>
                </c:pt>
                <c:pt idx="786">
                  <c:v>300</c:v>
                </c:pt>
                <c:pt idx="787">
                  <c:v>300</c:v>
                </c:pt>
                <c:pt idx="788">
                  <c:v>300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91343680"/>
        <c:axId val="91344256"/>
      </c:scatterChart>
      <c:valAx>
        <c:axId val="91343680"/>
        <c:scaling>
          <c:orientation val="minMax"/>
          <c:min val="0"/>
        </c:scaling>
        <c:delete val="0"/>
        <c:axPos val="b"/>
        <c:minorGridlines/>
        <c:numFmt formatCode="General" sourceLinked="1"/>
        <c:majorTickMark val="out"/>
        <c:minorTickMark val="none"/>
        <c:tickLblPos val="nextTo"/>
        <c:crossAx val="91344256"/>
        <c:crosses val="autoZero"/>
        <c:crossBetween val="midCat"/>
      </c:valAx>
      <c:valAx>
        <c:axId val="91344256"/>
        <c:scaling>
          <c:orientation val="minMax"/>
          <c:min val="0"/>
        </c:scaling>
        <c:delete val="0"/>
        <c:axPos val="l"/>
        <c:majorGridlines/>
        <c:numFmt formatCode="General" sourceLinked="1"/>
        <c:majorTickMark val="out"/>
        <c:minorTickMark val="none"/>
        <c:tickLblPos val="nextTo"/>
        <c:crossAx val="91343680"/>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ru-RU"/>
        </a:p>
      </c:txPr>
    </c:title>
    <c:autoTitleDeleted val="0"/>
    <c:plotArea>
      <c:layout/>
      <c:scatterChart>
        <c:scatterStyle val="lineMarker"/>
        <c:varyColors val="0"/>
        <c:ser>
          <c:idx val="0"/>
          <c:order val="0"/>
          <c:tx>
            <c:strRef>
              <c:f>Calculations!$AA$1</c:f>
              <c:strCache>
                <c:ptCount val="1"/>
                <c:pt idx="0">
                  <c:v>Расход газа Gобъемн [л/час] / Gas consumption [l/s]</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Calculations!$AA$2:$AA$1302</c:f>
              <c:numCache>
                <c:formatCode>0.0</c:formatCode>
                <c:ptCount val="1301"/>
                <c:pt idx="0">
                  <c:v>141.09267511855202</c:v>
                </c:pt>
                <c:pt idx="1">
                  <c:v>140.55553917309396</c:v>
                </c:pt>
                <c:pt idx="2">
                  <c:v>140.02180121558106</c:v>
                </c:pt>
                <c:pt idx="3">
                  <c:v>139.49142909427167</c:v>
                </c:pt>
                <c:pt idx="4">
                  <c:v>138.96439107165611</c:v>
                </c:pt>
                <c:pt idx="5">
                  <c:v>138.44065581766452</c:v>
                </c:pt>
                <c:pt idx="6">
                  <c:v>137.92019240301093</c:v>
                </c:pt>
                <c:pt idx="7">
                  <c:v>137.40297029266836</c:v>
                </c:pt>
                <c:pt idx="8">
                  <c:v>136.88895933947433</c:v>
                </c:pt>
                <c:pt idx="9">
                  <c:v>136.37812977786089</c:v>
                </c:pt>
                <c:pt idx="10">
                  <c:v>135.87045221770927</c:v>
                </c:pt>
                <c:pt idx="11">
                  <c:v>135.36589763832396</c:v>
                </c:pt>
                <c:pt idx="12">
                  <c:v>134.86443738252396</c:v>
                </c:pt>
                <c:pt idx="13">
                  <c:v>134.36604315085012</c:v>
                </c:pt>
                <c:pt idx="14">
                  <c:v>133.87068699588372</c:v>
                </c:pt>
                <c:pt idx="15">
                  <c:v>133.37834131667452</c:v>
                </c:pt>
                <c:pt idx="16">
                  <c:v>132.888978853277</c:v>
                </c:pt>
                <c:pt idx="17">
                  <c:v>132.40257268139021</c:v>
                </c:pt>
                <c:pt idx="18">
                  <c:v>131.91909620710021</c:v>
                </c:pt>
                <c:pt idx="19">
                  <c:v>131.43852316172388</c:v>
                </c:pt>
                <c:pt idx="20">
                  <c:v>130.96082759674823</c:v>
                </c:pt>
                <c:pt idx="21">
                  <c:v>130.48598387886736</c:v>
                </c:pt>
                <c:pt idx="22">
                  <c:v>130.013966685112</c:v>
                </c:pt>
                <c:pt idx="23">
                  <c:v>129.5447509980707</c:v>
                </c:pt>
                <c:pt idx="24">
                  <c:v>129.07831210120014</c:v>
                </c:pt>
                <c:pt idx="25">
                  <c:v>128.61462557422342</c:v>
                </c:pt>
                <c:pt idx="26">
                  <c:v>128.15366728861395</c:v>
                </c:pt>
                <c:pt idx="27">
                  <c:v>127.69541340316155</c:v>
                </c:pt>
                <c:pt idx="28">
                  <c:v>127.23984035962307</c:v>
                </c:pt>
                <c:pt idx="29">
                  <c:v>126.78692487844984</c:v>
                </c:pt>
                <c:pt idx="30">
                  <c:v>126.33664395459635</c:v>
                </c:pt>
                <c:pt idx="31">
                  <c:v>125.88897485340388</c:v>
                </c:pt>
                <c:pt idx="32">
                  <c:v>125.44389510655908</c:v>
                </c:pt>
                <c:pt idx="33">
                  <c:v>125.00138250812756</c:v>
                </c:pt>
                <c:pt idx="34">
                  <c:v>124.56141511065719</c:v>
                </c:pt>
                <c:pt idx="35">
                  <c:v>124.12397122135239</c:v>
                </c:pt>
                <c:pt idx="36">
                  <c:v>123.68902939831879</c:v>
                </c:pt>
                <c:pt idx="37">
                  <c:v>123.25656844687194</c:v>
                </c:pt>
                <c:pt idx="38">
                  <c:v>122.82656741591596</c:v>
                </c:pt>
                <c:pt idx="39">
                  <c:v>122.39900559438281</c:v>
                </c:pt>
                <c:pt idx="40">
                  <c:v>121.97333088937124</c:v>
                </c:pt>
                <c:pt idx="41">
                  <c:v>121.55058813669231</c:v>
                </c:pt>
                <c:pt idx="42">
                  <c:v>121.13022385143123</c:v>
                </c:pt>
                <c:pt idx="43">
                  <c:v>120.71221824844875</c:v>
                </c:pt>
                <c:pt idx="44">
                  <c:v>120.29655176575845</c:v>
                </c:pt>
                <c:pt idx="45">
                  <c:v>119.88320506132889</c:v>
                </c:pt>
                <c:pt idx="46">
                  <c:v>119.47215900993943</c:v>
                </c:pt>
                <c:pt idx="47">
                  <c:v>119.06339470009246</c:v>
                </c:pt>
                <c:pt idx="48">
                  <c:v>118.65689343097679</c:v>
                </c:pt>
                <c:pt idx="49">
                  <c:v>118.25263670948635</c:v>
                </c:pt>
                <c:pt idx="50">
                  <c:v>117.850606247287</c:v>
                </c:pt>
                <c:pt idx="51">
                  <c:v>117.45078395793682</c:v>
                </c:pt>
                <c:pt idx="52">
                  <c:v>117.05315195405252</c:v>
                </c:pt>
                <c:pt idx="53">
                  <c:v>116.65769254452672</c:v>
                </c:pt>
                <c:pt idx="54">
                  <c:v>116.26438823179117</c:v>
                </c:pt>
                <c:pt idx="55">
                  <c:v>115.87322170912643</c:v>
                </c:pt>
                <c:pt idx="56">
                  <c:v>115.48417585801674</c:v>
                </c:pt>
                <c:pt idx="57">
                  <c:v>115.09723374555109</c:v>
                </c:pt>
                <c:pt idx="58">
                  <c:v>114.71237862186518</c:v>
                </c:pt>
                <c:pt idx="59">
                  <c:v>114.3295939176286</c:v>
                </c:pt>
                <c:pt idx="60">
                  <c:v>113.94886324157254</c:v>
                </c:pt>
                <c:pt idx="61">
                  <c:v>113.57070199642581</c:v>
                </c:pt>
                <c:pt idx="62">
                  <c:v>113.19402914165322</c:v>
                </c:pt>
                <c:pt idx="63">
                  <c:v>112.81936219843054</c:v>
                </c:pt>
                <c:pt idx="64">
                  <c:v>112.44668546369277</c:v>
                </c:pt>
                <c:pt idx="65">
                  <c:v>112.07598340068043</c:v>
                </c:pt>
                <c:pt idx="66">
                  <c:v>111.70724063670183</c:v>
                </c:pt>
                <c:pt idx="67">
                  <c:v>111.34044196093305</c:v>
                </c:pt>
                <c:pt idx="68">
                  <c:v>110.97557232225364</c:v>
                </c:pt>
                <c:pt idx="69">
                  <c:v>110.61261682711684</c:v>
                </c:pt>
                <c:pt idx="70">
                  <c:v>110.25156073745487</c:v>
                </c:pt>
                <c:pt idx="71">
                  <c:v>109.89238946861771</c:v>
                </c:pt>
                <c:pt idx="72">
                  <c:v>109.53508858734575</c:v>
                </c:pt>
                <c:pt idx="73">
                  <c:v>96.793810921427351</c:v>
                </c:pt>
                <c:pt idx="74">
                  <c:v>96.50161074225062</c:v>
                </c:pt>
                <c:pt idx="75">
                  <c:v>96.210794203613872</c:v>
                </c:pt>
                <c:pt idx="76">
                  <c:v>95.921351797976783</c:v>
                </c:pt>
                <c:pt idx="77">
                  <c:v>95.633274105704288</c:v>
                </c:pt>
                <c:pt idx="78">
                  <c:v>95.346551794036429</c:v>
                </c:pt>
                <c:pt idx="79">
                  <c:v>95.061175616072816</c:v>
                </c:pt>
                <c:pt idx="80">
                  <c:v>94.777136409771458</c:v>
                </c:pt>
                <c:pt idx="81">
                  <c:v>94.494425096961507</c:v>
                </c:pt>
                <c:pt idx="82">
                  <c:v>94.213032682370383</c:v>
                </c:pt>
                <c:pt idx="83">
                  <c:v>93.932950252664426</c:v>
                </c:pt>
                <c:pt idx="84">
                  <c:v>93.654168975502373</c:v>
                </c:pt>
                <c:pt idx="85">
                  <c:v>93.376680098603785</c:v>
                </c:pt>
                <c:pt idx="86">
                  <c:v>93.100474948828378</c:v>
                </c:pt>
                <c:pt idx="87">
                  <c:v>92.825544931269846</c:v>
                </c:pt>
                <c:pt idx="88">
                  <c:v>92.551881528361363</c:v>
                </c:pt>
                <c:pt idx="89">
                  <c:v>92.279476298994226</c:v>
                </c:pt>
                <c:pt idx="90">
                  <c:v>92.008320877647563</c:v>
                </c:pt>
                <c:pt idx="91">
                  <c:v>91.738406973531383</c:v>
                </c:pt>
                <c:pt idx="92">
                  <c:v>91.469726369740542</c:v>
                </c:pt>
                <c:pt idx="93">
                  <c:v>91.202270922420823</c:v>
                </c:pt>
                <c:pt idx="94">
                  <c:v>90.936032559945772</c:v>
                </c:pt>
                <c:pt idx="95">
                  <c:v>90.671003282105417</c:v>
                </c:pt>
                <c:pt idx="96">
                  <c:v>90.407175159306206</c:v>
                </c:pt>
                <c:pt idx="97">
                  <c:v>90.14454033178103</c:v>
                </c:pt>
                <c:pt idx="98">
                  <c:v>89.883091008810737</c:v>
                </c:pt>
                <c:pt idx="99">
                  <c:v>89.622819467955438</c:v>
                </c:pt>
                <c:pt idx="100">
                  <c:v>89.36371805429728</c:v>
                </c:pt>
                <c:pt idx="101">
                  <c:v>89.105779179691865</c:v>
                </c:pt>
                <c:pt idx="102">
                  <c:v>88.848995322031598</c:v>
                </c:pt>
                <c:pt idx="103">
                  <c:v>88.593359024517184</c:v>
                </c:pt>
                <c:pt idx="104">
                  <c:v>88.338862894939894</c:v>
                </c:pt>
                <c:pt idx="105">
                  <c:v>88.085499604973378</c:v>
                </c:pt>
                <c:pt idx="106">
                  <c:v>87.833261889473889</c:v>
                </c:pt>
                <c:pt idx="107">
                  <c:v>87.582142545791598</c:v>
                </c:pt>
                <c:pt idx="108">
                  <c:v>87.332134433089252</c:v>
                </c:pt>
                <c:pt idx="109">
                  <c:v>87.083230471670703</c:v>
                </c:pt>
                <c:pt idx="110">
                  <c:v>86.835423642318474</c:v>
                </c:pt>
                <c:pt idx="111">
                  <c:v>86.588706985639334</c:v>
                </c:pt>
                <c:pt idx="112">
                  <c:v>86.343073601419249</c:v>
                </c:pt>
                <c:pt idx="113">
                  <c:v>86.098516647986045</c:v>
                </c:pt>
                <c:pt idx="114">
                  <c:v>85.855029341580774</c:v>
                </c:pt>
                <c:pt idx="115">
                  <c:v>85.612604955737496</c:v>
                </c:pt>
                <c:pt idx="116">
                  <c:v>85.371236820670759</c:v>
                </c:pt>
                <c:pt idx="117">
                  <c:v>85.130918322670993</c:v>
                </c:pt>
                <c:pt idx="118">
                  <c:v>84.891642903507744</c:v>
                </c:pt>
                <c:pt idx="119">
                  <c:v>84.653404059841137</c:v>
                </c:pt>
                <c:pt idx="120">
                  <c:v>84.416195342640279</c:v>
                </c:pt>
                <c:pt idx="121">
                  <c:v>84.180010356609287</c:v>
                </c:pt>
                <c:pt idx="122">
                  <c:v>83.944842759620755</c:v>
                </c:pt>
                <c:pt idx="123">
                  <c:v>83.710686262156798</c:v>
                </c:pt>
                <c:pt idx="124">
                  <c:v>83.477534626756409</c:v>
                </c:pt>
                <c:pt idx="125">
                  <c:v>83.245381667470554</c:v>
                </c:pt>
                <c:pt idx="126">
                  <c:v>83.014221249324279</c:v>
                </c:pt>
                <c:pt idx="127">
                  <c:v>82.784047287784603</c:v>
                </c:pt>
                <c:pt idx="128">
                  <c:v>82.554853748236681</c:v>
                </c:pt>
                <c:pt idx="129">
                  <c:v>82.326634645465106</c:v>
                </c:pt>
                <c:pt idx="130">
                  <c:v>82.099384043142919</c:v>
                </c:pt>
                <c:pt idx="131">
                  <c:v>81.873096053326123</c:v>
                </c:pt>
                <c:pt idx="132">
                  <c:v>81.647764835954959</c:v>
                </c:pt>
                <c:pt idx="133">
                  <c:v>81.42338459836165</c:v>
                </c:pt>
                <c:pt idx="134">
                  <c:v>81.199949594783931</c:v>
                </c:pt>
                <c:pt idx="135">
                  <c:v>80.977454125884549</c:v>
                </c:pt>
                <c:pt idx="136">
                  <c:v>80.755892538276996</c:v>
                </c:pt>
                <c:pt idx="137">
                  <c:v>80.535259224056887</c:v>
                </c:pt>
                <c:pt idx="138">
                  <c:v>80.315548620339797</c:v>
                </c:pt>
                <c:pt idx="139">
                  <c:v>80.096755208803685</c:v>
                </c:pt>
                <c:pt idx="140">
                  <c:v>79.8788735152377</c:v>
                </c:pt>
                <c:pt idx="141">
                  <c:v>79.661898109096668</c:v>
                </c:pt>
                <c:pt idx="142">
                  <c:v>79.445823603060092</c:v>
                </c:pt>
                <c:pt idx="143">
                  <c:v>79.23064465259823</c:v>
                </c:pt>
                <c:pt idx="144">
                  <c:v>79.016355955541499</c:v>
                </c:pt>
                <c:pt idx="145">
                  <c:v>78.802952251656194</c:v>
                </c:pt>
                <c:pt idx="146">
                  <c:v>78.590428322225932</c:v>
                </c:pt>
                <c:pt idx="147">
                  <c:v>78.378778989636416</c:v>
                </c:pt>
                <c:pt idx="148">
                  <c:v>78.167999116967394</c:v>
                </c:pt>
                <c:pt idx="149">
                  <c:v>77.958083607587326</c:v>
                </c:pt>
                <c:pt idx="150">
                  <c:v>77.749027404754983</c:v>
                </c:pt>
                <c:pt idx="151">
                  <c:v>77.540825491224098</c:v>
                </c:pt>
                <c:pt idx="152">
                  <c:v>77.33347288885426</c:v>
                </c:pt>
                <c:pt idx="153">
                  <c:v>77.12696465822529</c:v>
                </c:pt>
                <c:pt idx="154">
                  <c:v>76.92129589825656</c:v>
                </c:pt>
                <c:pt idx="155">
                  <c:v>76.716461745831438</c:v>
                </c:pt>
                <c:pt idx="156">
                  <c:v>76.512457375425441</c:v>
                </c:pt>
                <c:pt idx="157">
                  <c:v>76.309277998739233</c:v>
                </c:pt>
                <c:pt idx="158">
                  <c:v>76.106918864335569</c:v>
                </c:pt>
                <c:pt idx="159">
                  <c:v>75.905375257281079</c:v>
                </c:pt>
                <c:pt idx="160">
                  <c:v>75.704642498791856</c:v>
                </c:pt>
                <c:pt idx="161">
                  <c:v>65.790711930974311</c:v>
                </c:pt>
                <c:pt idx="162">
                  <c:v>65.565993131695109</c:v>
                </c:pt>
                <c:pt idx="163">
                  <c:v>65.343976595285255</c:v>
                </c:pt>
                <c:pt idx="164">
                  <c:v>65.124600070657038</c:v>
                </c:pt>
                <c:pt idx="165">
                  <c:v>64.907804042014121</c:v>
                </c:pt>
                <c:pt idx="166">
                  <c:v>64.693531607757578</c:v>
                </c:pt>
                <c:pt idx="167">
                  <c:v>64.48172836611586</c:v>
                </c:pt>
                <c:pt idx="168">
                  <c:v>64.272342307167889</c:v>
                </c:pt>
                <c:pt idx="169">
                  <c:v>64.065323710940632</c:v>
                </c:pt>
                <c:pt idx="170">
                  <c:v>63.860625051273743</c:v>
                </c:pt>
                <c:pt idx="171">
                  <c:v>63.65820090515723</c:v>
                </c:pt>
                <c:pt idx="172">
                  <c:v>63.458007867261664</c:v>
                </c:pt>
                <c:pt idx="173">
                  <c:v>63.260004469394751</c:v>
                </c:pt>
                <c:pt idx="174">
                  <c:v>63.064151104630099</c:v>
                </c:pt>
                <c:pt idx="175">
                  <c:v>62.870409955868716</c:v>
                </c:pt>
                <c:pt idx="176">
                  <c:v>62.678744928607458</c:v>
                </c:pt>
                <c:pt idx="177">
                  <c:v>62.489121587700161</c:v>
                </c:pt>
                <c:pt idx="178">
                  <c:v>62.301507097910637</c:v>
                </c:pt>
                <c:pt idx="179">
                  <c:v>62.115870168068156</c:v>
                </c:pt>
                <c:pt idx="180">
                  <c:v>61.932180998650196</c:v>
                </c:pt>
                <c:pt idx="181">
                  <c:v>61.750411232623442</c:v>
                </c:pt>
                <c:pt idx="182">
                  <c:v>61.570533909390441</c:v>
                </c:pt>
                <c:pt idx="183">
                  <c:v>61.39252342169555</c:v>
                </c:pt>
                <c:pt idx="184">
                  <c:v>61.21635547535567</c:v>
                </c:pt>
                <c:pt idx="185">
                  <c:v>51.246638086242406</c:v>
                </c:pt>
                <c:pt idx="186">
                  <c:v>51.108472829314884</c:v>
                </c:pt>
                <c:pt idx="187">
                  <c:v>50.97191416651529</c:v>
                </c:pt>
                <c:pt idx="188">
                  <c:v>50.836944035255236</c:v>
                </c:pt>
                <c:pt idx="189">
                  <c:v>50.703545507621691</c:v>
                </c:pt>
                <c:pt idx="190">
                  <c:v>50.571702765104369</c:v>
                </c:pt>
                <c:pt idx="191">
                  <c:v>50.441401075431699</c:v>
                </c:pt>
                <c:pt idx="192">
                  <c:v>50.312626771444279</c:v>
                </c:pt>
                <c:pt idx="193">
                  <c:v>50.185367231944049</c:v>
                </c:pt>
                <c:pt idx="194">
                  <c:v>50.059610864461277</c:v>
                </c:pt>
                <c:pt idx="195">
                  <c:v>49.935347089888161</c:v>
                </c:pt>
                <c:pt idx="196">
                  <c:v>49.812566328935837</c:v>
                </c:pt>
                <c:pt idx="197">
                  <c:v>49.691259990373624</c:v>
                </c:pt>
                <c:pt idx="198">
                  <c:v>49.571420461018967</c:v>
                </c:pt>
                <c:pt idx="199">
                  <c:v>49.453041097448839</c:v>
                </c:pt>
                <c:pt idx="200">
                  <c:v>49.336116219410663</c:v>
                </c:pt>
                <c:pt idx="201">
                  <c:v>49.220641104916091</c:v>
                </c:pt>
                <c:pt idx="202">
                  <c:v>49.106611987004435</c:v>
                </c:pt>
                <c:pt idx="203">
                  <c:v>48.994026052170412</c:v>
                </c:pt>
                <c:pt idx="204">
                  <c:v>48.882881440453374</c:v>
                </c:pt>
                <c:pt idx="205">
                  <c:v>48.773177247192514</c:v>
                </c:pt>
                <c:pt idx="206">
                  <c:v>48.664913526457781</c:v>
                </c:pt>
                <c:pt idx="207">
                  <c:v>48.558091296167483</c:v>
                </c:pt>
                <c:pt idx="208">
                  <c:v>48.452712544916302</c:v>
                </c:pt>
                <c:pt idx="209">
                  <c:v>48.348780240534275</c:v>
                </c:pt>
                <c:pt idx="210">
                  <c:v>48.24629834041064</c:v>
                </c:pt>
                <c:pt idx="211">
                  <c:v>48.145271803615515</c:v>
                </c:pt>
                <c:pt idx="212">
                  <c:v>48.045706604863113</c:v>
                </c:pt>
                <c:pt idx="213">
                  <c:v>47.947609750362894</c:v>
                </c:pt>
                <c:pt idx="214">
                  <c:v>47.850989295612216</c:v>
                </c:pt>
                <c:pt idx="215">
                  <c:v>47.755854365191404</c:v>
                </c:pt>
                <c:pt idx="216">
                  <c:v>47.662215174626724</c:v>
                </c:pt>
                <c:pt idx="217">
                  <c:v>47.570083054394679</c:v>
                </c:pt>
                <c:pt idx="218">
                  <c:v>47.479470476148734</c:v>
                </c:pt>
                <c:pt idx="219">
                  <c:v>47.390391081254926</c:v>
                </c:pt>
                <c:pt idx="220">
                  <c:v>47.302859711732282</c:v>
                </c:pt>
                <c:pt idx="221">
                  <c:v>47.216892443702449</c:v>
                </c:pt>
                <c:pt idx="222">
                  <c:v>47.132506623457871</c:v>
                </c:pt>
                <c:pt idx="223">
                  <c:v>47.049720906271439</c:v>
                </c:pt>
                <c:pt idx="224">
                  <c:v>46.968555298075721</c:v>
                </c:pt>
                <c:pt idx="225">
                  <c:v>46.889031200151003</c:v>
                </c:pt>
                <c:pt idx="226">
                  <c:v>46.811171456972879</c:v>
                </c:pt>
                <c:pt idx="227">
                  <c:v>46.735000407375573</c:v>
                </c:pt>
                <c:pt idx="228">
                  <c:v>46.66054393920453</c:v>
                </c:pt>
                <c:pt idx="229">
                  <c:v>46.587829547637227</c:v>
                </c:pt>
                <c:pt idx="230">
                  <c:v>46.516886397366484</c:v>
                </c:pt>
                <c:pt idx="231">
                  <c:v>46.447745388849299</c:v>
                </c:pt>
                <c:pt idx="232">
                  <c:v>46.38043922883972</c:v>
                </c:pt>
                <c:pt idx="233">
                  <c:v>46.315002505432901</c:v>
                </c:pt>
                <c:pt idx="234">
                  <c:v>46.251471767862746</c:v>
                </c:pt>
                <c:pt idx="235">
                  <c:v>46.189885611306629</c:v>
                </c:pt>
                <c:pt idx="236">
                  <c:v>46.130284766961026</c:v>
                </c:pt>
                <c:pt idx="237">
                  <c:v>46.072712197668011</c:v>
                </c:pt>
                <c:pt idx="238">
                  <c:v>46.017213199376776</c:v>
                </c:pt>
                <c:pt idx="239">
                  <c:v>45.963835508739599</c:v>
                </c:pt>
                <c:pt idx="240">
                  <c:v>45.912629417147045</c:v>
                </c:pt>
                <c:pt idx="241">
                  <c:v>45.863647891510283</c:v>
                </c:pt>
                <c:pt idx="242">
                  <c:v>45.816946702106257</c:v>
                </c:pt>
                <c:pt idx="243">
                  <c:v>45.772584557794062</c:v>
                </c:pt>
                <c:pt idx="244">
                  <c:v>45.730623248908621</c:v>
                </c:pt>
                <c:pt idx="245">
                  <c:v>45.691127798119744</c:v>
                </c:pt>
                <c:pt idx="246">
                  <c:v>45.654166619527004</c:v>
                </c:pt>
                <c:pt idx="247">
                  <c:v>45.619811686223791</c:v>
                </c:pt>
                <c:pt idx="248">
                  <c:v>45.588138706519977</c:v>
                </c:pt>
                <c:pt idx="249">
                  <c:v>45.559227308948344</c:v>
                </c:pt>
                <c:pt idx="250">
                  <c:v>45.533161236092852</c:v>
                </c:pt>
                <c:pt idx="251">
                  <c:v>45.510028547167302</c:v>
                </c:pt>
                <c:pt idx="252">
                  <c:v>45.489921829126295</c:v>
                </c:pt>
                <c:pt idx="253">
                  <c:v>45.472938415903336</c:v>
                </c:pt>
                <c:pt idx="254">
                  <c:v>45.45918061513126</c:v>
                </c:pt>
                <c:pt idx="255">
                  <c:v>45.448755941397572</c:v>
                </c:pt>
                <c:pt idx="256">
                  <c:v>45.441777354703554</c:v>
                </c:pt>
                <c:pt idx="257">
                  <c:v>45.438363502308853</c:v>
                </c:pt>
                <c:pt idx="258">
                  <c:v>45.438638961538778</c:v>
                </c:pt>
                <c:pt idx="259">
                  <c:v>45.44273448036418</c:v>
                </c:pt>
                <c:pt idx="260">
                  <c:v>45.45078721160575</c:v>
                </c:pt>
                <c:pt idx="261">
                  <c:v>45.462940935416931</c:v>
                </c:pt>
                <c:pt idx="262">
                  <c:v>45.47934626319546</c:v>
                </c:pt>
                <c:pt idx="263">
                  <c:v>45.500160814193237</c:v>
                </c:pt>
                <c:pt idx="264">
                  <c:v>45.52554935373999</c:v>
                </c:pt>
                <c:pt idx="265">
                  <c:v>45.555683879047578</c:v>
                </c:pt>
                <c:pt idx="266">
                  <c:v>45.590743634863301</c:v>
                </c:pt>
                <c:pt idx="267">
                  <c:v>45.630915036604826</c:v>
                </c:pt>
                <c:pt idx="268">
                  <c:v>45.676391472785483</c:v>
                </c:pt>
                <c:pt idx="269">
                  <c:v>45.727372951219067</c:v>
                </c:pt>
                <c:pt idx="270">
                  <c:v>45.784065544279208</c:v>
                </c:pt>
                <c:pt idx="271">
                  <c:v>45.84668057688171</c:v>
                </c:pt>
                <c:pt idx="272">
                  <c:v>45.915433486212287</c:v>
                </c:pt>
                <c:pt idx="273">
                  <c:v>45.990542263721245</c:v>
                </c:pt>
                <c:pt idx="274">
                  <c:v>46.072225366524748</c:v>
                </c:pt>
                <c:pt idx="275">
                  <c:v>46.160698955752153</c:v>
                </c:pt>
                <c:pt idx="276">
                  <c:v>46.256173281920567</c:v>
                </c:pt>
                <c:pt idx="277">
                  <c:v>46.358847989990068</c:v>
                </c:pt>
                <c:pt idx="278">
                  <c:v>46.468906056758399</c:v>
                </c:pt>
                <c:pt idx="279">
                  <c:v>46.586505997496523</c:v>
                </c:pt>
                <c:pt idx="280">
                  <c:v>46.711771883339516</c:v>
                </c:pt>
                <c:pt idx="281">
                  <c:v>46.844780591499159</c:v>
                </c:pt>
                <c:pt idx="282">
                  <c:v>46.985545561957537</c:v>
                </c:pt>
                <c:pt idx="283">
                  <c:v>47.133996152292319</c:v>
                </c:pt>
                <c:pt idx="284">
                  <c:v>47.289951463479866</c:v>
                </c:pt>
                <c:pt idx="285">
                  <c:v>47.453087254981504</c:v>
                </c:pt>
                <c:pt idx="286">
                  <c:v>47.622894287680438</c:v>
                </c:pt>
                <c:pt idx="287">
                  <c:v>47.798626158447149</c:v>
                </c:pt>
                <c:pt idx="288">
                  <c:v>47.979234488792791</c:v>
                </c:pt>
                <c:pt idx="289">
                  <c:v>48.163289343731755</c:v>
                </c:pt>
                <c:pt idx="290">
                  <c:v>48.34888326275734</c:v>
                </c:pt>
                <c:pt idx="291">
                  <c:v>48.533518807131458</c:v>
                </c:pt>
                <c:pt idx="292">
                  <c:v>48.713983031399103</c:v>
                </c:pt>
                <c:pt idx="293">
                  <c:v>48.886219496355672</c:v>
                </c:pt>
                <c:pt idx="294">
                  <c:v>49.045222314466244</c:v>
                </c:pt>
                <c:pt idx="295">
                  <c:v>49.185001991834298</c:v>
                </c:pt>
                <c:pt idx="296">
                  <c:v>49.298716021727294</c:v>
                </c:pt>
                <c:pt idx="297">
                  <c:v>49.379123741989638</c:v>
                </c:pt>
                <c:pt idx="298">
                  <c:v>49.419606128338131</c:v>
                </c:pt>
                <c:pt idx="299">
                  <c:v>49.416020719711874</c:v>
                </c:pt>
                <c:pt idx="300">
                  <c:v>49.369406705587465</c:v>
                </c:pt>
                <c:pt idx="301">
                  <c:v>49.288471345446723</c:v>
                </c:pt>
                <c:pt idx="302">
                  <c:v>49.188514405115917</c:v>
                </c:pt>
                <c:pt idx="303">
                  <c:v>49.083404137902981</c:v>
                </c:pt>
                <c:pt idx="304">
                  <c:v>48.978207532949618</c:v>
                </c:pt>
                <c:pt idx="305">
                  <c:v>48.873335535968288</c:v>
                </c:pt>
                <c:pt idx="306">
                  <c:v>48.768788343037144</c:v>
                </c:pt>
                <c:pt idx="307">
                  <c:v>48.664564569989018</c:v>
                </c:pt>
                <c:pt idx="308">
                  <c:v>48.560662840379933</c:v>
                </c:pt>
                <c:pt idx="309">
                  <c:v>48.457081785435498</c:v>
                </c:pt>
                <c:pt idx="310">
                  <c:v>48.35382004399731</c:v>
                </c:pt>
                <c:pt idx="311">
                  <c:v>48.250876262469824</c:v>
                </c:pt>
                <c:pt idx="312">
                  <c:v>48.148249094767614</c:v>
                </c:pt>
                <c:pt idx="313">
                  <c:v>48.045937202263538</c:v>
                </c:pt>
                <c:pt idx="314">
                  <c:v>47.943939253736545</c:v>
                </c:pt>
                <c:pt idx="315">
                  <c:v>47.842253925320819</c:v>
                </c:pt>
                <c:pt idx="316">
                  <c:v>47.740879900454587</c:v>
                </c:pt>
                <c:pt idx="317">
                  <c:v>47.639815869829739</c:v>
                </c:pt>
                <c:pt idx="318">
                  <c:v>47.539060531342024</c:v>
                </c:pt>
                <c:pt idx="319">
                  <c:v>47.438612590041096</c:v>
                </c:pt>
                <c:pt idx="320">
                  <c:v>47.338470758081463</c:v>
                </c:pt>
                <c:pt idx="321">
                  <c:v>47.238633754673543</c:v>
                </c:pt>
                <c:pt idx="322">
                  <c:v>47.139100306035886</c:v>
                </c:pt>
                <c:pt idx="323">
                  <c:v>47.039869145346188</c:v>
                </c:pt>
                <c:pt idx="324">
                  <c:v>46.940939012694542</c:v>
                </c:pt>
                <c:pt idx="325">
                  <c:v>46.842308655035829</c:v>
                </c:pt>
                <c:pt idx="326">
                  <c:v>46.743976826143104</c:v>
                </c:pt>
                <c:pt idx="327">
                  <c:v>46.645942286560825</c:v>
                </c:pt>
                <c:pt idx="328">
                  <c:v>46.548203803559502</c:v>
                </c:pt>
                <c:pt idx="329">
                  <c:v>46.450760151089106</c:v>
                </c:pt>
                <c:pt idx="330">
                  <c:v>46.353610109734653</c:v>
                </c:pt>
                <c:pt idx="331">
                  <c:v>46.256752466670655</c:v>
                </c:pt>
                <c:pt idx="332">
                  <c:v>46.160186015616951</c:v>
                </c:pt>
                <c:pt idx="333">
                  <c:v>46.063909556794286</c:v>
                </c:pt>
                <c:pt idx="334">
                  <c:v>45.967921896880704</c:v>
                </c:pt>
                <c:pt idx="335">
                  <c:v>45.87222184896779</c:v>
                </c:pt>
                <c:pt idx="336">
                  <c:v>45.77680823251788</c:v>
                </c:pt>
                <c:pt idx="337">
                  <c:v>45.681679873320903</c:v>
                </c:pt>
                <c:pt idx="338">
                  <c:v>45.586835603452478</c:v>
                </c:pt>
                <c:pt idx="339">
                  <c:v>45.492274261231266</c:v>
                </c:pt>
                <c:pt idx="340">
                  <c:v>45.397994691177658</c:v>
                </c:pt>
                <c:pt idx="341">
                  <c:v>45.30399574397223</c:v>
                </c:pt>
                <c:pt idx="342">
                  <c:v>45.21027627641449</c:v>
                </c:pt>
                <c:pt idx="343">
                  <c:v>45.11683515138261</c:v>
                </c:pt>
                <c:pt idx="344">
                  <c:v>45.023671237792449</c:v>
                </c:pt>
                <c:pt idx="345">
                  <c:v>44.930783410557765</c:v>
                </c:pt>
                <c:pt idx="346">
                  <c:v>44.838170550550721</c:v>
                </c:pt>
                <c:pt idx="347">
                  <c:v>44.745831544561689</c:v>
                </c:pt>
                <c:pt idx="348">
                  <c:v>44.653765285261066</c:v>
                </c:pt>
                <c:pt idx="349">
                  <c:v>44.561970671159493</c:v>
                </c:pt>
                <c:pt idx="350">
                  <c:v>44.470446606570199</c:v>
                </c:pt>
                <c:pt idx="351">
                  <c:v>44.379192001570154</c:v>
                </c:pt>
                <c:pt idx="352">
                  <c:v>44.28820577196263</c:v>
                </c:pt>
                <c:pt idx="353">
                  <c:v>44.197486839239211</c:v>
                </c:pt>
                <c:pt idx="354">
                  <c:v>44.107034130542814</c:v>
                </c:pt>
                <c:pt idx="355">
                  <c:v>44.016846578630485</c:v>
                </c:pt>
                <c:pt idx="356">
                  <c:v>43.926923121836751</c:v>
                </c:pt>
                <c:pt idx="357">
                  <c:v>43.8372627040373</c:v>
                </c:pt>
                <c:pt idx="358">
                  <c:v>43.747864274612589</c:v>
                </c:pt>
                <c:pt idx="359">
                  <c:v>43.658726788412281</c:v>
                </c:pt>
                <c:pt idx="360">
                  <c:v>43.569849205719464</c:v>
                </c:pt>
                <c:pt idx="361">
                  <c:v>43.481230492215452</c:v>
                </c:pt>
                <c:pt idx="362">
                  <c:v>43.392869618944751</c:v>
                </c:pt>
                <c:pt idx="363">
                  <c:v>43.30476556228038</c:v>
                </c:pt>
                <c:pt idx="364">
                  <c:v>43.216917303889126</c:v>
                </c:pt>
                <c:pt idx="365">
                  <c:v>43.129323830697814</c:v>
                </c:pt>
                <c:pt idx="366">
                  <c:v>43.041984134859121</c:v>
                </c:pt>
                <c:pt idx="367">
                  <c:v>42.95489721371758</c:v>
                </c:pt>
                <c:pt idx="368">
                  <c:v>42.868062069776848</c:v>
                </c:pt>
                <c:pt idx="369">
                  <c:v>42.781477710665953</c:v>
                </c:pt>
                <c:pt idx="370">
                  <c:v>42.695143149106983</c:v>
                </c:pt>
                <c:pt idx="371">
                  <c:v>42.609057402881696</c:v>
                </c:pt>
                <c:pt idx="372">
                  <c:v>42.523219494799868</c:v>
                </c:pt>
                <c:pt idx="373">
                  <c:v>42.437628452666758</c:v>
                </c:pt>
                <c:pt idx="374">
                  <c:v>42.352283309251256</c:v>
                </c:pt>
                <c:pt idx="375">
                  <c:v>42.267183102254393</c:v>
                </c:pt>
                <c:pt idx="376">
                  <c:v>42.182326874277727</c:v>
                </c:pt>
                <c:pt idx="377">
                  <c:v>42.097713672792402</c:v>
                </c:pt>
                <c:pt idx="378">
                  <c:v>34.403252949705234</c:v>
                </c:pt>
                <c:pt idx="379">
                  <c:v>34.339835408688394</c:v>
                </c:pt>
                <c:pt idx="380">
                  <c:v>34.276581757851233</c:v>
                </c:pt>
                <c:pt idx="381">
                  <c:v>34.213491428436839</c:v>
                </c:pt>
                <c:pt idx="382">
                  <c:v>34.150563854233113</c:v>
                </c:pt>
                <c:pt idx="383">
                  <c:v>34.087798471558671</c:v>
                </c:pt>
                <c:pt idx="384">
                  <c:v>34.025194719248738</c:v>
                </c:pt>
                <c:pt idx="385">
                  <c:v>33.962752038641604</c:v>
                </c:pt>
                <c:pt idx="386">
                  <c:v>33.900469873564305</c:v>
                </c:pt>
                <c:pt idx="387">
                  <c:v>33.838347670319081</c:v>
                </c:pt>
                <c:pt idx="388">
                  <c:v>33.776384877669692</c:v>
                </c:pt>
                <c:pt idx="389">
                  <c:v>33.714580946827766</c:v>
                </c:pt>
                <c:pt idx="390">
                  <c:v>33.652935331439245</c:v>
                </c:pt>
                <c:pt idx="391">
                  <c:v>33.591447487571095</c:v>
                </c:pt>
                <c:pt idx="392">
                  <c:v>33.530116873698063</c:v>
                </c:pt>
                <c:pt idx="393">
                  <c:v>33.468942950689197</c:v>
                </c:pt>
                <c:pt idx="394">
                  <c:v>33.407925181794766</c:v>
                </c:pt>
                <c:pt idx="395">
                  <c:v>33.347063032633585</c:v>
                </c:pt>
                <c:pt idx="396">
                  <c:v>33.286355971179383</c:v>
                </c:pt>
                <c:pt idx="397">
                  <c:v>33.225803467748491</c:v>
                </c:pt>
                <c:pt idx="398">
                  <c:v>33.165404994986709</c:v>
                </c:pt>
                <c:pt idx="399">
                  <c:v>33.105160027856883</c:v>
                </c:pt>
                <c:pt idx="400">
                  <c:v>33.045068043625761</c:v>
                </c:pt>
                <c:pt idx="401">
                  <c:v>32.985128521852097</c:v>
                </c:pt>
                <c:pt idx="402">
                  <c:v>32.925340944373652</c:v>
                </c:pt>
                <c:pt idx="403">
                  <c:v>32.865704795295123</c:v>
                </c:pt>
                <c:pt idx="404">
                  <c:v>32.806219560975777</c:v>
                </c:pt>
                <c:pt idx="405">
                  <c:v>32.746884730017058</c:v>
                </c:pt>
                <c:pt idx="406">
                  <c:v>32.687699793250623</c:v>
                </c:pt>
                <c:pt idx="407">
                  <c:v>32.628664243726128</c:v>
                </c:pt>
                <c:pt idx="408">
                  <c:v>32.569777576699536</c:v>
                </c:pt>
                <c:pt idx="409">
                  <c:v>32.511039289620754</c:v>
                </c:pt>
                <c:pt idx="410">
                  <c:v>32.452448882122297</c:v>
                </c:pt>
                <c:pt idx="411">
                  <c:v>32.394005856007148</c:v>
                </c:pt>
                <c:pt idx="412">
                  <c:v>32.335709715237023</c:v>
                </c:pt>
                <c:pt idx="413">
                  <c:v>32.277559965921434</c:v>
                </c:pt>
                <c:pt idx="414">
                  <c:v>32.219556116305299</c:v>
                </c:pt>
                <c:pt idx="415">
                  <c:v>32.161697676757903</c:v>
                </c:pt>
                <c:pt idx="416">
                  <c:v>32.10398415976168</c:v>
                </c:pt>
                <c:pt idx="417">
                  <c:v>32.046415079900498</c:v>
                </c:pt>
                <c:pt idx="418">
                  <c:v>31.988989953848847</c:v>
                </c:pt>
                <c:pt idx="419">
                  <c:v>31.931708300360309</c:v>
                </c:pt>
                <c:pt idx="420">
                  <c:v>31.874569640256752</c:v>
                </c:pt>
                <c:pt idx="421">
                  <c:v>31.817573496416962</c:v>
                </c:pt>
                <c:pt idx="422">
                  <c:v>31.760719393766177</c:v>
                </c:pt>
                <c:pt idx="423">
                  <c:v>31.704006859264858</c:v>
                </c:pt>
                <c:pt idx="424">
                  <c:v>31.647435421897878</c:v>
                </c:pt>
                <c:pt idx="425">
                  <c:v>31.591004612663937</c:v>
                </c:pt>
                <c:pt idx="426">
                  <c:v>31.534713964564883</c:v>
                </c:pt>
                <c:pt idx="427">
                  <c:v>31.478563012595021</c:v>
                </c:pt>
                <c:pt idx="428">
                  <c:v>31.422551293730521</c:v>
                </c:pt>
                <c:pt idx="429">
                  <c:v>31.366678346919091</c:v>
                </c:pt>
                <c:pt idx="430">
                  <c:v>31.310943713069552</c:v>
                </c:pt>
                <c:pt idx="431">
                  <c:v>31.255346935041466</c:v>
                </c:pt>
                <c:pt idx="432">
                  <c:v>31.199887557634717</c:v>
                </c:pt>
                <c:pt idx="433">
                  <c:v>31.144565127579639</c:v>
                </c:pt>
                <c:pt idx="434">
                  <c:v>31.089379193526511</c:v>
                </c:pt>
                <c:pt idx="435">
                  <c:v>31.034329306035843</c:v>
                </c:pt>
                <c:pt idx="436">
                  <c:v>30.979415017568044</c:v>
                </c:pt>
                <c:pt idx="437">
                  <c:v>30.924635882473595</c:v>
                </c:pt>
                <c:pt idx="438">
                  <c:v>30.869991456983115</c:v>
                </c:pt>
                <c:pt idx="439">
                  <c:v>30.815481299197771</c:v>
                </c:pt>
                <c:pt idx="440">
                  <c:v>30.761104969079099</c:v>
                </c:pt>
                <c:pt idx="441">
                  <c:v>30.706862028439669</c:v>
                </c:pt>
                <c:pt idx="442">
                  <c:v>30.652752040933208</c:v>
                </c:pt>
                <c:pt idx="443">
                  <c:v>30.598774572045073</c:v>
                </c:pt>
                <c:pt idx="444">
                  <c:v>30.544929189083035</c:v>
                </c:pt>
                <c:pt idx="445">
                  <c:v>30.49121546116714</c:v>
                </c:pt>
                <c:pt idx="446">
                  <c:v>30.437632959220981</c:v>
                </c:pt>
                <c:pt idx="447">
                  <c:v>30.384181255961821</c:v>
                </c:pt>
                <c:pt idx="448">
                  <c:v>30.330859925891932</c:v>
                </c:pt>
                <c:pt idx="449">
                  <c:v>30.277668545288712</c:v>
                </c:pt>
                <c:pt idx="450">
                  <c:v>30.224606692195792</c:v>
                </c:pt>
                <c:pt idx="451">
                  <c:v>30.171673946414167</c:v>
                </c:pt>
                <c:pt idx="452">
                  <c:v>30.11886988949248</c:v>
                </c:pt>
                <c:pt idx="453">
                  <c:v>30.0661941047188</c:v>
                </c:pt>
                <c:pt idx="454">
                  <c:v>30.013646177111159</c:v>
                </c:pt>
                <c:pt idx="455">
                  <c:v>29.961225693408711</c:v>
                </c:pt>
                <c:pt idx="456">
                  <c:v>29.908932242063347</c:v>
                </c:pt>
                <c:pt idx="457">
                  <c:v>29.856765413229958</c:v>
                </c:pt>
                <c:pt idx="458">
                  <c:v>29.804724798758876</c:v>
                </c:pt>
                <c:pt idx="459">
                  <c:v>29.752809992186361</c:v>
                </c:pt>
                <c:pt idx="460">
                  <c:v>29.701020588726188</c:v>
                </c:pt>
                <c:pt idx="461">
                  <c:v>29.649356185261265</c:v>
                </c:pt>
                <c:pt idx="462">
                  <c:v>29.597816380334955</c:v>
                </c:pt>
                <c:pt idx="463">
                  <c:v>29.546400774142601</c:v>
                </c:pt>
                <c:pt idx="464">
                  <c:v>29.49510896852318</c:v>
                </c:pt>
                <c:pt idx="465">
                  <c:v>29.443940566950886</c:v>
                </c:pt>
                <c:pt idx="466">
                  <c:v>29.392895174526913</c:v>
                </c:pt>
                <c:pt idx="467">
                  <c:v>29.341972397971091</c:v>
                </c:pt>
                <c:pt idx="468">
                  <c:v>29.291171845613803</c:v>
                </c:pt>
                <c:pt idx="469">
                  <c:v>29.240493127387527</c:v>
                </c:pt>
                <c:pt idx="470">
                  <c:v>29.189935854819229</c:v>
                </c:pt>
                <c:pt idx="471">
                  <c:v>29.139499641021786</c:v>
                </c:pt>
                <c:pt idx="472">
                  <c:v>29.089184100686328</c:v>
                </c:pt>
                <c:pt idx="473">
                  <c:v>29.038988850074123</c:v>
                </c:pt>
                <c:pt idx="474">
                  <c:v>28.988913507008697</c:v>
                </c:pt>
                <c:pt idx="475">
                  <c:v>28.938957690867959</c:v>
                </c:pt>
                <c:pt idx="476">
                  <c:v>28.889121022576361</c:v>
                </c:pt>
                <c:pt idx="477">
                  <c:v>28.83940312459729</c:v>
                </c:pt>
                <c:pt idx="478">
                  <c:v>28.789803620924971</c:v>
                </c:pt>
                <c:pt idx="479">
                  <c:v>28.7403221370772</c:v>
                </c:pt>
                <c:pt idx="480">
                  <c:v>28.690958300087576</c:v>
                </c:pt>
                <c:pt idx="481">
                  <c:v>28.641711738497676</c:v>
                </c:pt>
                <c:pt idx="482">
                  <c:v>28.59258208234985</c:v>
                </c:pt>
                <c:pt idx="483">
                  <c:v>28.543568963179624</c:v>
                </c:pt>
                <c:pt idx="484">
                  <c:v>28.49467201400801</c:v>
                </c:pt>
                <c:pt idx="485">
                  <c:v>28.445890869334718</c:v>
                </c:pt>
                <c:pt idx="486">
                  <c:v>28.397225165129907</c:v>
                </c:pt>
                <c:pt idx="487">
                  <c:v>28.348674538827549</c:v>
                </c:pt>
                <c:pt idx="488">
                  <c:v>28.300238629318059</c:v>
                </c:pt>
                <c:pt idx="489">
                  <c:v>28.251917076940838</c:v>
                </c:pt>
                <c:pt idx="490">
                  <c:v>28.203709523477158</c:v>
                </c:pt>
                <c:pt idx="491">
                  <c:v>28.155615612143166</c:v>
                </c:pt>
                <c:pt idx="492">
                  <c:v>28.107634987582536</c:v>
                </c:pt>
                <c:pt idx="493">
                  <c:v>28.05976729585975</c:v>
                </c:pt>
                <c:pt idx="494">
                  <c:v>28.012012184452779</c:v>
                </c:pt>
                <c:pt idx="495">
                  <c:v>27.964369302246066</c:v>
                </c:pt>
                <c:pt idx="496">
                  <c:v>27.916838299523995</c:v>
                </c:pt>
                <c:pt idx="497">
                  <c:v>27.869418827963546</c:v>
                </c:pt>
                <c:pt idx="498">
                  <c:v>27.822110540627794</c:v>
                </c:pt>
                <c:pt idx="499">
                  <c:v>27.774913091958727</c:v>
                </c:pt>
                <c:pt idx="500">
                  <c:v>27.727826137770791</c:v>
                </c:pt>
                <c:pt idx="501">
                  <c:v>27.680849335244027</c:v>
                </c:pt>
                <c:pt idx="502">
                  <c:v>27.633982342917491</c:v>
                </c:pt>
                <c:pt idx="503">
                  <c:v>27.587224820682369</c:v>
                </c:pt>
                <c:pt idx="504">
                  <c:v>27.540576429775466</c:v>
                </c:pt>
                <c:pt idx="505">
                  <c:v>27.494036832772846</c:v>
                </c:pt>
                <c:pt idx="506">
                  <c:v>27.447605693582982</c:v>
                </c:pt>
                <c:pt idx="507">
                  <c:v>27.401282677440417</c:v>
                </c:pt>
                <c:pt idx="508">
                  <c:v>27.35506745089921</c:v>
                </c:pt>
                <c:pt idx="509">
                  <c:v>27.308959681826664</c:v>
                </c:pt>
                <c:pt idx="510">
                  <c:v>27.262959039396819</c:v>
                </c:pt>
                <c:pt idx="511">
                  <c:v>27.217065194084107</c:v>
                </c:pt>
                <c:pt idx="512">
                  <c:v>27.17127781765711</c:v>
                </c:pt>
                <c:pt idx="513">
                  <c:v>27.125596583172165</c:v>
                </c:pt>
                <c:pt idx="514">
                  <c:v>27.080021164967331</c:v>
                </c:pt>
                <c:pt idx="515">
                  <c:v>27.034551238655919</c:v>
                </c:pt>
                <c:pt idx="516">
                  <c:v>26.989186481120466</c:v>
                </c:pt>
                <c:pt idx="517">
                  <c:v>26.943926570506818</c:v>
                </c:pt>
                <c:pt idx="518">
                  <c:v>26.898771186217566</c:v>
                </c:pt>
                <c:pt idx="519">
                  <c:v>26.853720008906393</c:v>
                </c:pt>
                <c:pt idx="520">
                  <c:v>26.808772720471829</c:v>
                </c:pt>
                <c:pt idx="521">
                  <c:v>26.763929004051203</c:v>
                </c:pt>
                <c:pt idx="522">
                  <c:v>26.719188544015168</c:v>
                </c:pt>
                <c:pt idx="523">
                  <c:v>26.674551025961144</c:v>
                </c:pt>
                <c:pt idx="524">
                  <c:v>26.630016136707663</c:v>
                </c:pt>
                <c:pt idx="525">
                  <c:v>26.585583564288847</c:v>
                </c:pt>
                <c:pt idx="526">
                  <c:v>26.541252997948011</c:v>
                </c:pt>
                <c:pt idx="527">
                  <c:v>26.497024128132381</c:v>
                </c:pt>
                <c:pt idx="528">
                  <c:v>26.452896646486987</c:v>
                </c:pt>
                <c:pt idx="529">
                  <c:v>26.408870245849293</c:v>
                </c:pt>
                <c:pt idx="530">
                  <c:v>26.364944620242941</c:v>
                </c:pt>
                <c:pt idx="531">
                  <c:v>26.321119464872876</c:v>
                </c:pt>
                <c:pt idx="532">
                  <c:v>26.277394476119028</c:v>
                </c:pt>
                <c:pt idx="533">
                  <c:v>26.23376935153108</c:v>
                </c:pt>
                <c:pt idx="534">
                  <c:v>26.190243789822961</c:v>
                </c:pt>
                <c:pt idx="535">
                  <c:v>26.146817490866852</c:v>
                </c:pt>
                <c:pt idx="536">
                  <c:v>26.103490155688469</c:v>
                </c:pt>
                <c:pt idx="537">
                  <c:v>26.060261486460799</c:v>
                </c:pt>
                <c:pt idx="538">
                  <c:v>26.01713118649916</c:v>
                </c:pt>
                <c:pt idx="539">
                  <c:v>25.97409896025578</c:v>
                </c:pt>
                <c:pt idx="540">
                  <c:v>25.931164513314069</c:v>
                </c:pt>
                <c:pt idx="541">
                  <c:v>25.888327552383711</c:v>
                </c:pt>
                <c:pt idx="542">
                  <c:v>25.845587785295049</c:v>
                </c:pt>
                <c:pt idx="543">
                  <c:v>25.802944920994022</c:v>
                </c:pt>
                <c:pt idx="544">
                  <c:v>25.760398669536663</c:v>
                </c:pt>
                <c:pt idx="545">
                  <c:v>25.717948742084182</c:v>
                </c:pt>
                <c:pt idx="546">
                  <c:v>25.675594850897536</c:v>
                </c:pt>
                <c:pt idx="547">
                  <c:v>25.633336709332205</c:v>
                </c:pt>
                <c:pt idx="548">
                  <c:v>25.591174031833479</c:v>
                </c:pt>
                <c:pt idx="549">
                  <c:v>25.549106533930853</c:v>
                </c:pt>
                <c:pt idx="550">
                  <c:v>25.507133932233309</c:v>
                </c:pt>
                <c:pt idx="551">
                  <c:v>25.465255944423994</c:v>
                </c:pt>
                <c:pt idx="552">
                  <c:v>25.423472289255347</c:v>
                </c:pt>
                <c:pt idx="553">
                  <c:v>25.381782686544252</c:v>
                </c:pt>
                <c:pt idx="554">
                  <c:v>25.340186857166756</c:v>
                </c:pt>
                <c:pt idx="555">
                  <c:v>25.298684523053343</c:v>
                </c:pt>
                <c:pt idx="556">
                  <c:v>25.257275407183968</c:v>
                </c:pt>
                <c:pt idx="557">
                  <c:v>25.215959233583181</c:v>
                </c:pt>
                <c:pt idx="558">
                  <c:v>25.174735727315362</c:v>
                </c:pt>
                <c:pt idx="559">
                  <c:v>25.133604614479644</c:v>
                </c:pt>
                <c:pt idx="560">
                  <c:v>25.092565622205367</c:v>
                </c:pt>
                <c:pt idx="561">
                  <c:v>25.051618478647278</c:v>
                </c:pt>
                <c:pt idx="562">
                  <c:v>25.010762912980557</c:v>
                </c:pt>
                <c:pt idx="563">
                  <c:v>24.969998655396473</c:v>
                </c:pt>
                <c:pt idx="564">
                  <c:v>24.92932543709734</c:v>
                </c:pt>
                <c:pt idx="565">
                  <c:v>24.888742990291913</c:v>
                </c:pt>
                <c:pt idx="566">
                  <c:v>24.848251048191052</c:v>
                </c:pt>
                <c:pt idx="567">
                  <c:v>24.807849345002637</c:v>
                </c:pt>
                <c:pt idx="568">
                  <c:v>24.767537615927342</c:v>
                </c:pt>
                <c:pt idx="569">
                  <c:v>24.727315597153869</c:v>
                </c:pt>
                <c:pt idx="570">
                  <c:v>24.687183025854516</c:v>
                </c:pt>
                <c:pt idx="571">
                  <c:v>24.647139640180658</c:v>
                </c:pt>
                <c:pt idx="572">
                  <c:v>24.607185179258074</c:v>
                </c:pt>
                <c:pt idx="573">
                  <c:v>24.567319383182895</c:v>
                </c:pt>
                <c:pt idx="574">
                  <c:v>24.52754199301657</c:v>
                </c:pt>
                <c:pt idx="575">
                  <c:v>24.487852750781936</c:v>
                </c:pt>
                <c:pt idx="576">
                  <c:v>24.448251399458712</c:v>
                </c:pt>
                <c:pt idx="577">
                  <c:v>24.408736098360798</c:v>
                </c:pt>
                <c:pt idx="578">
                  <c:v>24.368895137891915</c:v>
                </c:pt>
                <c:pt idx="579">
                  <c:v>24.323672314549771</c:v>
                </c:pt>
                <c:pt idx="580">
                  <c:v>24.259248178716305</c:v>
                </c:pt>
                <c:pt idx="581">
                  <c:v>24.160427113342593</c:v>
                </c:pt>
                <c:pt idx="582">
                  <c:v>24.018649459190623</c:v>
                </c:pt>
                <c:pt idx="583">
                  <c:v>23.833039876429986</c:v>
                </c:pt>
                <c:pt idx="584">
                  <c:v>23.607897346706967</c:v>
                </c:pt>
                <c:pt idx="585">
                  <c:v>23.349976368398789</c:v>
                </c:pt>
                <c:pt idx="586">
                  <c:v>23.066626693885269</c:v>
                </c:pt>
                <c:pt idx="587">
                  <c:v>22.764773400543053</c:v>
                </c:pt>
                <c:pt idx="588">
                  <c:v>22.450464528457328</c:v>
                </c:pt>
                <c:pt idx="589">
                  <c:v>22.128743998775143</c:v>
                </c:pt>
                <c:pt idx="590">
                  <c:v>21.803689420074132</c:v>
                </c:pt>
                <c:pt idx="591">
                  <c:v>21.478521406232801</c:v>
                </c:pt>
                <c:pt idx="592">
                  <c:v>21.15573447804751</c:v>
                </c:pt>
                <c:pt idx="593">
                  <c:v>20.837225027346388</c:v>
                </c:pt>
                <c:pt idx="594">
                  <c:v>20.524405758672231</c:v>
                </c:pt>
                <c:pt idx="595">
                  <c:v>20.218303257462289</c:v>
                </c:pt>
                <c:pt idx="596">
                  <c:v>19.919638842665861</c:v>
                </c:pt>
                <c:pt idx="597">
                  <c:v>19.628894380381418</c:v>
                </c:pt>
                <c:pt idx="598">
                  <c:v>19.346365233668791</c:v>
                </c:pt>
                <c:pt idx="599">
                  <c:v>19.072202529291896</c:v>
                </c:pt>
                <c:pt idx="600">
                  <c:v>18.806446713183131</c:v>
                </c:pt>
                <c:pt idx="601">
                  <c:v>18.549054084902693</c:v>
                </c:pt>
                <c:pt idx="602">
                  <c:v>18.299917715950397</c:v>
                </c:pt>
                <c:pt idx="603">
                  <c:v>18.058883897569675</c:v>
                </c:pt>
                <c:pt idx="604">
                  <c:v>17.825765041091028</c:v>
                </c:pt>
                <c:pt idx="605">
                  <c:v>17.600349768806613</c:v>
                </c:pt>
                <c:pt idx="606">
                  <c:v>17.38241078253877</c:v>
                </c:pt>
                <c:pt idx="607">
                  <c:v>17.171710975682021</c:v>
                </c:pt>
                <c:pt idx="608">
                  <c:v>16.968008157588951</c:v>
                </c:pt>
                <c:pt idx="609">
                  <c:v>16.771058682198039</c:v>
                </c:pt>
                <c:pt idx="610">
                  <c:v>16.580620211847986</c:v>
                </c:pt>
                <c:pt idx="611">
                  <c:v>16.396453799044462</c:v>
                </c:pt>
                <c:pt idx="612">
                  <c:v>16.218325430874778</c:v>
                </c:pt>
                <c:pt idx="613">
                  <c:v>16.046007150703947</c:v>
                </c:pt>
                <c:pt idx="614">
                  <c:v>15.879277848014302</c:v>
                </c:pt>
                <c:pt idx="615">
                  <c:v>15.717923788459489</c:v>
                </c:pt>
                <c:pt idx="616">
                  <c:v>15.56173894131711</c:v>
                </c:pt>
                <c:pt idx="617">
                  <c:v>15.410525149729702</c:v>
                </c:pt>
                <c:pt idx="618">
                  <c:v>15.264092179759594</c:v>
                </c:pt>
                <c:pt idx="619">
                  <c:v>15.122257676845654</c:v>
                </c:pt>
                <c:pt idx="620">
                  <c:v>14.98484705233251</c:v>
                </c:pt>
                <c:pt idx="621">
                  <c:v>14.851693318029698</c:v>
                </c:pt>
                <c:pt idx="622">
                  <c:v>14.72263688300291</c:v>
                </c:pt>
                <c:pt idx="623">
                  <c:v>14.597525323803749</c:v>
                </c:pt>
                <c:pt idx="624">
                  <c:v>14.476213136951456</c:v>
                </c:pt>
                <c:pt idx="625">
                  <c:v>14.358561480573158</c:v>
                </c:pt>
                <c:pt idx="626">
                  <c:v>14.244437910579906</c:v>
                </c:pt>
                <c:pt idx="627">
                  <c:v>14.133716115543312</c:v>
                </c:pt>
                <c:pt idx="628">
                  <c:v>14.026275653461713</c:v>
                </c:pt>
                <c:pt idx="629">
                  <c:v>13.92200169283227</c:v>
                </c:pt>
                <c:pt idx="630">
                  <c:v>13.82078475982811</c:v>
                </c:pt>
                <c:pt idx="631">
                  <c:v>13.722520492888973</c:v>
                </c:pt>
                <c:pt idx="632">
                  <c:v>13.627109405647248</c:v>
                </c:pt>
                <c:pt idx="633">
                  <c:v>13.534456658802352</c:v>
                </c:pt>
                <c:pt idx="634">
                  <c:v>13.444471841317396</c:v>
                </c:pt>
                <c:pt idx="635">
                  <c:v>13.357068761122367</c:v>
                </c:pt>
                <c:pt idx="636">
                  <c:v>13.272165245363542</c:v>
                </c:pt>
                <c:pt idx="637">
                  <c:v>13.189682950125233</c:v>
                </c:pt>
                <c:pt idx="638">
                  <c:v>13.109547179465695</c:v>
                </c:pt>
                <c:pt idx="639">
                  <c:v>13.031686713546968</c:v>
                </c:pt>
                <c:pt idx="640">
                  <c:v>12.956033645590207</c:v>
                </c:pt>
                <c:pt idx="641">
                  <c:v>12.882523227358632</c:v>
                </c:pt>
                <c:pt idx="642">
                  <c:v>12.811093722846906</c:v>
                </c:pt>
                <c:pt idx="643">
                  <c:v>12.741686269844713</c:v>
                </c:pt>
                <c:pt idx="644">
                  <c:v>12.674244749036482</c:v>
                </c:pt>
                <c:pt idx="645">
                  <c:v>12.608715660296726</c:v>
                </c:pt>
                <c:pt idx="646">
                  <c:v>12.545048005847747</c:v>
                </c:pt>
                <c:pt idx="647">
                  <c:v>12.483193179948946</c:v>
                </c:pt>
                <c:pt idx="648">
                  <c:v>12.423104864799091</c:v>
                </c:pt>
                <c:pt idx="649">
                  <c:v>12.364738932341368</c:v>
                </c:pt>
                <c:pt idx="650">
                  <c:v>12.308053351674204</c:v>
                </c:pt>
                <c:pt idx="651">
                  <c:v>12.2530081017821</c:v>
                </c:pt>
                <c:pt idx="652">
                  <c:v>12.199565089315129</c:v>
                </c:pt>
                <c:pt idx="653">
                  <c:v>12.147688071156926</c:v>
                </c:pt>
                <c:pt idx="654">
                  <c:v>12.097342581537102</c:v>
                </c:pt>
                <c:pt idx="655">
                  <c:v>12.048495863453077</c:v>
                </c:pt>
                <c:pt idx="656">
                  <c:v>12.001116804184095</c:v>
                </c:pt>
                <c:pt idx="657">
                  <c:v>11.955175874688337</c:v>
                </c:pt>
                <c:pt idx="658">
                  <c:v>11.910645072688473</c:v>
                </c:pt>
                <c:pt idx="659">
                  <c:v>11.867497869263172</c:v>
                </c:pt>
                <c:pt idx="660">
                  <c:v>11.825709158771915</c:v>
                </c:pt>
                <c:pt idx="661">
                  <c:v>11.785255211952135</c:v>
                </c:pt>
                <c:pt idx="662">
                  <c:v>11.746113632038965</c:v>
                </c:pt>
                <c:pt idx="663">
                  <c:v>11.708263313765869</c:v>
                </c:pt>
                <c:pt idx="664">
                  <c:v>11.671684405117265</c:v>
                </c:pt>
                <c:pt idx="665">
                  <c:v>11.636358271708986</c:v>
                </c:pt>
                <c:pt idx="666">
                  <c:v>11.602267463685962</c:v>
                </c:pt>
                <c:pt idx="667">
                  <c:v>11.569395685031065</c:v>
                </c:pt>
                <c:pt idx="668">
                  <c:v>11.537727765189706</c:v>
                </c:pt>
                <c:pt idx="669">
                  <c:v>11.507249632920338</c:v>
                </c:pt>
                <c:pt idx="670">
                  <c:v>11.477948292290383</c:v>
                </c:pt>
                <c:pt idx="671">
                  <c:v>11.449811800742101</c:v>
                </c:pt>
                <c:pt idx="672">
                  <c:v>11.422829249162303</c:v>
                </c:pt>
                <c:pt idx="673">
                  <c:v>11.39699074389234</c:v>
                </c:pt>
                <c:pt idx="674">
                  <c:v>11.372287390626653</c:v>
                </c:pt>
                <c:pt idx="675">
                  <c:v>11.34871128014764</c:v>
                </c:pt>
                <c:pt idx="676">
                  <c:v>11.32625547585717</c:v>
                </c:pt>
                <c:pt idx="677">
                  <c:v>11.304914003064907</c:v>
                </c:pt>
                <c:pt idx="678">
                  <c:v>11.284681840003872</c:v>
                </c:pt>
                <c:pt idx="679">
                  <c:v>11.265554910545209</c:v>
                </c:pt>
                <c:pt idx="680">
                  <c:v>11.247530078593272</c:v>
                </c:pt>
                <c:pt idx="681">
                  <c:v>11.230605144143707</c:v>
                </c:pt>
                <c:pt idx="682">
                  <c:v>11.214778840995589</c:v>
                </c:pt>
                <c:pt idx="683">
                  <c:v>11.200050836111267</c:v>
                </c:pt>
                <c:pt idx="684">
                  <c:v>11.186421730625199</c:v>
                </c:pt>
                <c:pt idx="685">
                  <c:v>11.173893062505394</c:v>
                </c:pt>
                <c:pt idx="686">
                  <c:v>11.16246731087926</c:v>
                </c:pt>
                <c:pt idx="687">
                  <c:v>11.152147902038489</c:v>
                </c:pt>
                <c:pt idx="688">
                  <c:v>11.142939217144194</c:v>
                </c:pt>
                <c:pt idx="689">
                  <c:v>11.134846601658021</c:v>
                </c:pt>
                <c:pt idx="690">
                  <c:v>11.127876376531866</c:v>
                </c:pt>
                <c:pt idx="691">
                  <c:v>11.122035851192322</c:v>
                </c:pt>
                <c:pt idx="692">
                  <c:v>11.117333338363842</c:v>
                </c:pt>
                <c:pt idx="693">
                  <c:v>11.113778170778664</c:v>
                </c:pt>
                <c:pt idx="694">
                  <c:v>11.111380719829882</c:v>
                </c:pt>
                <c:pt idx="695">
                  <c:v>11.110152416227288</c:v>
                </c:pt>
                <c:pt idx="696">
                  <c:v>11.11010577272511</c:v>
                </c:pt>
                <c:pt idx="697">
                  <c:v>11.111254408996732</c:v>
                </c:pt>
                <c:pt idx="698">
                  <c:v>11.113613078736423</c:v>
                </c:pt>
                <c:pt idx="699">
                  <c:v>11.117197699079497</c:v>
                </c:pt>
                <c:pt idx="700">
                  <c:v>11.122025382436261</c:v>
                </c:pt>
                <c:pt idx="701">
                  <c:v>11.128114470845444</c:v>
                </c:pt>
                <c:pt idx="702">
                  <c:v>11.135484572960129</c:v>
                </c:pt>
                <c:pt idx="703">
                  <c:v>11.144156603789298</c:v>
                </c:pt>
                <c:pt idx="704">
                  <c:v>11.154152827324454</c:v>
                </c:pt>
                <c:pt idx="705">
                  <c:v>11.165496902195038</c:v>
                </c:pt>
                <c:pt idx="706">
                  <c:v>11.178213930500641</c:v>
                </c:pt>
                <c:pt idx="707">
                  <c:v>11.192330509984197</c:v>
                </c:pt>
                <c:pt idx="708">
                  <c:v>11.207874789715916</c:v>
                </c:pt>
                <c:pt idx="709">
                  <c:v>11.224876529473477</c:v>
                </c:pt>
                <c:pt idx="710">
                  <c:v>11.243367163012008</c:v>
                </c:pt>
                <c:pt idx="711">
                  <c:v>11.263379865431682</c:v>
                </c:pt>
                <c:pt idx="712">
                  <c:v>11.28494962486152</c:v>
                </c:pt>
                <c:pt idx="713">
                  <c:v>11.308113318691206</c:v>
                </c:pt>
                <c:pt idx="714">
                  <c:v>11.332909794594855</c:v>
                </c:pt>
                <c:pt idx="715">
                  <c:v>11.359379956602895</c:v>
                </c:pt>
                <c:pt idx="716">
                  <c:v>11.38756685649054</c:v>
                </c:pt>
                <c:pt idx="717">
                  <c:v>11.417515790762433</c:v>
                </c:pt>
                <c:pt idx="718">
                  <c:v>11.449274403525541</c:v>
                </c:pt>
                <c:pt idx="719">
                  <c:v>11.482892795549361</c:v>
                </c:pt>
                <c:pt idx="720">
                  <c:v>11.518423639822364</c:v>
                </c:pt>
                <c:pt idx="721">
                  <c:v>11.555922303918699</c:v>
                </c:pt>
                <c:pt idx="722">
                  <c:v>11.595446979491378</c:v>
                </c:pt>
                <c:pt idx="723">
                  <c:v>11.637058819207304</c:v>
                </c:pt>
                <c:pt idx="724">
                  <c:v>11.680822081430952</c:v>
                </c:pt>
                <c:pt idx="725">
                  <c:v>11.72680428295371</c:v>
                </c:pt>
                <c:pt idx="726">
                  <c:v>11.775076360038915</c:v>
                </c:pt>
                <c:pt idx="727">
                  <c:v>11.825712838023714</c:v>
                </c:pt>
                <c:pt idx="728">
                  <c:v>11.878792009670892</c:v>
                </c:pt>
                <c:pt idx="729">
                  <c:v>11.934396122399621</c:v>
                </c:pt>
                <c:pt idx="730">
                  <c:v>11.992611574438854</c:v>
                </c:pt>
                <c:pt idx="731">
                  <c:v>12.053529119836611</c:v>
                </c:pt>
                <c:pt idx="732">
                  <c:v>12.117244082110851</c:v>
                </c:pt>
                <c:pt idx="733">
                  <c:v>12.183856576140588</c:v>
                </c:pt>
                <c:pt idx="734">
                  <c:v>12.253471737657925</c:v>
                </c:pt>
                <c:pt idx="735">
                  <c:v>12.326199959395433</c:v>
                </c:pt>
                <c:pt idx="736">
                  <c:v>12.402157132559983</c:v>
                </c:pt>
                <c:pt idx="737">
                  <c:v>12.481464891818121</c:v>
                </c:pt>
                <c:pt idx="738">
                  <c:v>12.564250861368913</c:v>
                </c:pt>
                <c:pt idx="739">
                  <c:v>12.650648898911946</c:v>
                </c:pt>
                <c:pt idx="740">
                  <c:v>12.740799333361432</c:v>
                </c:pt>
                <c:pt idx="741">
                  <c:v>12.834849190951019</c:v>
                </c:pt>
                <c:pt idx="742">
                  <c:v>12.932952402870338</c:v>
                </c:pt>
                <c:pt idx="743">
                  <c:v>13.035269985688089</c:v>
                </c:pt>
                <c:pt idx="744">
                  <c:v>13.141970183456886</c:v>
                </c:pt>
                <c:pt idx="745">
                  <c:v>13.253228557437025</c:v>
                </c:pt>
                <c:pt idx="746">
                  <c:v>13.369228005672149</c:v>
                </c:pt>
                <c:pt idx="747">
                  <c:v>13.490158689998699</c:v>
                </c:pt>
                <c:pt idx="748">
                  <c:v>13.61621784223528</c:v>
                </c:pt>
                <c:pt idx="749">
                  <c:v>13.747609413958399</c:v>
                </c:pt>
                <c:pt idx="750">
                  <c:v>13.884543525035019</c:v>
                </c:pt>
                <c:pt idx="751">
                  <c:v>14.027235654445676</c:v>
                </c:pt>
                <c:pt idx="752">
                  <c:v>14.175905502249854</c:v>
                </c:pt>
                <c:pt idx="753">
                  <c:v>14.330775433001071</c:v>
                </c:pt>
                <c:pt idx="754">
                  <c:v>14.492068387474218</c:v>
                </c:pt>
                <c:pt idx="755">
                  <c:v>14.660005119902149</c:v>
                </c:pt>
                <c:pt idx="756">
                  <c:v>14.834800580363668</c:v>
                </c:pt>
                <c:pt idx="757">
                  <c:v>15.016659214425202</c:v>
                </c:pt>
                <c:pt idx="758">
                  <c:v>15.205768891999341</c:v>
                </c:pt>
                <c:pt idx="759">
                  <c:v>15.402293101440938</c:v>
                </c:pt>
                <c:pt idx="760">
                  <c:v>15.606360949289597</c:v>
                </c:pt>
                <c:pt idx="761">
                  <c:v>15.818054386321849</c:v>
                </c:pt>
                <c:pt idx="762">
                  <c:v>16.037391931812355</c:v>
                </c:pt>
                <c:pt idx="763">
                  <c:v>16.264307985431582</c:v>
                </c:pt>
                <c:pt idx="764">
                  <c:v>16.498626596835447</c:v>
                </c:pt>
                <c:pt idx="765">
                  <c:v>16.740028307755225</c:v>
                </c:pt>
                <c:pt idx="766">
                  <c:v>16.988008400795401</c:v>
                </c:pt>
                <c:pt idx="767">
                  <c:v>17.24182461332715</c:v>
                </c:pt>
                <c:pt idx="768">
                  <c:v>17.500432172351594</c:v>
                </c:pt>
                <c:pt idx="769">
                  <c:v>17.762404018565306</c:v>
                </c:pt>
                <c:pt idx="770">
                  <c:v>18.025834592372281</c:v>
                </c:pt>
                <c:pt idx="771">
                  <c:v>18.288227075978583</c:v>
                </c:pt>
                <c:pt idx="772">
                  <c:v>18.546367489526546</c:v>
                </c:pt>
                <c:pt idx="773">
                  <c:v>18.796196250974091</c:v>
                </c:pt>
                <c:pt idx="774">
                  <c:v>19.032701690316316</c:v>
                </c:pt>
                <c:pt idx="775">
                  <c:v>19.249885297958581</c:v>
                </c:pt>
                <c:pt idx="776">
                  <c:v>19.44089171031673</c:v>
                </c:pt>
                <c:pt idx="777">
                  <c:v>19.598463053064275</c:v>
                </c:pt>
                <c:pt idx="778">
                  <c:v>19.715958524422568</c:v>
                </c:pt>
                <c:pt idx="779">
                  <c:v>19.789209778324224</c:v>
                </c:pt>
                <c:pt idx="780">
                  <c:v>19.819227670502407</c:v>
                </c:pt>
                <c:pt idx="781">
                  <c:v>19.814692071348759</c:v>
                </c:pt>
                <c:pt idx="782">
                  <c:v>19.790881261929609</c:v>
                </c:pt>
                <c:pt idx="783">
                  <c:v>19.761652113047578</c:v>
                </c:pt>
                <c:pt idx="784">
                  <c:v>19.732069295581134</c:v>
                </c:pt>
                <c:pt idx="785">
                  <c:v>19.702544728413415</c:v>
                </c:pt>
                <c:pt idx="786">
                  <c:v>19.673079841137088</c:v>
                </c:pt>
                <c:pt idx="787">
                  <c:v>19.643674476871965</c:v>
                </c:pt>
                <c:pt idx="788">
                  <c:v>19.614328479257104</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91345984"/>
        <c:axId val="91346560"/>
      </c:scatterChart>
      <c:valAx>
        <c:axId val="91345984"/>
        <c:scaling>
          <c:orientation val="minMax"/>
          <c:min val="0"/>
        </c:scaling>
        <c:delete val="0"/>
        <c:axPos val="b"/>
        <c:majorGridlines/>
        <c:minorGridlines/>
        <c:numFmt formatCode="General" sourceLinked="1"/>
        <c:majorTickMark val="out"/>
        <c:minorTickMark val="none"/>
        <c:tickLblPos val="nextTo"/>
        <c:crossAx val="91346560"/>
        <c:crosses val="autoZero"/>
        <c:crossBetween val="midCat"/>
      </c:valAx>
      <c:valAx>
        <c:axId val="91346560"/>
        <c:scaling>
          <c:orientation val="minMax"/>
          <c:min val="0"/>
        </c:scaling>
        <c:delete val="0"/>
        <c:axPos val="l"/>
        <c:majorGridlines/>
        <c:minorGridlines/>
        <c:numFmt formatCode="0.0" sourceLinked="1"/>
        <c:majorTickMark val="out"/>
        <c:minorTickMark val="none"/>
        <c:tickLblPos val="nextTo"/>
        <c:crossAx val="91345984"/>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400"/>
          </a:pPr>
          <a:endParaRPr lang="ru-RU"/>
        </a:p>
      </c:txPr>
    </c:title>
    <c:autoTitleDeleted val="0"/>
    <c:plotArea>
      <c:layout>
        <c:manualLayout>
          <c:layoutTarget val="inner"/>
          <c:xMode val="edge"/>
          <c:yMode val="edge"/>
          <c:x val="9.2026102020555237E-2"/>
          <c:y val="0.17948982939632613"/>
          <c:w val="0.86696450462834562"/>
          <c:h val="0.72029494750656164"/>
        </c:manualLayout>
      </c:layout>
      <c:scatterChart>
        <c:scatterStyle val="lineMarker"/>
        <c:varyColors val="0"/>
        <c:ser>
          <c:idx val="3"/>
          <c:order val="0"/>
          <c:tx>
            <c:strRef>
              <c:f>Calculations!$L$1:$L$1</c:f>
              <c:strCache>
                <c:ptCount val="1"/>
                <c:pt idx="0">
                  <c:v>Масса аэростата Mа [кг]</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Calculations!$L$2:$L$1302</c:f>
              <c:numCache>
                <c:formatCode>0</c:formatCode>
                <c:ptCount val="1301"/>
                <c:pt idx="0">
                  <c:v>1851.8449999999998</c:v>
                </c:pt>
                <c:pt idx="1">
                  <c:v>1847.9224472658602</c:v>
                </c:pt>
                <c:pt idx="2">
                  <c:v>1844.0148275824242</c:v>
                </c:pt>
                <c:pt idx="3">
                  <c:v>1840.1220464813796</c:v>
                </c:pt>
                <c:pt idx="4">
                  <c:v>1836.2440103882725</c:v>
                </c:pt>
                <c:pt idx="5">
                  <c:v>1832.3806266109916</c:v>
                </c:pt>
                <c:pt idx="6">
                  <c:v>1828.5318033284407</c:v>
                </c:pt>
                <c:pt idx="7">
                  <c:v>1824.6974495793966</c:v>
                </c:pt>
                <c:pt idx="8">
                  <c:v>1820.8774752515476</c:v>
                </c:pt>
                <c:pt idx="9">
                  <c:v>1817.071791070711</c:v>
                </c:pt>
                <c:pt idx="10">
                  <c:v>1813.2803085902242</c:v>
                </c:pt>
                <c:pt idx="11">
                  <c:v>1809.5029401805066</c:v>
                </c:pt>
                <c:pt idx="12">
                  <c:v>1805.739599018789</c:v>
                </c:pt>
                <c:pt idx="13">
                  <c:v>1801.9901990790081</c:v>
                </c:pt>
                <c:pt idx="14">
                  <c:v>1798.2546551218604</c:v>
                </c:pt>
                <c:pt idx="15">
                  <c:v>1794.5328826850161</c:v>
                </c:pt>
                <c:pt idx="16">
                  <c:v>1790.8247980734859</c:v>
                </c:pt>
                <c:pt idx="17">
                  <c:v>1787.1303183501414</c:v>
                </c:pt>
                <c:pt idx="18">
                  <c:v>1783.4493613263828</c:v>
                </c:pt>
                <c:pt idx="19">
                  <c:v>1779.7818455529552</c:v>
                </c:pt>
                <c:pt idx="20">
                  <c:v>1776.1276903109053</c:v>
                </c:pt>
                <c:pt idx="21">
                  <c:v>1772.4868156026812</c:v>
                </c:pt>
                <c:pt idx="22">
                  <c:v>1768.8591421433689</c:v>
                </c:pt>
                <c:pt idx="23">
                  <c:v>1765.2445913520644</c:v>
                </c:pt>
                <c:pt idx="24">
                  <c:v>1761.6430853433792</c:v>
                </c:pt>
                <c:pt idx="25">
                  <c:v>1758.0545469190756</c:v>
                </c:pt>
                <c:pt idx="26">
                  <c:v>1754.4788995598303</c:v>
                </c:pt>
                <c:pt idx="27">
                  <c:v>1750.9160674171228</c:v>
                </c:pt>
                <c:pt idx="28">
                  <c:v>1747.3659753052482</c:v>
                </c:pt>
                <c:pt idx="29">
                  <c:v>1743.8285486934501</c:v>
                </c:pt>
                <c:pt idx="30">
                  <c:v>1740.3037136981732</c:v>
                </c:pt>
                <c:pt idx="31">
                  <c:v>1736.7913970754305</c:v>
                </c:pt>
                <c:pt idx="32">
                  <c:v>1733.2915262132874</c:v>
                </c:pt>
                <c:pt idx="33">
                  <c:v>1729.8040291244561</c:v>
                </c:pt>
                <c:pt idx="34">
                  <c:v>1726.3288344390021</c:v>
                </c:pt>
                <c:pt idx="35">
                  <c:v>1722.865871397157</c:v>
                </c:pt>
                <c:pt idx="36">
                  <c:v>1719.4150698422393</c:v>
                </c:pt>
                <c:pt idx="37">
                  <c:v>1715.9763602136793</c:v>
                </c:pt>
                <c:pt idx="38">
                  <c:v>1712.5496735401457</c:v>
                </c:pt>
                <c:pt idx="39">
                  <c:v>1709.134941432774</c:v>
                </c:pt>
                <c:pt idx="40">
                  <c:v>1705.7320960784932</c:v>
                </c:pt>
                <c:pt idx="41">
                  <c:v>1702.3410850131052</c:v>
                </c:pt>
                <c:pt idx="42">
                  <c:v>1698.9618267246699</c:v>
                </c:pt>
                <c:pt idx="43">
                  <c:v>1695.5942550888203</c:v>
                </c:pt>
                <c:pt idx="44">
                  <c:v>1692.2383045312406</c:v>
                </c:pt>
                <c:pt idx="45">
                  <c:v>1688.8939100214627</c:v>
                </c:pt>
                <c:pt idx="46">
                  <c:v>1685.5610070667515</c:v>
                </c:pt>
                <c:pt idx="47">
                  <c:v>1682.2395317060764</c:v>
                </c:pt>
                <c:pt idx="48">
                  <c:v>1678.9294205041704</c:v>
                </c:pt>
                <c:pt idx="49">
                  <c:v>1675.6306105456724</c:v>
                </c:pt>
                <c:pt idx="50">
                  <c:v>1672.3430394293528</c:v>
                </c:pt>
                <c:pt idx="51">
                  <c:v>1669.0666452624205</c:v>
                </c:pt>
                <c:pt idx="52">
                  <c:v>1665.80136665491</c:v>
                </c:pt>
                <c:pt idx="53">
                  <c:v>1662.5471427141474</c:v>
                </c:pt>
                <c:pt idx="54">
                  <c:v>1659.303913039294</c:v>
                </c:pt>
                <c:pt idx="55">
                  <c:v>1656.071617715965</c:v>
                </c:pt>
                <c:pt idx="56">
                  <c:v>1652.8501973109242</c:v>
                </c:pt>
                <c:pt idx="57">
                  <c:v>1649.6395928668514</c:v>
                </c:pt>
                <c:pt idx="58">
                  <c:v>1646.439745897183</c:v>
                </c:pt>
                <c:pt idx="59">
                  <c:v>1643.250598381022</c:v>
                </c:pt>
                <c:pt idx="60">
                  <c:v>1640.0720927581194</c:v>
                </c:pt>
                <c:pt idx="61">
                  <c:v>1636.9041719239247</c:v>
                </c:pt>
                <c:pt idx="62">
                  <c:v>1633.7467644450464</c:v>
                </c:pt>
                <c:pt idx="63">
                  <c:v>1630.5998289423721</c:v>
                </c:pt>
                <c:pt idx="64">
                  <c:v>1627.4633096490531</c:v>
                </c:pt>
                <c:pt idx="65">
                  <c:v>1624.3371512348056</c:v>
                </c:pt>
                <c:pt idx="66">
                  <c:v>1621.2212988012875</c:v>
                </c:pt>
                <c:pt idx="67">
                  <c:v>1618.1156978775364</c:v>
                </c:pt>
                <c:pt idx="68">
                  <c:v>1615.0202944154701</c:v>
                </c:pt>
                <c:pt idx="69">
                  <c:v>1611.9350347854461</c:v>
                </c:pt>
                <c:pt idx="70">
                  <c:v>1608.8598657718812</c:v>
                </c:pt>
                <c:pt idx="71">
                  <c:v>1605.794734568929</c:v>
                </c:pt>
                <c:pt idx="72">
                  <c:v>1602.7395887762145</c:v>
                </c:pt>
                <c:pt idx="73">
                  <c:v>1489.6943763946256</c:v>
                </c:pt>
                <c:pt idx="74">
                  <c:v>1487.0033874587461</c:v>
                </c:pt>
                <c:pt idx="75">
                  <c:v>1484.3205220530981</c:v>
                </c:pt>
                <c:pt idx="76">
                  <c:v>1481.6457417107449</c:v>
                </c:pt>
                <c:pt idx="77">
                  <c:v>1478.9790082290715</c:v>
                </c:pt>
                <c:pt idx="78">
                  <c:v>1476.3202836673404</c:v>
                </c:pt>
                <c:pt idx="79">
                  <c:v>1473.6695303442764</c:v>
                </c:pt>
                <c:pt idx="80">
                  <c:v>1471.02671083568</c:v>
                </c:pt>
                <c:pt idx="81">
                  <c:v>1468.3917879720677</c:v>
                </c:pt>
                <c:pt idx="82">
                  <c:v>1465.7647248363407</c:v>
                </c:pt>
                <c:pt idx="83">
                  <c:v>1463.14548476148</c:v>
                </c:pt>
                <c:pt idx="84">
                  <c:v>1460.5340313282682</c:v>
                </c:pt>
                <c:pt idx="85">
                  <c:v>1457.9303283630379</c:v>
                </c:pt>
                <c:pt idx="86">
                  <c:v>1455.3343399354467</c:v>
                </c:pt>
                <c:pt idx="87">
                  <c:v>1452.7460303562755</c:v>
                </c:pt>
                <c:pt idx="88">
                  <c:v>1450.165364175255</c:v>
                </c:pt>
                <c:pt idx="89">
                  <c:v>1447.5923061789147</c:v>
                </c:pt>
                <c:pt idx="90">
                  <c:v>1445.0268213884572</c:v>
                </c:pt>
                <c:pt idx="91">
                  <c:v>1442.4688750576574</c:v>
                </c:pt>
                <c:pt idx="92">
                  <c:v>1439.9184326707846</c:v>
                </c:pt>
                <c:pt idx="93">
                  <c:v>1437.3754599405479</c:v>
                </c:pt>
                <c:pt idx="94">
                  <c:v>1434.8399228060659</c:v>
                </c:pt>
                <c:pt idx="95">
                  <c:v>1432.3117874308587</c:v>
                </c:pt>
                <c:pt idx="96">
                  <c:v>1429.791020200862</c:v>
                </c:pt>
                <c:pt idx="97">
                  <c:v>1427.2775877224644</c:v>
                </c:pt>
                <c:pt idx="98">
                  <c:v>1424.7714568205656</c:v>
                </c:pt>
                <c:pt idx="99">
                  <c:v>1422.2725945366569</c:v>
                </c:pt>
                <c:pt idx="100">
                  <c:v>1419.7809681269234</c:v>
                </c:pt>
                <c:pt idx="101">
                  <c:v>1417.2965450603665</c:v>
                </c:pt>
                <c:pt idx="102">
                  <c:v>1414.8192930169471</c:v>
                </c:pt>
                <c:pt idx="103">
                  <c:v>1412.3491798857506</c:v>
                </c:pt>
                <c:pt idx="104">
                  <c:v>1409.8861737631703</c:v>
                </c:pt>
                <c:pt idx="105">
                  <c:v>1407.4302429511124</c:v>
                </c:pt>
                <c:pt idx="106">
                  <c:v>1404.9813559552197</c:v>
                </c:pt>
                <c:pt idx="107">
                  <c:v>1402.539481483115</c:v>
                </c:pt>
                <c:pt idx="108">
                  <c:v>1400.1045884426637</c:v>
                </c:pt>
                <c:pt idx="109">
                  <c:v>1397.6766459402559</c:v>
                </c:pt>
                <c:pt idx="110">
                  <c:v>1395.2556232791053</c:v>
                </c:pt>
                <c:pt idx="111">
                  <c:v>1392.8414899575694</c:v>
                </c:pt>
                <c:pt idx="112">
                  <c:v>1390.434215667485</c:v>
                </c:pt>
                <c:pt idx="113">
                  <c:v>1388.0337702925235</c:v>
                </c:pt>
                <c:pt idx="114">
                  <c:v>1385.6401239065638</c:v>
                </c:pt>
                <c:pt idx="115">
                  <c:v>1383.2532467720812</c:v>
                </c:pt>
                <c:pt idx="116">
                  <c:v>1380.8731093385554</c:v>
                </c:pt>
                <c:pt idx="117">
                  <c:v>1378.4996822408948</c:v>
                </c:pt>
                <c:pt idx="118">
                  <c:v>1376.1329362978765</c:v>
                </c:pt>
                <c:pt idx="119">
                  <c:v>1373.7728425106054</c:v>
                </c:pt>
                <c:pt idx="120">
                  <c:v>1371.4193720609867</c:v>
                </c:pt>
                <c:pt idx="121">
                  <c:v>1369.072496310217</c:v>
                </c:pt>
                <c:pt idx="122">
                  <c:v>1366.7321867972903</c:v>
                </c:pt>
                <c:pt idx="123">
                  <c:v>1364.3984152375194</c:v>
                </c:pt>
                <c:pt idx="124">
                  <c:v>1362.0711535210737</c:v>
                </c:pt>
                <c:pt idx="125">
                  <c:v>1359.7503737115317</c:v>
                </c:pt>
                <c:pt idx="126">
                  <c:v>1357.4360480444489</c:v>
                </c:pt>
                <c:pt idx="127">
                  <c:v>1355.1281489259411</c:v>
                </c:pt>
                <c:pt idx="128">
                  <c:v>1352.8266489312816</c:v>
                </c:pt>
                <c:pt idx="129">
                  <c:v>1350.5315208035136</c:v>
                </c:pt>
                <c:pt idx="130">
                  <c:v>1348.2427374520764</c:v>
                </c:pt>
                <c:pt idx="131">
                  <c:v>1345.9602719514471</c:v>
                </c:pt>
                <c:pt idx="132">
                  <c:v>1343.6840975397945</c:v>
                </c:pt>
                <c:pt idx="133">
                  <c:v>1341.4141876176488</c:v>
                </c:pt>
                <c:pt idx="134">
                  <c:v>1339.1505157465836</c:v>
                </c:pt>
                <c:pt idx="135">
                  <c:v>1336.8930556479115</c:v>
                </c:pt>
                <c:pt idx="136">
                  <c:v>1334.6417812013942</c:v>
                </c:pt>
                <c:pt idx="137">
                  <c:v>1332.3966664439645</c:v>
                </c:pt>
                <c:pt idx="138">
                  <c:v>1330.1576855684616</c:v>
                </c:pt>
                <c:pt idx="139">
                  <c:v>1327.9248129223804</c:v>
                </c:pt>
                <c:pt idx="140">
                  <c:v>1325.6980230066317</c:v>
                </c:pt>
                <c:pt idx="141">
                  <c:v>1323.4772904743163</c:v>
                </c:pt>
                <c:pt idx="142">
                  <c:v>1321.2625901295107</c:v>
                </c:pt>
                <c:pt idx="143">
                  <c:v>1319.0538969260663</c:v>
                </c:pt>
                <c:pt idx="144">
                  <c:v>1316.8511859664181</c:v>
                </c:pt>
                <c:pt idx="145">
                  <c:v>1314.6544325004093</c:v>
                </c:pt>
                <c:pt idx="146">
                  <c:v>1312.4636119241229</c:v>
                </c:pt>
                <c:pt idx="147">
                  <c:v>1310.2786997787296</c:v>
                </c:pt>
                <c:pt idx="148">
                  <c:v>1308.099671749344</c:v>
                </c:pt>
                <c:pt idx="149">
                  <c:v>1305.9265036638935</c:v>
                </c:pt>
                <c:pt idx="150">
                  <c:v>1303.7591714919981</c:v>
                </c:pt>
                <c:pt idx="151">
                  <c:v>1301.5976513438618</c:v>
                </c:pt>
                <c:pt idx="152">
                  <c:v>1299.4419194691739</c:v>
                </c:pt>
                <c:pt idx="153">
                  <c:v>1297.2919522560226</c:v>
                </c:pt>
                <c:pt idx="154">
                  <c:v>1295.1477262298181</c:v>
                </c:pt>
                <c:pt idx="155">
                  <c:v>1293.0092180522267</c:v>
                </c:pt>
                <c:pt idx="156">
                  <c:v>1290.8764045201156</c:v>
                </c:pt>
                <c:pt idx="157">
                  <c:v>1288.749262564507</c:v>
                </c:pt>
                <c:pt idx="158">
                  <c:v>1286.6277692495446</c:v>
                </c:pt>
                <c:pt idx="159">
                  <c:v>1284.5119017714676</c:v>
                </c:pt>
                <c:pt idx="160">
                  <c:v>1282.4016374575961</c:v>
                </c:pt>
                <c:pt idx="161">
                  <c:v>1280.2969537653266</c:v>
                </c:pt>
                <c:pt idx="162">
                  <c:v>1278.4678897352555</c:v>
                </c:pt>
                <c:pt idx="163">
                  <c:v>1276.645073168703</c:v>
                </c:pt>
                <c:pt idx="164">
                  <c:v>1274.8284289393832</c:v>
                </c:pt>
                <c:pt idx="165">
                  <c:v>1273.0178836516689</c:v>
                </c:pt>
                <c:pt idx="166">
                  <c:v>1271.2133655645457</c:v>
                </c:pt>
                <c:pt idx="167">
                  <c:v>1269.4148045189356</c:v>
                </c:pt>
                <c:pt idx="168">
                  <c:v>1267.6221318681971</c:v>
                </c:pt>
                <c:pt idx="169">
                  <c:v>1265.83528041163</c:v>
                </c:pt>
                <c:pt idx="170">
                  <c:v>1264.0541843308113</c:v>
                </c:pt>
                <c:pt idx="171">
                  <c:v>1262.2787791286046</c:v>
                </c:pt>
                <c:pt idx="172">
                  <c:v>1260.5090015706901</c:v>
                </c:pt>
                <c:pt idx="173">
                  <c:v>1258.7447896294705</c:v>
                </c:pt>
                <c:pt idx="174">
                  <c:v>1256.9860824302157</c:v>
                </c:pt>
                <c:pt idx="175">
                  <c:v>1255.232820199318</c:v>
                </c:pt>
                <c:pt idx="176">
                  <c:v>1253.4849442145323</c:v>
                </c:pt>
                <c:pt idx="177">
                  <c:v>1251.7423967570858</c:v>
                </c:pt>
                <c:pt idx="178">
                  <c:v>1250.0051210655456</c:v>
                </c:pt>
                <c:pt idx="179">
                  <c:v>1248.2730612913399</c:v>
                </c:pt>
                <c:pt idx="180">
                  <c:v>1246.54616245583</c:v>
                </c:pt>
                <c:pt idx="181">
                  <c:v>1244.8243704088413</c:v>
                </c:pt>
                <c:pt idx="182">
                  <c:v>1243.1076317885604</c:v>
                </c:pt>
                <c:pt idx="183">
                  <c:v>1241.3958939827119</c:v>
                </c:pt>
                <c:pt idx="184">
                  <c:v>1239.6891050909344</c:v>
                </c:pt>
                <c:pt idx="185">
                  <c:v>1127.9872138882752</c:v>
                </c:pt>
                <c:pt idx="186">
                  <c:v>1126.5624932911801</c:v>
                </c:pt>
                <c:pt idx="187">
                  <c:v>1125.1416138609341</c:v>
                </c:pt>
                <c:pt idx="188">
                  <c:v>1123.7245309322122</c:v>
                </c:pt>
                <c:pt idx="189">
                  <c:v>1122.3112003418521</c:v>
                </c:pt>
                <c:pt idx="190">
                  <c:v>1120.9015783973084</c:v>
                </c:pt>
                <c:pt idx="191">
                  <c:v>1119.4956218458101</c:v>
                </c:pt>
                <c:pt idx="192">
                  <c:v>1118.0932878441618</c:v>
                </c:pt>
                <c:pt idx="193">
                  <c:v>1116.6945339291321</c:v>
                </c:pt>
                <c:pt idx="194">
                  <c:v>1115.2993179883752</c:v>
                </c:pt>
                <c:pt idx="195">
                  <c:v>1113.9075982318295</c:v>
                </c:pt>
                <c:pt idx="196">
                  <c:v>1112.5193331635467</c:v>
                </c:pt>
                <c:pt idx="197">
                  <c:v>1111.1344815538944</c:v>
                </c:pt>
                <c:pt idx="198">
                  <c:v>1109.753002412087</c:v>
                </c:pt>
                <c:pt idx="199">
                  <c:v>1108.374854958995</c:v>
                </c:pt>
                <c:pt idx="200">
                  <c:v>1106.9999986001844</c:v>
                </c:pt>
                <c:pt idx="201">
                  <c:v>1105.6283928991395</c:v>
                </c:pt>
                <c:pt idx="202">
                  <c:v>1104.2599975506214</c:v>
                </c:pt>
                <c:pt idx="203">
                  <c:v>1102.8947723541178</c:v>
                </c:pt>
                <c:pt idx="204">
                  <c:v>1101.5326771873349</c:v>
                </c:pt>
                <c:pt idx="205">
                  <c:v>1100.1736719796884</c:v>
                </c:pt>
                <c:pt idx="206">
                  <c:v>1098.8177166857449</c:v>
                </c:pt>
                <c:pt idx="207">
                  <c:v>1097.4647712585675</c:v>
                </c:pt>
                <c:pt idx="208">
                  <c:v>1096.1147956229199</c:v>
                </c:pt>
                <c:pt idx="209">
                  <c:v>1094.7677496482806</c:v>
                </c:pt>
                <c:pt idx="210">
                  <c:v>1093.4235931216185</c:v>
                </c:pt>
                <c:pt idx="211">
                  <c:v>1092.0822857198821</c:v>
                </c:pt>
                <c:pt idx="212">
                  <c:v>1090.7437869821517</c:v>
                </c:pt>
                <c:pt idx="213">
                  <c:v>1089.4080562814033</c:v>
                </c:pt>
                <c:pt idx="214">
                  <c:v>1088.075052795831</c:v>
                </c:pt>
                <c:pt idx="215">
                  <c:v>1086.7447354796764</c:v>
                </c:pt>
                <c:pt idx="216">
                  <c:v>1085.4170630335061</c:v>
                </c:pt>
                <c:pt idx="217">
                  <c:v>1084.0919938738825</c:v>
                </c:pt>
                <c:pt idx="218">
                  <c:v>1082.7694861023665</c:v>
                </c:pt>
                <c:pt idx="219">
                  <c:v>1081.4494974737916</c:v>
                </c:pt>
                <c:pt idx="220">
                  <c:v>1080.1319853637438</c:v>
                </c:pt>
                <c:pt idx="221">
                  <c:v>1078.816906735183</c:v>
                </c:pt>
                <c:pt idx="222">
                  <c:v>1077.5042181041324</c:v>
                </c:pt>
                <c:pt idx="223">
                  <c:v>1076.193875504367</c:v>
                </c:pt>
                <c:pt idx="224">
                  <c:v>1074.8858344510215</c:v>
                </c:pt>
                <c:pt idx="225">
                  <c:v>1073.5800499030408</c:v>
                </c:pt>
                <c:pt idx="226">
                  <c:v>1072.2764762243876</c:v>
                </c:pt>
                <c:pt idx="227">
                  <c:v>1070.9750671439194</c:v>
                </c:pt>
                <c:pt idx="228">
                  <c:v>1069.6757757138439</c:v>
                </c:pt>
                <c:pt idx="229">
                  <c:v>1068.378554266654</c:v>
                </c:pt>
                <c:pt idx="230">
                  <c:v>1067.0833543704427</c:v>
                </c:pt>
                <c:pt idx="231">
                  <c:v>1065.790126782488</c:v>
                </c:pt>
                <c:pt idx="232">
                  <c:v>1064.4988214009961</c:v>
                </c:pt>
                <c:pt idx="233">
                  <c:v>1063.2093872148853</c:v>
                </c:pt>
                <c:pt idx="234">
                  <c:v>1061.9217722514811</c:v>
                </c:pt>
                <c:pt idx="235">
                  <c:v>1060.6359235219948</c:v>
                </c:pt>
                <c:pt idx="236">
                  <c:v>1059.3517869646435</c:v>
                </c:pt>
                <c:pt idx="237">
                  <c:v>1058.069307385266</c:v>
                </c:pt>
                <c:pt idx="238">
                  <c:v>1056.7884283952806</c:v>
                </c:pt>
                <c:pt idx="239">
                  <c:v>1055.5090923468213</c:v>
                </c:pt>
                <c:pt idx="240">
                  <c:v>1054.2312402648838</c:v>
                </c:pt>
                <c:pt idx="241">
                  <c:v>1052.9548117763004</c:v>
                </c:pt>
                <c:pt idx="242">
                  <c:v>1051.6797450353565</c:v>
                </c:pt>
                <c:pt idx="243">
                  <c:v>1050.4059766458545</c:v>
                </c:pt>
                <c:pt idx="244">
                  <c:v>1049.1334415794172</c:v>
                </c:pt>
                <c:pt idx="245">
                  <c:v>1047.8620730898185</c:v>
                </c:pt>
                <c:pt idx="246">
                  <c:v>1046.5918026231211</c:v>
                </c:pt>
                <c:pt idx="247">
                  <c:v>1045.32255972339</c:v>
                </c:pt>
                <c:pt idx="248">
                  <c:v>1044.0542719337484</c:v>
                </c:pt>
                <c:pt idx="249">
                  <c:v>1042.7868646925338</c:v>
                </c:pt>
                <c:pt idx="250">
                  <c:v>1041.5202612243108</c:v>
                </c:pt>
                <c:pt idx="251">
                  <c:v>1040.2543824254958</c:v>
                </c:pt>
                <c:pt idx="252">
                  <c:v>1038.9891467443488</c:v>
                </c:pt>
                <c:pt idx="253">
                  <c:v>1037.7244700550968</c:v>
                </c:pt>
                <c:pt idx="254">
                  <c:v>1036.4602655259616</c:v>
                </c:pt>
                <c:pt idx="255">
                  <c:v>1035.1964434808851</c:v>
                </c:pt>
                <c:pt idx="256">
                  <c:v>1033.9329112547694</c:v>
                </c:pt>
                <c:pt idx="257">
                  <c:v>1032.6695730420868</c:v>
                </c:pt>
                <c:pt idx="258">
                  <c:v>1031.4063297387681</c:v>
                </c:pt>
                <c:pt idx="259">
                  <c:v>1030.1430787773386</c:v>
                </c:pt>
                <c:pt idx="260">
                  <c:v>1028.8797139553662</c:v>
                </c:pt>
                <c:pt idx="261">
                  <c:v>1027.6161252573995</c:v>
                </c:pt>
                <c:pt idx="262">
                  <c:v>1026.3521986707187</c:v>
                </c:pt>
                <c:pt idx="263">
                  <c:v>1025.0878159954191</c:v>
                </c:pt>
                <c:pt idx="264">
                  <c:v>1023.8228546495835</c:v>
                </c:pt>
                <c:pt idx="265">
                  <c:v>1022.5571874706128</c:v>
                </c:pt>
                <c:pt idx="266">
                  <c:v>1021.2906825141704</c:v>
                </c:pt>
                <c:pt idx="267">
                  <c:v>1020.0232028526916</c:v>
                </c:pt>
                <c:pt idx="268">
                  <c:v>1018.7546063760302</c:v>
                </c:pt>
                <c:pt idx="269">
                  <c:v>1017.4847455975975</c:v>
                </c:pt>
                <c:pt idx="270">
                  <c:v>1016.2134674703374</c:v>
                </c:pt>
                <c:pt idx="271">
                  <c:v>1014.9406132181244</c:v>
                </c:pt>
                <c:pt idx="272">
                  <c:v>1013.6660181897364</c:v>
                </c:pt>
                <c:pt idx="273">
                  <c:v>1012.3895117445278</c:v>
                </c:pt>
                <c:pt idx="274">
                  <c:v>1011.1109171814185</c:v>
                </c:pt>
                <c:pt idx="275">
                  <c:v>1009.8300517259473</c:v>
                </c:pt>
                <c:pt idx="276">
                  <c:v>1008.5467265941037</c:v>
                </c:pt>
                <c:pt idx="277">
                  <c:v>1007.2607471566497</c:v>
                </c:pt>
                <c:pt idx="278">
                  <c:v>1005.9719132339679</c:v>
                </c:pt>
                <c:pt idx="279">
                  <c:v>1004.6800195594575</c:v>
                </c:pt>
                <c:pt idx="280">
                  <c:v>1003.3848564595945</c:v>
                </c:pt>
                <c:pt idx="281">
                  <c:v>1002.0862108115228</c:v>
                </c:pt>
                <c:pt idx="282">
                  <c:v>1000.7838673551034</c:v>
                </c:pt>
                <c:pt idx="283">
                  <c:v>999.47761045654909</c:v>
                </c:pt>
                <c:pt idx="284">
                  <c:v>998.16722644602009</c:v>
                </c:pt>
                <c:pt idx="285">
                  <c:v>996.85250668289598</c:v>
                </c:pt>
                <c:pt idx="286">
                  <c:v>995.53325154084837</c:v>
                </c:pt>
                <c:pt idx="287">
                  <c:v>994.20927555103299</c:v>
                </c:pt>
                <c:pt idx="288">
                  <c:v>992.8804139955455</c:v>
                </c:pt>
                <c:pt idx="289">
                  <c:v>991.5465313027139</c:v>
                </c:pt>
                <c:pt idx="290">
                  <c:v>990.20753165484643</c:v>
                </c:pt>
                <c:pt idx="291">
                  <c:v>988.86337226403771</c:v>
                </c:pt>
                <c:pt idx="292">
                  <c:v>987.51407977430097</c:v>
                </c:pt>
                <c:pt idx="293">
                  <c:v>986.15977015354929</c:v>
                </c:pt>
                <c:pt idx="294">
                  <c:v>984.80067214377618</c:v>
                </c:pt>
                <c:pt idx="295">
                  <c:v>983.43715365690616</c:v>
                </c:pt>
                <c:pt idx="296">
                  <c:v>982.06974912028068</c:v>
                </c:pt>
                <c:pt idx="297">
                  <c:v>980.69918319148167</c:v>
                </c:pt>
                <c:pt idx="298">
                  <c:v>979.32638182754965</c:v>
                </c:pt>
                <c:pt idx="299">
                  <c:v>977.95245500267413</c:v>
                </c:pt>
                <c:pt idx="300">
                  <c:v>976.5786278566402</c:v>
                </c:pt>
                <c:pt idx="301">
                  <c:v>975.20609663846642</c:v>
                </c:pt>
                <c:pt idx="302">
                  <c:v>973.83581552447379</c:v>
                </c:pt>
                <c:pt idx="303">
                  <c:v>972.46831333836849</c:v>
                </c:pt>
                <c:pt idx="304">
                  <c:v>971.10373334907956</c:v>
                </c:pt>
                <c:pt idx="305">
                  <c:v>969.74207795690415</c:v>
                </c:pt>
                <c:pt idx="306">
                  <c:v>968.38333813733482</c:v>
                </c:pt>
                <c:pt idx="307">
                  <c:v>967.02750486041293</c:v>
                </c:pt>
                <c:pt idx="308">
                  <c:v>965.67456913466151</c:v>
                </c:pt>
                <c:pt idx="309">
                  <c:v>964.32452200687032</c:v>
                </c:pt>
                <c:pt idx="310">
                  <c:v>962.97735456188298</c:v>
                </c:pt>
                <c:pt idx="311">
                  <c:v>961.63305792238475</c:v>
                </c:pt>
                <c:pt idx="312">
                  <c:v>960.29162324869276</c:v>
                </c:pt>
                <c:pt idx="313">
                  <c:v>958.95304173854686</c:v>
                </c:pt>
                <c:pt idx="314">
                  <c:v>957.61730462690241</c:v>
                </c:pt>
                <c:pt idx="315">
                  <c:v>956.2844031857245</c:v>
                </c:pt>
                <c:pt idx="316">
                  <c:v>954.95432872378319</c:v>
                </c:pt>
                <c:pt idx="317">
                  <c:v>953.62707258645071</c:v>
                </c:pt>
                <c:pt idx="318">
                  <c:v>952.30262615549964</c:v>
                </c:pt>
                <c:pt idx="319">
                  <c:v>950.98098084890262</c:v>
                </c:pt>
                <c:pt idx="320">
                  <c:v>949.66212812063372</c:v>
                </c:pt>
                <c:pt idx="321">
                  <c:v>948.34605946047054</c:v>
                </c:pt>
                <c:pt idx="322">
                  <c:v>947.0327663937984</c:v>
                </c:pt>
                <c:pt idx="323">
                  <c:v>945.72224048141516</c:v>
                </c:pt>
                <c:pt idx="324">
                  <c:v>944.41447331933807</c:v>
                </c:pt>
                <c:pt idx="325">
                  <c:v>943.10945653861143</c:v>
                </c:pt>
                <c:pt idx="326">
                  <c:v>941.80718180511565</c:v>
                </c:pt>
                <c:pt idx="327">
                  <c:v>940.5076408193778</c:v>
                </c:pt>
                <c:pt idx="328">
                  <c:v>939.21082531638353</c:v>
                </c:pt>
                <c:pt idx="329">
                  <c:v>937.91672706538986</c:v>
                </c:pt>
                <c:pt idx="330">
                  <c:v>936.62533786973938</c:v>
                </c:pt>
                <c:pt idx="331">
                  <c:v>935.3366495666761</c:v>
                </c:pt>
                <c:pt idx="332">
                  <c:v>934.05065402716207</c:v>
                </c:pt>
                <c:pt idx="333">
                  <c:v>932.76734315569536</c:v>
                </c:pt>
                <c:pt idx="334">
                  <c:v>931.48670889012953</c:v>
                </c:pt>
                <c:pt idx="335">
                  <c:v>930.20874320149392</c:v>
                </c:pt>
                <c:pt idx="336">
                  <c:v>928.93343809381531</c:v>
                </c:pt>
                <c:pt idx="337">
                  <c:v>927.66078560394101</c:v>
                </c:pt>
                <c:pt idx="338">
                  <c:v>926.39077780136279</c:v>
                </c:pt>
                <c:pt idx="339">
                  <c:v>925.1234067880423</c:v>
                </c:pt>
                <c:pt idx="340">
                  <c:v>923.85866469823725</c:v>
                </c:pt>
                <c:pt idx="341">
                  <c:v>922.59654369832913</c:v>
                </c:pt>
                <c:pt idx="342">
                  <c:v>921.33703598665204</c:v>
                </c:pt>
                <c:pt idx="343">
                  <c:v>920.08013379332237</c:v>
                </c:pt>
                <c:pt idx="344">
                  <c:v>918.82582938006999</c:v>
                </c:pt>
                <c:pt idx="345">
                  <c:v>917.5741150400703</c:v>
                </c:pt>
                <c:pt idx="346">
                  <c:v>916.32498309777748</c:v>
                </c:pt>
                <c:pt idx="347">
                  <c:v>915.07842590875896</c:v>
                </c:pt>
                <c:pt idx="348">
                  <c:v>913.83443585953069</c:v>
                </c:pt>
                <c:pt idx="349">
                  <c:v>912.59300536739386</c:v>
                </c:pt>
                <c:pt idx="350">
                  <c:v>911.35412688027225</c:v>
                </c:pt>
                <c:pt idx="351">
                  <c:v>910.11779287655133</c:v>
                </c:pt>
                <c:pt idx="352">
                  <c:v>908.88399586491767</c:v>
                </c:pt>
                <c:pt idx="353">
                  <c:v>907.65272838419992</c:v>
                </c:pt>
                <c:pt idx="354">
                  <c:v>906.42398300321054</c:v>
                </c:pt>
                <c:pt idx="355">
                  <c:v>905.19775232058873</c:v>
                </c:pt>
                <c:pt idx="356">
                  <c:v>903.97402896464462</c:v>
                </c:pt>
                <c:pt idx="357">
                  <c:v>902.75280559320368</c:v>
                </c:pt>
                <c:pt idx="358">
                  <c:v>901.53407489345307</c:v>
                </c:pt>
                <c:pt idx="359">
                  <c:v>900.31782958178849</c:v>
                </c:pt>
                <c:pt idx="360">
                  <c:v>899.10406240366217</c:v>
                </c:pt>
                <c:pt idx="361">
                  <c:v>897.89276613343168</c:v>
                </c:pt>
                <c:pt idx="362">
                  <c:v>896.68393357420996</c:v>
                </c:pt>
                <c:pt idx="363">
                  <c:v>895.4775575577163</c:v>
                </c:pt>
                <c:pt idx="364">
                  <c:v>894.27363094412794</c:v>
                </c:pt>
                <c:pt idx="365">
                  <c:v>893.07214662193314</c:v>
                </c:pt>
                <c:pt idx="366">
                  <c:v>891.87309750778491</c:v>
                </c:pt>
                <c:pt idx="367">
                  <c:v>890.67647654635562</c:v>
                </c:pt>
                <c:pt idx="368">
                  <c:v>889.48227671019276</c:v>
                </c:pt>
                <c:pt idx="369">
                  <c:v>888.29049099957535</c:v>
                </c:pt>
                <c:pt idx="370">
                  <c:v>887.10111244237169</c:v>
                </c:pt>
                <c:pt idx="371">
                  <c:v>885.91413409389759</c:v>
                </c:pt>
                <c:pt idx="372">
                  <c:v>884.72954903677567</c:v>
                </c:pt>
                <c:pt idx="373">
                  <c:v>883.54735038079582</c:v>
                </c:pt>
                <c:pt idx="374">
                  <c:v>882.36753126277608</c:v>
                </c:pt>
                <c:pt idx="375">
                  <c:v>881.19008484642472</c:v>
                </c:pt>
                <c:pt idx="376">
                  <c:v>880.01500432220314</c:v>
                </c:pt>
                <c:pt idx="377">
                  <c:v>878.84228290718966</c:v>
                </c:pt>
                <c:pt idx="378">
                  <c:v>767.6719138449439</c:v>
                </c:pt>
                <c:pt idx="379">
                  <c:v>766.71546040887586</c:v>
                </c:pt>
                <c:pt idx="380">
                  <c:v>765.76077005972002</c:v>
                </c:pt>
                <c:pt idx="381">
                  <c:v>764.8078382411245</c:v>
                </c:pt>
                <c:pt idx="382">
                  <c:v>763.85666041254967</c:v>
                </c:pt>
                <c:pt idx="383">
                  <c:v>762.90723204919721</c:v>
                </c:pt>
                <c:pt idx="384">
                  <c:v>761.95954864193982</c:v>
                </c:pt>
                <c:pt idx="385">
                  <c:v>761.01360569725125</c:v>
                </c:pt>
                <c:pt idx="386">
                  <c:v>760.06939873713691</c:v>
                </c:pt>
                <c:pt idx="387">
                  <c:v>759.12692329906452</c:v>
                </c:pt>
                <c:pt idx="388">
                  <c:v>758.186174935895</c:v>
                </c:pt>
                <c:pt idx="389">
                  <c:v>757.24714921581472</c:v>
                </c:pt>
                <c:pt idx="390">
                  <c:v>756.3098417222667</c:v>
                </c:pt>
                <c:pt idx="391">
                  <c:v>755.37424805388355</c:v>
                </c:pt>
                <c:pt idx="392">
                  <c:v>754.44036382441971</c:v>
                </c:pt>
                <c:pt idx="393">
                  <c:v>753.50818466268481</c:v>
                </c:pt>
                <c:pt idx="394">
                  <c:v>752.57770621247698</c:v>
                </c:pt>
                <c:pt idx="395">
                  <c:v>751.64892413251664</c:v>
                </c:pt>
                <c:pt idx="396">
                  <c:v>750.72183409638058</c:v>
                </c:pt>
                <c:pt idx="397">
                  <c:v>749.79643179243681</c:v>
                </c:pt>
                <c:pt idx="398">
                  <c:v>748.87271292377909</c:v>
                </c:pt>
                <c:pt idx="399">
                  <c:v>747.95067320816224</c:v>
                </c:pt>
                <c:pt idx="400">
                  <c:v>747.03030837793779</c:v>
                </c:pt>
                <c:pt idx="401">
                  <c:v>746.11161417998994</c:v>
                </c:pt>
                <c:pt idx="402">
                  <c:v>745.19458637567175</c:v>
                </c:pt>
                <c:pt idx="403">
                  <c:v>744.27922074074195</c:v>
                </c:pt>
                <c:pt idx="404">
                  <c:v>743.36551306530168</c:v>
                </c:pt>
                <c:pt idx="405">
                  <c:v>742.45345915373207</c:v>
                </c:pt>
                <c:pt idx="406">
                  <c:v>741.54305482463167</c:v>
                </c:pt>
                <c:pt idx="407">
                  <c:v>740.63429591075453</c:v>
                </c:pt>
                <c:pt idx="408">
                  <c:v>739.72717825894858</c:v>
                </c:pt>
                <c:pt idx="409">
                  <c:v>738.82169773009434</c:v>
                </c:pt>
                <c:pt idx="410">
                  <c:v>737.91785019904376</c:v>
                </c:pt>
                <c:pt idx="411">
                  <c:v>737.0156315545596</c:v>
                </c:pt>
                <c:pt idx="412">
                  <c:v>736.11503769925525</c:v>
                </c:pt>
                <c:pt idx="413">
                  <c:v>735.21606454953451</c:v>
                </c:pt>
                <c:pt idx="414">
                  <c:v>734.31870803553193</c:v>
                </c:pt>
                <c:pt idx="415">
                  <c:v>733.42296410105348</c:v>
                </c:pt>
                <c:pt idx="416">
                  <c:v>732.52882870351755</c:v>
                </c:pt>
                <c:pt idx="417">
                  <c:v>731.63629781389591</c:v>
                </c:pt>
                <c:pt idx="418">
                  <c:v>730.74536741665577</c:v>
                </c:pt>
                <c:pt idx="419">
                  <c:v>729.85603350970132</c:v>
                </c:pt>
                <c:pt idx="420">
                  <c:v>728.96829210431588</c:v>
                </c:pt>
                <c:pt idx="421">
                  <c:v>728.0821392251047</c:v>
                </c:pt>
                <c:pt idx="422">
                  <c:v>727.19757090993744</c:v>
                </c:pt>
                <c:pt idx="423">
                  <c:v>726.31458320989145</c:v>
                </c:pt>
                <c:pt idx="424">
                  <c:v>725.43317218919526</c:v>
                </c:pt>
                <c:pt idx="425">
                  <c:v>724.55333392517218</c:v>
                </c:pt>
                <c:pt idx="426">
                  <c:v>723.67506450818439</c:v>
                </c:pt>
                <c:pt idx="427">
                  <c:v>722.79836004157698</c:v>
                </c:pt>
                <c:pt idx="428">
                  <c:v>721.92321664162307</c:v>
                </c:pt>
                <c:pt idx="429">
                  <c:v>721.04963043746818</c:v>
                </c:pt>
                <c:pt idx="430">
                  <c:v>720.17759757107592</c:v>
                </c:pt>
                <c:pt idx="431">
                  <c:v>719.30711419717295</c:v>
                </c:pt>
                <c:pt idx="432">
                  <c:v>718.43817648319509</c:v>
                </c:pt>
                <c:pt idx="433">
                  <c:v>717.57078060923334</c:v>
                </c:pt>
                <c:pt idx="434">
                  <c:v>716.70492276798018</c:v>
                </c:pt>
                <c:pt idx="435">
                  <c:v>715.84059916467618</c:v>
                </c:pt>
                <c:pt idx="436">
                  <c:v>714.97780601705676</c:v>
                </c:pt>
                <c:pt idx="437">
                  <c:v>714.1165395552996</c:v>
                </c:pt>
                <c:pt idx="438">
                  <c:v>713.25679602197192</c:v>
                </c:pt>
                <c:pt idx="439">
                  <c:v>712.3985716719784</c:v>
                </c:pt>
                <c:pt idx="440">
                  <c:v>711.54186277250903</c:v>
                </c:pt>
                <c:pt idx="441">
                  <c:v>710.68666560298743</c:v>
                </c:pt>
                <c:pt idx="442">
                  <c:v>709.83297645501921</c:v>
                </c:pt>
                <c:pt idx="443">
                  <c:v>708.98079163234115</c:v>
                </c:pt>
                <c:pt idx="444">
                  <c:v>708.13010745077008</c:v>
                </c:pt>
                <c:pt idx="445">
                  <c:v>707.28092023815202</c:v>
                </c:pt>
                <c:pt idx="446">
                  <c:v>706.43322633431228</c:v>
                </c:pt>
                <c:pt idx="447">
                  <c:v>705.58702209100477</c:v>
                </c:pt>
                <c:pt idx="448">
                  <c:v>704.74230387186242</c:v>
                </c:pt>
                <c:pt idx="449">
                  <c:v>703.89906805234773</c:v>
                </c:pt>
                <c:pt idx="450">
                  <c:v>703.05731101970298</c:v>
                </c:pt>
                <c:pt idx="451">
                  <c:v>702.21702917290156</c:v>
                </c:pt>
                <c:pt idx="452">
                  <c:v>701.37821892259876</c:v>
                </c:pt>
                <c:pt idx="453">
                  <c:v>700.54087669108355</c:v>
                </c:pt>
                <c:pt idx="454">
                  <c:v>699.70499891222971</c:v>
                </c:pt>
                <c:pt idx="455">
                  <c:v>698.87058203144829</c:v>
                </c:pt>
                <c:pt idx="456">
                  <c:v>698.03762250563943</c:v>
                </c:pt>
                <c:pt idx="457">
                  <c:v>697.20611680314471</c:v>
                </c:pt>
                <c:pt idx="458">
                  <c:v>696.37606140370019</c:v>
                </c:pt>
                <c:pt idx="459">
                  <c:v>695.54745279838869</c:v>
                </c:pt>
                <c:pt idx="460">
                  <c:v>694.72028748959337</c:v>
                </c:pt>
                <c:pt idx="461">
                  <c:v>693.89456199095105</c:v>
                </c:pt>
                <c:pt idx="462">
                  <c:v>693.07027282730553</c:v>
                </c:pt>
                <c:pt idx="463">
                  <c:v>692.24741653466174</c:v>
                </c:pt>
                <c:pt idx="464">
                  <c:v>691.42598966013963</c:v>
                </c:pt>
                <c:pt idx="465">
                  <c:v>690.60598876192842</c:v>
                </c:pt>
                <c:pt idx="466">
                  <c:v>689.78741040924149</c:v>
                </c:pt>
                <c:pt idx="467">
                  <c:v>688.97025118227066</c:v>
                </c:pt>
                <c:pt idx="468">
                  <c:v>688.15450767214156</c:v>
                </c:pt>
                <c:pt idx="469">
                  <c:v>687.34017648086865</c:v>
                </c:pt>
                <c:pt idx="470">
                  <c:v>686.52725422131084</c:v>
                </c:pt>
                <c:pt idx="471">
                  <c:v>685.71573751712708</c:v>
                </c:pt>
                <c:pt idx="472">
                  <c:v>684.90562300273211</c:v>
                </c:pt>
                <c:pt idx="473">
                  <c:v>684.09690732325294</c:v>
                </c:pt>
                <c:pt idx="474">
                  <c:v>683.2895871344848</c:v>
                </c:pt>
                <c:pt idx="475">
                  <c:v>682.48365910284804</c:v>
                </c:pt>
                <c:pt idx="476">
                  <c:v>681.67911990534481</c:v>
                </c:pt>
                <c:pt idx="477">
                  <c:v>680.87596622951594</c:v>
                </c:pt>
                <c:pt idx="478">
                  <c:v>680.07419477339818</c:v>
                </c:pt>
                <c:pt idx="479">
                  <c:v>679.27380224548187</c:v>
                </c:pt>
                <c:pt idx="480">
                  <c:v>678.47478536466849</c:v>
                </c:pt>
                <c:pt idx="481">
                  <c:v>677.67714086022818</c:v>
                </c:pt>
                <c:pt idx="482">
                  <c:v>676.88086547175828</c:v>
                </c:pt>
                <c:pt idx="483">
                  <c:v>676.08595594914129</c:v>
                </c:pt>
                <c:pt idx="484">
                  <c:v>675.29240905250367</c:v>
                </c:pt>
                <c:pt idx="485">
                  <c:v>674.50022155217425</c:v>
                </c:pt>
                <c:pt idx="486">
                  <c:v>673.7093902286432</c:v>
                </c:pt>
                <c:pt idx="487">
                  <c:v>672.91991187252108</c:v>
                </c:pt>
                <c:pt idx="488">
                  <c:v>672.13178328449851</c:v>
                </c:pt>
                <c:pt idx="489">
                  <c:v>671.34500127530521</c:v>
                </c:pt>
                <c:pt idx="490">
                  <c:v>670.55956266566989</c:v>
                </c:pt>
                <c:pt idx="491">
                  <c:v>669.77546428628034</c:v>
                </c:pt>
                <c:pt idx="492">
                  <c:v>668.99270297774319</c:v>
                </c:pt>
                <c:pt idx="493">
                  <c:v>668.21127559054469</c:v>
                </c:pt>
                <c:pt idx="494">
                  <c:v>667.43117898501066</c:v>
                </c:pt>
                <c:pt idx="495">
                  <c:v>666.65241003126766</c:v>
                </c:pt>
                <c:pt idx="496">
                  <c:v>665.87496560920363</c:v>
                </c:pt>
                <c:pt idx="497">
                  <c:v>665.09884260842898</c:v>
                </c:pt>
                <c:pt idx="498">
                  <c:v>664.324037928238</c:v>
                </c:pt>
                <c:pt idx="499">
                  <c:v>663.55054847757037</c:v>
                </c:pt>
                <c:pt idx="500">
                  <c:v>662.77837117497256</c:v>
                </c:pt>
                <c:pt idx="501">
                  <c:v>662.00750294855982</c:v>
                </c:pt>
                <c:pt idx="502">
                  <c:v>661.23794073597833</c:v>
                </c:pt>
                <c:pt idx="503">
                  <c:v>660.46968148436724</c:v>
                </c:pt>
                <c:pt idx="504">
                  <c:v>659.70272215032128</c:v>
                </c:pt>
                <c:pt idx="505">
                  <c:v>658.93705969985297</c:v>
                </c:pt>
                <c:pt idx="506">
                  <c:v>658.17269110835582</c:v>
                </c:pt>
                <c:pt idx="507">
                  <c:v>657.40961336056705</c:v>
                </c:pt>
                <c:pt idx="508">
                  <c:v>656.64782345053084</c:v>
                </c:pt>
                <c:pt idx="509">
                  <c:v>655.8873183815615</c:v>
                </c:pt>
                <c:pt idx="510">
                  <c:v>655.12809516620712</c:v>
                </c:pt>
                <c:pt idx="511">
                  <c:v>654.37015082621303</c:v>
                </c:pt>
                <c:pt idx="512">
                  <c:v>653.61348239248605</c:v>
                </c:pt>
                <c:pt idx="513">
                  <c:v>652.85808690505792</c:v>
                </c:pt>
                <c:pt idx="514">
                  <c:v>652.10396141305</c:v>
                </c:pt>
                <c:pt idx="515">
                  <c:v>651.35110297463746</c:v>
                </c:pt>
                <c:pt idx="516">
                  <c:v>650.59950865701376</c:v>
                </c:pt>
                <c:pt idx="517">
                  <c:v>649.84917553635546</c:v>
                </c:pt>
                <c:pt idx="518">
                  <c:v>649.10010069778718</c:v>
                </c:pt>
                <c:pt idx="519">
                  <c:v>648.35228123534637</c:v>
                </c:pt>
                <c:pt idx="520">
                  <c:v>647.60571425194871</c:v>
                </c:pt>
                <c:pt idx="521">
                  <c:v>646.86039685935373</c:v>
                </c:pt>
                <c:pt idx="522">
                  <c:v>646.11632617812984</c:v>
                </c:pt>
                <c:pt idx="523">
                  <c:v>645.3734993376205</c:v>
                </c:pt>
                <c:pt idx="524">
                  <c:v>644.63191347590998</c:v>
                </c:pt>
                <c:pt idx="525">
                  <c:v>643.89156573978937</c:v>
                </c:pt>
                <c:pt idx="526">
                  <c:v>643.1524532847227</c:v>
                </c:pt>
                <c:pt idx="527">
                  <c:v>642.41457327481351</c:v>
                </c:pt>
                <c:pt idx="528">
                  <c:v>641.67792288277121</c:v>
                </c:pt>
                <c:pt idx="529">
                  <c:v>640.94249928987801</c:v>
                </c:pt>
                <c:pt idx="530">
                  <c:v>640.20829968595558</c:v>
                </c:pt>
                <c:pt idx="531">
                  <c:v>639.47532126933208</c:v>
                </c:pt>
                <c:pt idx="532">
                  <c:v>638.74356124680924</c:v>
                </c:pt>
                <c:pt idx="533">
                  <c:v>638.01301683362999</c:v>
                </c:pt>
                <c:pt idx="534">
                  <c:v>637.2836852534457</c:v>
                </c:pt>
                <c:pt idx="535">
                  <c:v>636.55556373828392</c:v>
                </c:pt>
                <c:pt idx="536">
                  <c:v>635.82864952851594</c:v>
                </c:pt>
                <c:pt idx="537">
                  <c:v>635.10293987282512</c:v>
                </c:pt>
                <c:pt idx="538">
                  <c:v>634.37843202817464</c:v>
                </c:pt>
                <c:pt idx="539">
                  <c:v>633.65512325977602</c:v>
                </c:pt>
                <c:pt idx="540">
                  <c:v>632.93301084105724</c:v>
                </c:pt>
                <c:pt idx="541">
                  <c:v>632.21209205363141</c:v>
                </c:pt>
                <c:pt idx="542">
                  <c:v>631.49236418726571</c:v>
                </c:pt>
                <c:pt idx="543">
                  <c:v>630.77382453984978</c:v>
                </c:pt>
                <c:pt idx="544">
                  <c:v>630.05647041736495</c:v>
                </c:pt>
                <c:pt idx="545">
                  <c:v>629.34029913385348</c:v>
                </c:pt>
                <c:pt idx="546">
                  <c:v>628.62530801138757</c:v>
                </c:pt>
                <c:pt idx="547">
                  <c:v>627.91149438003902</c:v>
                </c:pt>
                <c:pt idx="548">
                  <c:v>627.19885557784869</c:v>
                </c:pt>
                <c:pt idx="549">
                  <c:v>626.48738895079612</c:v>
                </c:pt>
                <c:pt idx="550">
                  <c:v>625.77709185276967</c:v>
                </c:pt>
                <c:pt idx="551">
                  <c:v>625.06796164553612</c:v>
                </c:pt>
                <c:pt idx="552">
                  <c:v>624.35999569871115</c:v>
                </c:pt>
                <c:pt idx="553">
                  <c:v>623.6531913897295</c:v>
                </c:pt>
                <c:pt idx="554">
                  <c:v>622.94754610381517</c:v>
                </c:pt>
                <c:pt idx="555">
                  <c:v>622.2430572339523</c:v>
                </c:pt>
                <c:pt idx="556">
                  <c:v>621.53972218085573</c:v>
                </c:pt>
                <c:pt idx="557">
                  <c:v>620.83753835294181</c:v>
                </c:pt>
                <c:pt idx="558">
                  <c:v>620.13650316629912</c:v>
                </c:pt>
                <c:pt idx="559">
                  <c:v>619.43661404466013</c:v>
                </c:pt>
                <c:pt idx="560">
                  <c:v>618.73786841937181</c:v>
                </c:pt>
                <c:pt idx="561">
                  <c:v>618.04026372936744</c:v>
                </c:pt>
                <c:pt idx="562">
                  <c:v>617.34379742113799</c:v>
                </c:pt>
                <c:pt idx="563">
                  <c:v>616.64846694870346</c:v>
                </c:pt>
                <c:pt idx="564">
                  <c:v>615.95426977358511</c:v>
                </c:pt>
                <c:pt idx="565">
                  <c:v>615.26120336477697</c:v>
                </c:pt>
                <c:pt idx="566">
                  <c:v>614.56926519871809</c:v>
                </c:pt>
                <c:pt idx="567">
                  <c:v>613.87845275926452</c:v>
                </c:pt>
                <c:pt idx="568">
                  <c:v>613.18876353766177</c:v>
                </c:pt>
                <c:pt idx="569">
                  <c:v>612.50019503251701</c:v>
                </c:pt>
                <c:pt idx="570">
                  <c:v>611.81274474977158</c:v>
                </c:pt>
                <c:pt idx="571">
                  <c:v>611.12641020267404</c:v>
                </c:pt>
                <c:pt idx="572">
                  <c:v>610.44118891175242</c:v>
                </c:pt>
                <c:pt idx="573">
                  <c:v>609.75707840478753</c:v>
                </c:pt>
                <c:pt idx="574">
                  <c:v>609.07407621678578</c:v>
                </c:pt>
                <c:pt idx="575">
                  <c:v>608.39217988995244</c:v>
                </c:pt>
                <c:pt idx="576">
                  <c:v>607.71138697366473</c:v>
                </c:pt>
                <c:pt idx="577">
                  <c:v>607.03169502444553</c:v>
                </c:pt>
                <c:pt idx="578">
                  <c:v>606.353101649991</c:v>
                </c:pt>
                <c:pt idx="579">
                  <c:v>605.67561590403864</c:v>
                </c:pt>
                <c:pt idx="580">
                  <c:v>604.99938740910375</c:v>
                </c:pt>
                <c:pt idx="581">
                  <c:v>604.32494998567518</c:v>
                </c:pt>
                <c:pt idx="582">
                  <c:v>603.65325991139036</c:v>
                </c:pt>
                <c:pt idx="583">
                  <c:v>602.98551143311306</c:v>
                </c:pt>
                <c:pt idx="584">
                  <c:v>602.32292313324842</c:v>
                </c:pt>
                <c:pt idx="585">
                  <c:v>601.66659407713826</c:v>
                </c:pt>
                <c:pt idx="586">
                  <c:v>601.0174355466263</c:v>
                </c:pt>
                <c:pt idx="587">
                  <c:v>600.37615449125292</c:v>
                </c:pt>
                <c:pt idx="588">
                  <c:v>599.74326533475107</c:v>
                </c:pt>
                <c:pt idx="589">
                  <c:v>599.11911435777927</c:v>
                </c:pt>
                <c:pt idx="590">
                  <c:v>598.50390761368328</c:v>
                </c:pt>
                <c:pt idx="591">
                  <c:v>597.89773779319341</c:v>
                </c:pt>
                <c:pt idx="592">
                  <c:v>597.30060804994832</c:v>
                </c:pt>
                <c:pt idx="593">
                  <c:v>596.71245218679053</c:v>
                </c:pt>
                <c:pt idx="594">
                  <c:v>596.13315128449904</c:v>
                </c:pt>
                <c:pt idx="595">
                  <c:v>595.56254714890076</c:v>
                </c:pt>
                <c:pt idx="596">
                  <c:v>595.00045304546427</c:v>
                </c:pt>
                <c:pt idx="597">
                  <c:v>594.44666218608961</c:v>
                </c:pt>
                <c:pt idx="598">
                  <c:v>593.90095438619699</c:v>
                </c:pt>
                <c:pt idx="599">
                  <c:v>593.36310124974443</c:v>
                </c:pt>
                <c:pt idx="600">
                  <c:v>592.83287017917689</c:v>
                </c:pt>
                <c:pt idx="601">
                  <c:v>592.31002745249202</c:v>
                </c:pt>
                <c:pt idx="602">
                  <c:v>591.79434056261414</c:v>
                </c:pt>
                <c:pt idx="603">
                  <c:v>591.28557997521352</c:v>
                </c:pt>
                <c:pt idx="604">
                  <c:v>590.78352042925621</c:v>
                </c:pt>
                <c:pt idx="605">
                  <c:v>590.28794187890753</c:v>
                </c:pt>
                <c:pt idx="606">
                  <c:v>589.79863015489752</c:v>
                </c:pt>
                <c:pt idx="607">
                  <c:v>589.3153774071294</c:v>
                </c:pt>
                <c:pt idx="608">
                  <c:v>588.83798237736676</c:v>
                </c:pt>
                <c:pt idx="609">
                  <c:v>588.36625054057561</c:v>
                </c:pt>
                <c:pt idx="610">
                  <c:v>587.89999414538715</c:v>
                </c:pt>
                <c:pt idx="611">
                  <c:v>587.43903217772254</c:v>
                </c:pt>
                <c:pt idx="612">
                  <c:v>586.9831902665419</c:v>
                </c:pt>
                <c:pt idx="613">
                  <c:v>586.53230054665676</c:v>
                </c:pt>
                <c:pt idx="614">
                  <c:v>586.08620149035823</c:v>
                </c:pt>
                <c:pt idx="615">
                  <c:v>585.64473771708617</c:v>
                </c:pt>
                <c:pt idx="616">
                  <c:v>585.2077597883623</c:v>
                </c:pt>
                <c:pt idx="617">
                  <c:v>584.77512399362001</c:v>
                </c:pt>
                <c:pt idx="618">
                  <c:v>584.3466921313011</c:v>
                </c:pt>
                <c:pt idx="619">
                  <c:v>583.92233128858857</c:v>
                </c:pt>
                <c:pt idx="620">
                  <c:v>583.50191362235012</c:v>
                </c:pt>
                <c:pt idx="621">
                  <c:v>583.08531614323647</c:v>
                </c:pt>
                <c:pt idx="622">
                  <c:v>582.67242050437858</c:v>
                </c:pt>
                <c:pt idx="623">
                  <c:v>582.26311279573497</c:v>
                </c:pt>
                <c:pt idx="624">
                  <c:v>581.85728334482656</c:v>
                </c:pt>
                <c:pt idx="625">
                  <c:v>581.45482652435282</c:v>
                </c:pt>
                <c:pt idx="626">
                  <c:v>581.05564056699109</c:v>
                </c:pt>
                <c:pt idx="627">
                  <c:v>580.65962738752955</c:v>
                </c:pt>
                <c:pt idx="628">
                  <c:v>580.26669241237232</c:v>
                </c:pt>
                <c:pt idx="629">
                  <c:v>579.87674441636148</c:v>
                </c:pt>
                <c:pt idx="630">
                  <c:v>579.48969536679863</c:v>
                </c:pt>
                <c:pt idx="631">
                  <c:v>579.10546027449448</c:v>
                </c:pt>
                <c:pt idx="632">
                  <c:v>578.72395705164149</c:v>
                </c:pt>
                <c:pt idx="633">
                  <c:v>578.34510637627773</c:v>
                </c:pt>
                <c:pt idx="634">
                  <c:v>577.96883156309218</c:v>
                </c:pt>
                <c:pt idx="635">
                  <c:v>577.59505844031378</c:v>
                </c:pt>
                <c:pt idx="636">
                  <c:v>577.22371523241861</c:v>
                </c:pt>
                <c:pt idx="637">
                  <c:v>576.85473244839091</c:v>
                </c:pt>
                <c:pt idx="638">
                  <c:v>576.4880427752737</c:v>
                </c:pt>
                <c:pt idx="639">
                  <c:v>576.12358097675053</c:v>
                </c:pt>
                <c:pt idx="640">
                  <c:v>575.7612837965055</c:v>
                </c:pt>
                <c:pt idx="641">
                  <c:v>575.40108986611608</c:v>
                </c:pt>
                <c:pt idx="642">
                  <c:v>575.04293961724147</c:v>
                </c:pt>
                <c:pt idx="643">
                  <c:v>574.68677519787923</c:v>
                </c:pt>
                <c:pt idx="644">
                  <c:v>574.3325403924697</c:v>
                </c:pt>
                <c:pt idx="645">
                  <c:v>573.98018054564056</c:v>
                </c:pt>
                <c:pt idx="646">
                  <c:v>573.62964248938977</c:v>
                </c:pt>
                <c:pt idx="647">
                  <c:v>573.2808744735172</c:v>
                </c:pt>
                <c:pt idx="648">
                  <c:v>572.93382609912317</c:v>
                </c:pt>
                <c:pt idx="649">
                  <c:v>572.58844825500069</c:v>
                </c:pt>
                <c:pt idx="650">
                  <c:v>572.24469305675791</c:v>
                </c:pt>
                <c:pt idx="651">
                  <c:v>571.90251378851474</c:v>
                </c:pt>
                <c:pt idx="652">
                  <c:v>571.56186484702505</c:v>
                </c:pt>
                <c:pt idx="653">
                  <c:v>571.22270168808575</c:v>
                </c:pt>
                <c:pt idx="654">
                  <c:v>570.88498077509746</c:v>
                </c:pt>
                <c:pt idx="655">
                  <c:v>570.54865952965247</c:v>
                </c:pt>
                <c:pt idx="656">
                  <c:v>570.21369628402863</c:v>
                </c:pt>
                <c:pt idx="657">
                  <c:v>569.88005023547635</c:v>
                </c:pt>
                <c:pt idx="658">
                  <c:v>569.54768140219016</c:v>
                </c:pt>
                <c:pt idx="659">
                  <c:v>569.2165505808631</c:v>
                </c:pt>
                <c:pt idx="660">
                  <c:v>568.88661930572528</c:v>
                </c:pt>
                <c:pt idx="661">
                  <c:v>568.55784980897499</c:v>
                </c:pt>
                <c:pt idx="662">
                  <c:v>568.23020498251378</c:v>
                </c:pt>
                <c:pt idx="663">
                  <c:v>567.9036483409011</c:v>
                </c:pt>
                <c:pt idx="664">
                  <c:v>567.57814398544929</c:v>
                </c:pt>
                <c:pt idx="665">
                  <c:v>567.25365656938152</c:v>
                </c:pt>
                <c:pt idx="666">
                  <c:v>566.93015126398018</c:v>
                </c:pt>
                <c:pt idx="667">
                  <c:v>566.60759372565542</c:v>
                </c:pt>
                <c:pt idx="668">
                  <c:v>566.28595006386695</c:v>
                </c:pt>
                <c:pt idx="669">
                  <c:v>565.96518680983502</c:v>
                </c:pt>
                <c:pt idx="670">
                  <c:v>565.64527088597777</c:v>
                </c:pt>
                <c:pt idx="671">
                  <c:v>565.3261695760167</c:v>
                </c:pt>
                <c:pt idx="672">
                  <c:v>565.00785049569129</c:v>
                </c:pt>
                <c:pt idx="673">
                  <c:v>564.69028156402806</c:v>
                </c:pt>
                <c:pt idx="674">
                  <c:v>564.37343097510939</c:v>
                </c:pt>
                <c:pt idx="675">
                  <c:v>564.05726717029074</c:v>
                </c:pt>
                <c:pt idx="676">
                  <c:v>563.74175881081351</c:v>
                </c:pt>
                <c:pt idx="677">
                  <c:v>563.42687475076536</c:v>
                </c:pt>
                <c:pt idx="678">
                  <c:v>563.11258401033763</c:v>
                </c:pt>
                <c:pt idx="679">
                  <c:v>562.79885574933326</c:v>
                </c:pt>
                <c:pt idx="680">
                  <c:v>562.48565924087643</c:v>
                </c:pt>
                <c:pt idx="681">
                  <c:v>562.1729638452789</c:v>
                </c:pt>
                <c:pt idx="682">
                  <c:v>561.86073898401526</c:v>
                </c:pt>
                <c:pt idx="683">
                  <c:v>561.54895411376208</c:v>
                </c:pt>
                <c:pt idx="684">
                  <c:v>561.23757870045461</c:v>
                </c:pt>
                <c:pt idx="685">
                  <c:v>560.92658219331611</c:v>
                </c:pt>
                <c:pt idx="686">
                  <c:v>560.61593399881212</c:v>
                </c:pt>
                <c:pt idx="687">
                  <c:v>560.30560345448555</c:v>
                </c:pt>
                <c:pt idx="688">
                  <c:v>559.99555980262403</c:v>
                </c:pt>
                <c:pt idx="689">
                  <c:v>559.68577216371341</c:v>
                </c:pt>
                <c:pt idx="690">
                  <c:v>559.37620950962912</c:v>
                </c:pt>
                <c:pt idx="691">
                  <c:v>559.06684063651608</c:v>
                </c:pt>
                <c:pt idx="692">
                  <c:v>558.75763413730817</c:v>
                </c:pt>
                <c:pt idx="693">
                  <c:v>558.448558373835</c:v>
                </c:pt>
                <c:pt idx="694">
                  <c:v>558.1395814484647</c:v>
                </c:pt>
                <c:pt idx="695">
                  <c:v>557.83067117522751</c:v>
                </c:pt>
                <c:pt idx="696">
                  <c:v>557.52179505036588</c:v>
                </c:pt>
                <c:pt idx="697">
                  <c:v>557.21292022225191</c:v>
                </c:pt>
                <c:pt idx="698">
                  <c:v>556.90401346061378</c:v>
                </c:pt>
                <c:pt idx="699">
                  <c:v>556.59504112500861</c:v>
                </c:pt>
                <c:pt idx="700">
                  <c:v>556.28596913247713</c:v>
                </c:pt>
                <c:pt idx="701">
                  <c:v>555.97676292431368</c:v>
                </c:pt>
                <c:pt idx="702">
                  <c:v>555.66738743188114</c:v>
                </c:pt>
                <c:pt idx="703">
                  <c:v>555.35780704139711</c:v>
                </c:pt>
                <c:pt idx="704">
                  <c:v>555.04798555761602</c:v>
                </c:pt>
                <c:pt idx="705">
                  <c:v>554.73788616632532</c:v>
                </c:pt>
                <c:pt idx="706">
                  <c:v>554.42747139557321</c:v>
                </c:pt>
                <c:pt idx="707">
                  <c:v>554.11670307553788</c:v>
                </c:pt>
                <c:pt idx="708">
                  <c:v>553.80554229694724</c:v>
                </c:pt>
                <c:pt idx="709">
                  <c:v>553.49394936794965</c:v>
                </c:pt>
                <c:pt idx="710">
                  <c:v>553.1818837693346</c:v>
                </c:pt>
                <c:pt idx="711">
                  <c:v>552.86930410799391</c:v>
                </c:pt>
                <c:pt idx="712">
                  <c:v>552.55616806851015</c:v>
                </c:pt>
                <c:pt idx="713">
                  <c:v>552.24243236275197</c:v>
                </c:pt>
                <c:pt idx="714">
                  <c:v>551.92805267735071</c:v>
                </c:pt>
                <c:pt idx="715">
                  <c:v>551.61298361892375</c:v>
                </c:pt>
                <c:pt idx="716">
                  <c:v>551.29717865690532</c:v>
                </c:pt>
                <c:pt idx="717">
                  <c:v>550.9805900638363</c:v>
                </c:pt>
                <c:pt idx="718">
                  <c:v>550.66316885295839</c:v>
                </c:pt>
                <c:pt idx="719">
                  <c:v>550.34486471294736</c:v>
                </c:pt>
                <c:pt idx="720">
                  <c:v>550.02562593961511</c:v>
                </c:pt>
                <c:pt idx="721">
                  <c:v>549.70539936439855</c:v>
                </c:pt>
                <c:pt idx="722">
                  <c:v>549.38413027944671</c:v>
                </c:pt>
                <c:pt idx="723">
                  <c:v>549.06176235910812</c:v>
                </c:pt>
                <c:pt idx="724">
                  <c:v>548.73823757761068</c:v>
                </c:pt>
                <c:pt idx="725">
                  <c:v>548.41349612271927</c:v>
                </c:pt>
                <c:pt idx="726">
                  <c:v>548.08747630514779</c:v>
                </c:pt>
                <c:pt idx="727">
                  <c:v>547.76011446349332</c:v>
                </c:pt>
                <c:pt idx="728">
                  <c:v>547.43134486445524</c:v>
                </c:pt>
                <c:pt idx="729">
                  <c:v>547.10109959809643</c:v>
                </c:pt>
                <c:pt idx="730">
                  <c:v>546.76930846789855</c:v>
                </c:pt>
                <c:pt idx="731">
                  <c:v>546.43589887536473</c:v>
                </c:pt>
                <c:pt idx="732">
                  <c:v>546.10079569892184</c:v>
                </c:pt>
                <c:pt idx="733">
                  <c:v>545.76392116688407</c:v>
                </c:pt>
                <c:pt idx="734">
                  <c:v>545.42519472424669</c:v>
                </c:pt>
                <c:pt idx="735">
                  <c:v>545.08453289310012</c:v>
                </c:pt>
                <c:pt idx="736">
                  <c:v>544.741849126479</c:v>
                </c:pt>
                <c:pt idx="737">
                  <c:v>544.39705365549742</c:v>
                </c:pt>
                <c:pt idx="738">
                  <c:v>544.0500533296738</c:v>
                </c:pt>
                <c:pt idx="739">
                  <c:v>543.70075145041415</c:v>
                </c:pt>
                <c:pt idx="740">
                  <c:v>543.34904759771325</c:v>
                </c:pt>
                <c:pt idx="741">
                  <c:v>542.99483745024668</c:v>
                </c:pt>
                <c:pt idx="742">
                  <c:v>542.63801259917682</c:v>
                </c:pt>
                <c:pt idx="743">
                  <c:v>542.27846035618654</c:v>
                </c:pt>
                <c:pt idx="744">
                  <c:v>541.91606355649697</c:v>
                </c:pt>
                <c:pt idx="745">
                  <c:v>541.55070035793415</c:v>
                </c:pt>
                <c:pt idx="746">
                  <c:v>541.18224403750173</c:v>
                </c:pt>
                <c:pt idx="747">
                  <c:v>540.81056278740903</c:v>
                </c:pt>
                <c:pt idx="748">
                  <c:v>540.43551951312872</c:v>
                </c:pt>
                <c:pt idx="749">
                  <c:v>540.05697163684226</c:v>
                </c:pt>
                <c:pt idx="750">
                  <c:v>539.67477091062244</c:v>
                </c:pt>
                <c:pt idx="751">
                  <c:v>539.28876324494706</c:v>
                </c:pt>
                <c:pt idx="752">
                  <c:v>538.89878855970892</c:v>
                </c:pt>
                <c:pt idx="753">
                  <c:v>538.50468066686449</c:v>
                </c:pt>
                <c:pt idx="754">
                  <c:v>538.10626719635775</c:v>
                </c:pt>
                <c:pt idx="755">
                  <c:v>537.70336958010046</c:v>
                </c:pt>
                <c:pt idx="756">
                  <c:v>537.29580311276084</c:v>
                </c:pt>
                <c:pt idx="757">
                  <c:v>536.88337711312602</c:v>
                </c:pt>
                <c:pt idx="758">
                  <c:v>536.46589521614101</c:v>
                </c:pt>
                <c:pt idx="759">
                  <c:v>536.04315583373238</c:v>
                </c:pt>
                <c:pt idx="760">
                  <c:v>535.61495283264594</c:v>
                </c:pt>
                <c:pt idx="761">
                  <c:v>535.18107649030458</c:v>
                </c:pt>
                <c:pt idx="762">
                  <c:v>534.74131480579683</c:v>
                </c:pt>
                <c:pt idx="763">
                  <c:v>534.29545526335255</c:v>
                </c:pt>
                <c:pt idx="764">
                  <c:v>533.84328717097264</c:v>
                </c:pt>
                <c:pt idx="765">
                  <c:v>533.3846047282974</c:v>
                </c:pt>
                <c:pt idx="766">
                  <c:v>532.91921101630646</c:v>
                </c:pt>
                <c:pt idx="767">
                  <c:v>532.44692314775386</c:v>
                </c:pt>
                <c:pt idx="768">
                  <c:v>531.9675788712226</c:v>
                </c:pt>
                <c:pt idx="769">
                  <c:v>531.48104498129101</c:v>
                </c:pt>
                <c:pt idx="770">
                  <c:v>530.98722794656987</c:v>
                </c:pt>
                <c:pt idx="771">
                  <c:v>530.48608721260871</c:v>
                </c:pt>
                <c:pt idx="772">
                  <c:v>529.97765163961265</c:v>
                </c:pt>
                <c:pt idx="773">
                  <c:v>529.46203944044453</c:v>
                </c:pt>
                <c:pt idx="774">
                  <c:v>528.93948168942211</c:v>
                </c:pt>
                <c:pt idx="775">
                  <c:v>528.41034879155427</c:v>
                </c:pt>
                <c:pt idx="776">
                  <c:v>527.87517791791447</c:v>
                </c:pt>
                <c:pt idx="777">
                  <c:v>527.33469682725308</c:v>
                </c:pt>
                <c:pt idx="778">
                  <c:v>526.78983505629913</c:v>
                </c:pt>
                <c:pt idx="779">
                  <c:v>526.241706764372</c:v>
                </c:pt>
                <c:pt idx="780">
                  <c:v>525.69154199602235</c:v>
                </c:pt>
                <c:pt idx="781">
                  <c:v>525.14054269274777</c:v>
                </c:pt>
                <c:pt idx="782">
                  <c:v>524.58966948479917</c:v>
                </c:pt>
                <c:pt idx="783">
                  <c:v>524.03945824711593</c:v>
                </c:pt>
                <c:pt idx="784">
                  <c:v>523.49005961630814</c:v>
                </c:pt>
                <c:pt idx="785">
                  <c:v>522.94148342480435</c:v>
                </c:pt>
                <c:pt idx="786">
                  <c:v>522.39372805317362</c:v>
                </c:pt>
                <c:pt idx="787">
                  <c:v>521.84679184224024</c:v>
                </c:pt>
                <c:pt idx="788">
                  <c:v>521.30067313719007</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91348288"/>
        <c:axId val="112517120"/>
      </c:scatterChart>
      <c:valAx>
        <c:axId val="91348288"/>
        <c:scaling>
          <c:orientation val="minMax"/>
        </c:scaling>
        <c:delete val="0"/>
        <c:axPos val="b"/>
        <c:majorGridlines/>
        <c:minorGridlines/>
        <c:numFmt formatCode="@" sourceLinked="0"/>
        <c:majorTickMark val="out"/>
        <c:minorTickMark val="none"/>
        <c:tickLblPos val="nextTo"/>
        <c:spPr>
          <a:ln w="25400"/>
        </c:spPr>
        <c:crossAx val="112517120"/>
        <c:crosses val="autoZero"/>
        <c:crossBetween val="midCat"/>
      </c:valAx>
      <c:valAx>
        <c:axId val="112517120"/>
        <c:scaling>
          <c:orientation val="minMax"/>
          <c:min val="0"/>
        </c:scaling>
        <c:delete val="0"/>
        <c:axPos val="l"/>
        <c:majorGridlines/>
        <c:numFmt formatCode="0" sourceLinked="1"/>
        <c:majorTickMark val="out"/>
        <c:minorTickMark val="none"/>
        <c:tickLblPos val="nextTo"/>
        <c:spPr>
          <a:ln w="25400"/>
        </c:spPr>
        <c:crossAx val="91348288"/>
        <c:crosses val="autoZero"/>
        <c:crossBetween val="midCat"/>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ln>
      <a:noFill/>
    </a:ln>
  </c:spPr>
  <c:printSettings>
    <c:headerFooter/>
    <c:pageMargins b="0.75000000000000189" l="0.70000000000000062" r="0.70000000000000062" t="0.750000000000001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Calculations!$H$1</c:f>
              <c:strCache>
                <c:ptCount val="1"/>
                <c:pt idx="0">
                  <c:v>Ясное небо / Clear sky</c:v>
                </c:pt>
              </c:strCache>
            </c:strRef>
          </c:tx>
          <c:spPr>
            <a:ln w="79375">
              <a:gradFill flip="none" rotWithShape="1">
                <a:gsLst>
                  <a:gs pos="0">
                    <a:schemeClr val="accent1">
                      <a:tint val="66000"/>
                      <a:satMod val="160000"/>
                    </a:schemeClr>
                  </a:gs>
                  <a:gs pos="8000">
                    <a:schemeClr val="accent1">
                      <a:tint val="44500"/>
                      <a:satMod val="160000"/>
                    </a:schemeClr>
                  </a:gs>
                  <a:gs pos="15000">
                    <a:schemeClr val="accent1">
                      <a:tint val="23500"/>
                      <a:satMod val="160000"/>
                      <a:lumMod val="45000"/>
                      <a:lumOff val="55000"/>
                      <a:alpha val="69000"/>
                    </a:schemeClr>
                  </a:gs>
                </a:gsLst>
                <a:lin ang="5400000" scaled="1"/>
                <a:tileRect/>
              </a:gradFill>
            </a:ln>
            <a:effectLst/>
          </c:spPr>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Calculations!$H$2:$H$1302</c:f>
              <c:numCache>
                <c:formatCode>General</c:formatCode>
                <c:ptCount val="1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97</c:v>
                </c:pt>
                <c:pt idx="41">
                  <c:v>97</c:v>
                </c:pt>
                <c:pt idx="42">
                  <c:v>97</c:v>
                </c:pt>
                <c:pt idx="43">
                  <c:v>97</c:v>
                </c:pt>
                <c:pt idx="44">
                  <c:v>97</c:v>
                </c:pt>
                <c:pt idx="45">
                  <c:v>97</c:v>
                </c:pt>
                <c:pt idx="46">
                  <c:v>97</c:v>
                </c:pt>
                <c:pt idx="47">
                  <c:v>97</c:v>
                </c:pt>
                <c:pt idx="48">
                  <c:v>97</c:v>
                </c:pt>
                <c:pt idx="49">
                  <c:v>97</c:v>
                </c:pt>
                <c:pt idx="50">
                  <c:v>97</c:v>
                </c:pt>
                <c:pt idx="51">
                  <c:v>97</c:v>
                </c:pt>
                <c:pt idx="52">
                  <c:v>97</c:v>
                </c:pt>
                <c:pt idx="53">
                  <c:v>97</c:v>
                </c:pt>
                <c:pt idx="54">
                  <c:v>97</c:v>
                </c:pt>
                <c:pt idx="55">
                  <c:v>97</c:v>
                </c:pt>
                <c:pt idx="56">
                  <c:v>97</c:v>
                </c:pt>
                <c:pt idx="57">
                  <c:v>97</c:v>
                </c:pt>
                <c:pt idx="58">
                  <c:v>97</c:v>
                </c:pt>
                <c:pt idx="59">
                  <c:v>97</c:v>
                </c:pt>
                <c:pt idx="60">
                  <c:v>97</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97</c:v>
                </c:pt>
                <c:pt idx="162">
                  <c:v>97</c:v>
                </c:pt>
                <c:pt idx="163">
                  <c:v>97</c:v>
                </c:pt>
                <c:pt idx="164">
                  <c:v>97</c:v>
                </c:pt>
                <c:pt idx="165">
                  <c:v>97</c:v>
                </c:pt>
                <c:pt idx="166">
                  <c:v>97</c:v>
                </c:pt>
                <c:pt idx="167">
                  <c:v>97</c:v>
                </c:pt>
                <c:pt idx="168">
                  <c:v>97</c:v>
                </c:pt>
                <c:pt idx="169">
                  <c:v>97</c:v>
                </c:pt>
                <c:pt idx="170">
                  <c:v>97</c:v>
                </c:pt>
                <c:pt idx="171">
                  <c:v>97</c:v>
                </c:pt>
                <c:pt idx="172">
                  <c:v>97</c:v>
                </c:pt>
                <c:pt idx="173">
                  <c:v>97</c:v>
                </c:pt>
                <c:pt idx="174">
                  <c:v>97</c:v>
                </c:pt>
                <c:pt idx="175">
                  <c:v>97</c:v>
                </c:pt>
                <c:pt idx="176">
                  <c:v>97</c:v>
                </c:pt>
                <c:pt idx="177">
                  <c:v>97</c:v>
                </c:pt>
                <c:pt idx="178">
                  <c:v>97</c:v>
                </c:pt>
                <c:pt idx="179">
                  <c:v>97</c:v>
                </c:pt>
                <c:pt idx="180">
                  <c:v>97</c:v>
                </c:pt>
                <c:pt idx="181">
                  <c:v>97</c:v>
                </c:pt>
                <c:pt idx="182">
                  <c:v>97</c:v>
                </c:pt>
                <c:pt idx="183">
                  <c:v>97</c:v>
                </c:pt>
                <c:pt idx="184">
                  <c:v>97</c:v>
                </c:pt>
                <c:pt idx="185">
                  <c:v>97</c:v>
                </c:pt>
                <c:pt idx="186">
                  <c:v>97</c:v>
                </c:pt>
                <c:pt idx="187">
                  <c:v>97</c:v>
                </c:pt>
                <c:pt idx="188">
                  <c:v>97</c:v>
                </c:pt>
                <c:pt idx="189">
                  <c:v>97</c:v>
                </c:pt>
                <c:pt idx="190">
                  <c:v>97</c:v>
                </c:pt>
                <c:pt idx="191">
                  <c:v>97</c:v>
                </c:pt>
                <c:pt idx="192">
                  <c:v>97</c:v>
                </c:pt>
                <c:pt idx="193">
                  <c:v>97</c:v>
                </c:pt>
                <c:pt idx="194">
                  <c:v>97</c:v>
                </c:pt>
                <c:pt idx="195">
                  <c:v>97</c:v>
                </c:pt>
                <c:pt idx="196">
                  <c:v>97</c:v>
                </c:pt>
                <c:pt idx="197">
                  <c:v>97</c:v>
                </c:pt>
                <c:pt idx="198">
                  <c:v>97</c:v>
                </c:pt>
                <c:pt idx="199">
                  <c:v>97</c:v>
                </c:pt>
                <c:pt idx="200">
                  <c:v>97</c:v>
                </c:pt>
                <c:pt idx="201">
                  <c:v>97</c:v>
                </c:pt>
                <c:pt idx="202">
                  <c:v>97</c:v>
                </c:pt>
                <c:pt idx="203">
                  <c:v>97</c:v>
                </c:pt>
                <c:pt idx="204">
                  <c:v>97</c:v>
                </c:pt>
                <c:pt idx="205">
                  <c:v>97</c:v>
                </c:pt>
                <c:pt idx="206">
                  <c:v>97</c:v>
                </c:pt>
                <c:pt idx="207">
                  <c:v>97</c:v>
                </c:pt>
                <c:pt idx="208">
                  <c:v>97</c:v>
                </c:pt>
                <c:pt idx="209">
                  <c:v>97</c:v>
                </c:pt>
                <c:pt idx="210">
                  <c:v>97</c:v>
                </c:pt>
                <c:pt idx="211">
                  <c:v>97</c:v>
                </c:pt>
                <c:pt idx="212">
                  <c:v>97</c:v>
                </c:pt>
                <c:pt idx="213">
                  <c:v>97</c:v>
                </c:pt>
                <c:pt idx="214">
                  <c:v>97</c:v>
                </c:pt>
                <c:pt idx="215">
                  <c:v>97</c:v>
                </c:pt>
                <c:pt idx="216">
                  <c:v>97</c:v>
                </c:pt>
                <c:pt idx="217">
                  <c:v>97</c:v>
                </c:pt>
                <c:pt idx="218">
                  <c:v>97</c:v>
                </c:pt>
                <c:pt idx="219">
                  <c:v>97</c:v>
                </c:pt>
                <c:pt idx="220">
                  <c:v>97</c:v>
                </c:pt>
                <c:pt idx="221">
                  <c:v>97</c:v>
                </c:pt>
                <c:pt idx="222">
                  <c:v>97</c:v>
                </c:pt>
                <c:pt idx="223">
                  <c:v>97</c:v>
                </c:pt>
                <c:pt idx="224">
                  <c:v>97</c:v>
                </c:pt>
                <c:pt idx="225">
                  <c:v>97</c:v>
                </c:pt>
                <c:pt idx="226">
                  <c:v>97</c:v>
                </c:pt>
                <c:pt idx="227">
                  <c:v>97</c:v>
                </c:pt>
                <c:pt idx="228">
                  <c:v>97</c:v>
                </c:pt>
                <c:pt idx="229">
                  <c:v>97</c:v>
                </c:pt>
                <c:pt idx="230">
                  <c:v>97</c:v>
                </c:pt>
                <c:pt idx="231">
                  <c:v>97</c:v>
                </c:pt>
                <c:pt idx="232">
                  <c:v>97</c:v>
                </c:pt>
                <c:pt idx="233">
                  <c:v>97</c:v>
                </c:pt>
                <c:pt idx="234">
                  <c:v>97</c:v>
                </c:pt>
                <c:pt idx="235">
                  <c:v>97</c:v>
                </c:pt>
                <c:pt idx="236">
                  <c:v>97</c:v>
                </c:pt>
                <c:pt idx="237">
                  <c:v>97</c:v>
                </c:pt>
                <c:pt idx="238">
                  <c:v>97</c:v>
                </c:pt>
                <c:pt idx="239">
                  <c:v>97</c:v>
                </c:pt>
                <c:pt idx="240">
                  <c:v>97</c:v>
                </c:pt>
                <c:pt idx="241">
                  <c:v>97</c:v>
                </c:pt>
                <c:pt idx="242">
                  <c:v>97</c:v>
                </c:pt>
                <c:pt idx="243">
                  <c:v>97</c:v>
                </c:pt>
                <c:pt idx="244">
                  <c:v>97</c:v>
                </c:pt>
                <c:pt idx="245">
                  <c:v>97</c:v>
                </c:pt>
                <c:pt idx="246">
                  <c:v>97</c:v>
                </c:pt>
                <c:pt idx="247">
                  <c:v>97</c:v>
                </c:pt>
                <c:pt idx="248">
                  <c:v>97</c:v>
                </c:pt>
                <c:pt idx="249">
                  <c:v>97</c:v>
                </c:pt>
                <c:pt idx="250">
                  <c:v>97</c:v>
                </c:pt>
                <c:pt idx="251">
                  <c:v>97</c:v>
                </c:pt>
                <c:pt idx="252">
                  <c:v>97</c:v>
                </c:pt>
                <c:pt idx="253">
                  <c:v>97</c:v>
                </c:pt>
                <c:pt idx="254">
                  <c:v>97</c:v>
                </c:pt>
                <c:pt idx="255">
                  <c:v>97</c:v>
                </c:pt>
                <c:pt idx="256">
                  <c:v>97</c:v>
                </c:pt>
                <c:pt idx="257">
                  <c:v>97</c:v>
                </c:pt>
                <c:pt idx="258">
                  <c:v>97</c:v>
                </c:pt>
                <c:pt idx="259">
                  <c:v>97</c:v>
                </c:pt>
                <c:pt idx="260">
                  <c:v>97</c:v>
                </c:pt>
                <c:pt idx="261">
                  <c:v>97</c:v>
                </c:pt>
                <c:pt idx="262">
                  <c:v>97</c:v>
                </c:pt>
                <c:pt idx="263">
                  <c:v>97</c:v>
                </c:pt>
                <c:pt idx="264">
                  <c:v>97</c:v>
                </c:pt>
                <c:pt idx="265">
                  <c:v>97</c:v>
                </c:pt>
                <c:pt idx="266">
                  <c:v>97</c:v>
                </c:pt>
                <c:pt idx="267">
                  <c:v>97</c:v>
                </c:pt>
                <c:pt idx="268">
                  <c:v>97</c:v>
                </c:pt>
                <c:pt idx="269">
                  <c:v>97</c:v>
                </c:pt>
                <c:pt idx="270">
                  <c:v>97</c:v>
                </c:pt>
                <c:pt idx="271">
                  <c:v>97</c:v>
                </c:pt>
                <c:pt idx="272">
                  <c:v>97</c:v>
                </c:pt>
                <c:pt idx="273">
                  <c:v>97</c:v>
                </c:pt>
                <c:pt idx="274">
                  <c:v>97</c:v>
                </c:pt>
                <c:pt idx="275">
                  <c:v>97</c:v>
                </c:pt>
                <c:pt idx="276">
                  <c:v>97</c:v>
                </c:pt>
                <c:pt idx="277">
                  <c:v>97</c:v>
                </c:pt>
                <c:pt idx="278">
                  <c:v>97</c:v>
                </c:pt>
                <c:pt idx="279">
                  <c:v>97</c:v>
                </c:pt>
                <c:pt idx="280">
                  <c:v>97</c:v>
                </c:pt>
                <c:pt idx="281">
                  <c:v>97</c:v>
                </c:pt>
                <c:pt idx="282">
                  <c:v>97</c:v>
                </c:pt>
                <c:pt idx="283">
                  <c:v>97</c:v>
                </c:pt>
                <c:pt idx="284">
                  <c:v>97</c:v>
                </c:pt>
                <c:pt idx="285">
                  <c:v>97</c:v>
                </c:pt>
                <c:pt idx="286">
                  <c:v>97</c:v>
                </c:pt>
                <c:pt idx="287">
                  <c:v>97</c:v>
                </c:pt>
                <c:pt idx="288">
                  <c:v>97</c:v>
                </c:pt>
                <c:pt idx="289">
                  <c:v>97</c:v>
                </c:pt>
                <c:pt idx="290">
                  <c:v>97</c:v>
                </c:pt>
                <c:pt idx="291">
                  <c:v>97</c:v>
                </c:pt>
                <c:pt idx="292">
                  <c:v>97</c:v>
                </c:pt>
                <c:pt idx="293">
                  <c:v>97</c:v>
                </c:pt>
                <c:pt idx="294">
                  <c:v>97</c:v>
                </c:pt>
                <c:pt idx="295">
                  <c:v>97</c:v>
                </c:pt>
                <c:pt idx="296">
                  <c:v>97</c:v>
                </c:pt>
                <c:pt idx="297">
                  <c:v>97</c:v>
                </c:pt>
                <c:pt idx="298">
                  <c:v>97</c:v>
                </c:pt>
                <c:pt idx="299">
                  <c:v>97</c:v>
                </c:pt>
                <c:pt idx="300">
                  <c:v>97</c:v>
                </c:pt>
                <c:pt idx="301">
                  <c:v>97</c:v>
                </c:pt>
                <c:pt idx="302">
                  <c:v>97</c:v>
                </c:pt>
                <c:pt idx="303">
                  <c:v>97</c:v>
                </c:pt>
                <c:pt idx="304">
                  <c:v>97</c:v>
                </c:pt>
                <c:pt idx="305">
                  <c:v>97</c:v>
                </c:pt>
                <c:pt idx="306">
                  <c:v>97</c:v>
                </c:pt>
                <c:pt idx="307">
                  <c:v>97</c:v>
                </c:pt>
                <c:pt idx="308">
                  <c:v>97</c:v>
                </c:pt>
                <c:pt idx="309">
                  <c:v>97</c:v>
                </c:pt>
                <c:pt idx="310">
                  <c:v>97</c:v>
                </c:pt>
                <c:pt idx="311">
                  <c:v>97</c:v>
                </c:pt>
                <c:pt idx="312">
                  <c:v>97</c:v>
                </c:pt>
                <c:pt idx="313">
                  <c:v>97</c:v>
                </c:pt>
                <c:pt idx="314">
                  <c:v>97</c:v>
                </c:pt>
                <c:pt idx="315">
                  <c:v>97</c:v>
                </c:pt>
                <c:pt idx="316">
                  <c:v>97</c:v>
                </c:pt>
                <c:pt idx="317">
                  <c:v>97</c:v>
                </c:pt>
                <c:pt idx="318">
                  <c:v>97</c:v>
                </c:pt>
                <c:pt idx="319">
                  <c:v>97</c:v>
                </c:pt>
                <c:pt idx="320">
                  <c:v>97</c:v>
                </c:pt>
                <c:pt idx="321">
                  <c:v>97</c:v>
                </c:pt>
                <c:pt idx="322">
                  <c:v>97</c:v>
                </c:pt>
                <c:pt idx="323">
                  <c:v>97</c:v>
                </c:pt>
                <c:pt idx="324">
                  <c:v>97</c:v>
                </c:pt>
                <c:pt idx="325">
                  <c:v>97</c:v>
                </c:pt>
                <c:pt idx="326">
                  <c:v>97</c:v>
                </c:pt>
                <c:pt idx="327">
                  <c:v>97</c:v>
                </c:pt>
                <c:pt idx="328">
                  <c:v>97</c:v>
                </c:pt>
                <c:pt idx="329">
                  <c:v>97</c:v>
                </c:pt>
                <c:pt idx="330">
                  <c:v>97</c:v>
                </c:pt>
                <c:pt idx="331">
                  <c:v>97</c:v>
                </c:pt>
                <c:pt idx="332">
                  <c:v>97</c:v>
                </c:pt>
                <c:pt idx="333">
                  <c:v>97</c:v>
                </c:pt>
                <c:pt idx="334">
                  <c:v>97</c:v>
                </c:pt>
                <c:pt idx="335">
                  <c:v>97</c:v>
                </c:pt>
                <c:pt idx="336">
                  <c:v>97</c:v>
                </c:pt>
                <c:pt idx="337">
                  <c:v>97</c:v>
                </c:pt>
                <c:pt idx="338">
                  <c:v>97</c:v>
                </c:pt>
                <c:pt idx="339">
                  <c:v>97</c:v>
                </c:pt>
                <c:pt idx="340">
                  <c:v>97</c:v>
                </c:pt>
                <c:pt idx="341">
                  <c:v>97</c:v>
                </c:pt>
                <c:pt idx="342">
                  <c:v>97</c:v>
                </c:pt>
                <c:pt idx="343">
                  <c:v>97</c:v>
                </c:pt>
                <c:pt idx="344">
                  <c:v>97</c:v>
                </c:pt>
                <c:pt idx="345">
                  <c:v>97</c:v>
                </c:pt>
                <c:pt idx="346">
                  <c:v>97</c:v>
                </c:pt>
                <c:pt idx="347">
                  <c:v>97</c:v>
                </c:pt>
                <c:pt idx="348">
                  <c:v>97</c:v>
                </c:pt>
                <c:pt idx="349">
                  <c:v>97</c:v>
                </c:pt>
                <c:pt idx="350">
                  <c:v>97</c:v>
                </c:pt>
                <c:pt idx="351">
                  <c:v>97</c:v>
                </c:pt>
                <c:pt idx="352">
                  <c:v>97</c:v>
                </c:pt>
                <c:pt idx="353">
                  <c:v>97</c:v>
                </c:pt>
                <c:pt idx="354">
                  <c:v>97</c:v>
                </c:pt>
                <c:pt idx="355">
                  <c:v>97</c:v>
                </c:pt>
                <c:pt idx="356">
                  <c:v>97</c:v>
                </c:pt>
                <c:pt idx="357">
                  <c:v>97</c:v>
                </c:pt>
                <c:pt idx="358">
                  <c:v>97</c:v>
                </c:pt>
                <c:pt idx="359">
                  <c:v>97</c:v>
                </c:pt>
                <c:pt idx="360">
                  <c:v>97</c:v>
                </c:pt>
                <c:pt idx="361">
                  <c:v>97</c:v>
                </c:pt>
                <c:pt idx="362">
                  <c:v>97</c:v>
                </c:pt>
                <c:pt idx="363">
                  <c:v>97</c:v>
                </c:pt>
                <c:pt idx="364">
                  <c:v>97</c:v>
                </c:pt>
                <c:pt idx="365">
                  <c:v>97</c:v>
                </c:pt>
                <c:pt idx="366">
                  <c:v>97</c:v>
                </c:pt>
                <c:pt idx="367">
                  <c:v>97</c:v>
                </c:pt>
                <c:pt idx="368">
                  <c:v>97</c:v>
                </c:pt>
                <c:pt idx="369">
                  <c:v>97</c:v>
                </c:pt>
                <c:pt idx="370">
                  <c:v>97</c:v>
                </c:pt>
                <c:pt idx="371">
                  <c:v>97</c:v>
                </c:pt>
                <c:pt idx="372">
                  <c:v>97</c:v>
                </c:pt>
                <c:pt idx="373">
                  <c:v>97</c:v>
                </c:pt>
                <c:pt idx="374">
                  <c:v>97</c:v>
                </c:pt>
                <c:pt idx="375">
                  <c:v>97</c:v>
                </c:pt>
                <c:pt idx="376">
                  <c:v>97</c:v>
                </c:pt>
                <c:pt idx="377">
                  <c:v>97</c:v>
                </c:pt>
                <c:pt idx="378">
                  <c:v>97</c:v>
                </c:pt>
                <c:pt idx="379">
                  <c:v>97</c:v>
                </c:pt>
                <c:pt idx="380">
                  <c:v>97</c:v>
                </c:pt>
                <c:pt idx="381">
                  <c:v>97</c:v>
                </c:pt>
                <c:pt idx="382">
                  <c:v>97</c:v>
                </c:pt>
                <c:pt idx="383">
                  <c:v>97</c:v>
                </c:pt>
                <c:pt idx="384">
                  <c:v>97</c:v>
                </c:pt>
                <c:pt idx="385">
                  <c:v>97</c:v>
                </c:pt>
                <c:pt idx="386">
                  <c:v>97</c:v>
                </c:pt>
                <c:pt idx="387">
                  <c:v>97</c:v>
                </c:pt>
                <c:pt idx="388">
                  <c:v>97</c:v>
                </c:pt>
                <c:pt idx="389">
                  <c:v>97</c:v>
                </c:pt>
                <c:pt idx="390">
                  <c:v>97</c:v>
                </c:pt>
                <c:pt idx="391">
                  <c:v>97</c:v>
                </c:pt>
                <c:pt idx="392">
                  <c:v>97</c:v>
                </c:pt>
                <c:pt idx="393">
                  <c:v>97</c:v>
                </c:pt>
                <c:pt idx="394">
                  <c:v>97</c:v>
                </c:pt>
                <c:pt idx="395">
                  <c:v>97</c:v>
                </c:pt>
                <c:pt idx="396">
                  <c:v>97</c:v>
                </c:pt>
                <c:pt idx="397">
                  <c:v>97</c:v>
                </c:pt>
                <c:pt idx="398">
                  <c:v>97</c:v>
                </c:pt>
                <c:pt idx="399">
                  <c:v>97</c:v>
                </c:pt>
                <c:pt idx="400">
                  <c:v>97</c:v>
                </c:pt>
                <c:pt idx="401">
                  <c:v>97</c:v>
                </c:pt>
                <c:pt idx="402">
                  <c:v>97</c:v>
                </c:pt>
                <c:pt idx="403">
                  <c:v>97</c:v>
                </c:pt>
                <c:pt idx="404">
                  <c:v>97</c:v>
                </c:pt>
                <c:pt idx="405">
                  <c:v>97</c:v>
                </c:pt>
                <c:pt idx="406">
                  <c:v>97</c:v>
                </c:pt>
                <c:pt idx="407">
                  <c:v>97</c:v>
                </c:pt>
                <c:pt idx="408">
                  <c:v>97</c:v>
                </c:pt>
                <c:pt idx="409">
                  <c:v>97</c:v>
                </c:pt>
                <c:pt idx="410">
                  <c:v>97</c:v>
                </c:pt>
                <c:pt idx="411">
                  <c:v>97</c:v>
                </c:pt>
                <c:pt idx="412">
                  <c:v>97</c:v>
                </c:pt>
                <c:pt idx="413">
                  <c:v>97</c:v>
                </c:pt>
                <c:pt idx="414">
                  <c:v>97</c:v>
                </c:pt>
                <c:pt idx="415">
                  <c:v>97</c:v>
                </c:pt>
                <c:pt idx="416">
                  <c:v>97</c:v>
                </c:pt>
                <c:pt idx="417">
                  <c:v>97</c:v>
                </c:pt>
                <c:pt idx="418">
                  <c:v>97</c:v>
                </c:pt>
                <c:pt idx="419">
                  <c:v>97</c:v>
                </c:pt>
                <c:pt idx="420">
                  <c:v>97</c:v>
                </c:pt>
                <c:pt idx="421">
                  <c:v>97</c:v>
                </c:pt>
                <c:pt idx="422">
                  <c:v>97</c:v>
                </c:pt>
                <c:pt idx="423">
                  <c:v>97</c:v>
                </c:pt>
                <c:pt idx="424">
                  <c:v>97</c:v>
                </c:pt>
                <c:pt idx="425">
                  <c:v>97</c:v>
                </c:pt>
                <c:pt idx="426">
                  <c:v>97</c:v>
                </c:pt>
                <c:pt idx="427">
                  <c:v>97</c:v>
                </c:pt>
                <c:pt idx="428">
                  <c:v>97</c:v>
                </c:pt>
                <c:pt idx="429">
                  <c:v>97</c:v>
                </c:pt>
                <c:pt idx="430">
                  <c:v>97</c:v>
                </c:pt>
                <c:pt idx="431">
                  <c:v>97</c:v>
                </c:pt>
                <c:pt idx="432">
                  <c:v>97</c:v>
                </c:pt>
                <c:pt idx="433">
                  <c:v>97</c:v>
                </c:pt>
                <c:pt idx="434">
                  <c:v>97</c:v>
                </c:pt>
                <c:pt idx="435">
                  <c:v>97</c:v>
                </c:pt>
                <c:pt idx="436">
                  <c:v>97</c:v>
                </c:pt>
                <c:pt idx="437">
                  <c:v>97</c:v>
                </c:pt>
                <c:pt idx="438">
                  <c:v>97</c:v>
                </c:pt>
                <c:pt idx="439">
                  <c:v>97</c:v>
                </c:pt>
                <c:pt idx="440">
                  <c:v>97</c:v>
                </c:pt>
                <c:pt idx="441">
                  <c:v>97</c:v>
                </c:pt>
                <c:pt idx="442">
                  <c:v>97</c:v>
                </c:pt>
                <c:pt idx="443">
                  <c:v>97</c:v>
                </c:pt>
                <c:pt idx="444">
                  <c:v>97</c:v>
                </c:pt>
                <c:pt idx="445">
                  <c:v>97</c:v>
                </c:pt>
                <c:pt idx="446">
                  <c:v>97</c:v>
                </c:pt>
                <c:pt idx="447">
                  <c:v>97</c:v>
                </c:pt>
                <c:pt idx="448">
                  <c:v>97</c:v>
                </c:pt>
                <c:pt idx="449">
                  <c:v>97</c:v>
                </c:pt>
                <c:pt idx="450">
                  <c:v>97</c:v>
                </c:pt>
                <c:pt idx="451">
                  <c:v>97</c:v>
                </c:pt>
                <c:pt idx="452">
                  <c:v>97</c:v>
                </c:pt>
                <c:pt idx="453">
                  <c:v>97</c:v>
                </c:pt>
                <c:pt idx="454">
                  <c:v>97</c:v>
                </c:pt>
                <c:pt idx="455">
                  <c:v>97</c:v>
                </c:pt>
                <c:pt idx="456">
                  <c:v>97</c:v>
                </c:pt>
                <c:pt idx="457">
                  <c:v>97</c:v>
                </c:pt>
                <c:pt idx="458">
                  <c:v>97</c:v>
                </c:pt>
                <c:pt idx="459">
                  <c:v>97</c:v>
                </c:pt>
                <c:pt idx="460">
                  <c:v>97</c:v>
                </c:pt>
                <c:pt idx="461">
                  <c:v>97</c:v>
                </c:pt>
                <c:pt idx="462">
                  <c:v>97</c:v>
                </c:pt>
                <c:pt idx="463">
                  <c:v>97</c:v>
                </c:pt>
                <c:pt idx="464">
                  <c:v>97</c:v>
                </c:pt>
                <c:pt idx="465">
                  <c:v>97</c:v>
                </c:pt>
                <c:pt idx="466">
                  <c:v>97</c:v>
                </c:pt>
                <c:pt idx="467">
                  <c:v>97</c:v>
                </c:pt>
                <c:pt idx="468">
                  <c:v>97</c:v>
                </c:pt>
                <c:pt idx="469">
                  <c:v>97</c:v>
                </c:pt>
                <c:pt idx="470">
                  <c:v>97</c:v>
                </c:pt>
                <c:pt idx="471">
                  <c:v>97</c:v>
                </c:pt>
                <c:pt idx="472">
                  <c:v>97</c:v>
                </c:pt>
                <c:pt idx="473">
                  <c:v>97</c:v>
                </c:pt>
                <c:pt idx="474">
                  <c:v>97</c:v>
                </c:pt>
                <c:pt idx="475">
                  <c:v>97</c:v>
                </c:pt>
                <c:pt idx="476">
                  <c:v>97</c:v>
                </c:pt>
                <c:pt idx="477">
                  <c:v>97</c:v>
                </c:pt>
                <c:pt idx="478">
                  <c:v>97</c:v>
                </c:pt>
                <c:pt idx="479">
                  <c:v>97</c:v>
                </c:pt>
                <c:pt idx="480">
                  <c:v>97</c:v>
                </c:pt>
                <c:pt idx="481">
                  <c:v>97</c:v>
                </c:pt>
                <c:pt idx="482">
                  <c:v>97</c:v>
                </c:pt>
                <c:pt idx="483">
                  <c:v>97</c:v>
                </c:pt>
                <c:pt idx="484">
                  <c:v>97</c:v>
                </c:pt>
                <c:pt idx="485">
                  <c:v>97</c:v>
                </c:pt>
                <c:pt idx="486">
                  <c:v>97</c:v>
                </c:pt>
                <c:pt idx="487">
                  <c:v>97</c:v>
                </c:pt>
                <c:pt idx="488">
                  <c:v>97</c:v>
                </c:pt>
                <c:pt idx="489">
                  <c:v>97</c:v>
                </c:pt>
                <c:pt idx="490">
                  <c:v>97</c:v>
                </c:pt>
                <c:pt idx="491">
                  <c:v>97</c:v>
                </c:pt>
                <c:pt idx="492">
                  <c:v>97</c:v>
                </c:pt>
                <c:pt idx="493">
                  <c:v>97</c:v>
                </c:pt>
                <c:pt idx="494">
                  <c:v>97</c:v>
                </c:pt>
                <c:pt idx="495">
                  <c:v>97</c:v>
                </c:pt>
                <c:pt idx="496">
                  <c:v>97</c:v>
                </c:pt>
                <c:pt idx="497">
                  <c:v>97</c:v>
                </c:pt>
                <c:pt idx="498">
                  <c:v>97</c:v>
                </c:pt>
                <c:pt idx="499">
                  <c:v>97</c:v>
                </c:pt>
                <c:pt idx="500">
                  <c:v>97</c:v>
                </c:pt>
                <c:pt idx="501">
                  <c:v>97</c:v>
                </c:pt>
                <c:pt idx="502">
                  <c:v>97</c:v>
                </c:pt>
                <c:pt idx="503">
                  <c:v>97</c:v>
                </c:pt>
                <c:pt idx="504">
                  <c:v>97</c:v>
                </c:pt>
                <c:pt idx="505">
                  <c:v>97</c:v>
                </c:pt>
                <c:pt idx="506">
                  <c:v>97</c:v>
                </c:pt>
                <c:pt idx="507">
                  <c:v>97</c:v>
                </c:pt>
                <c:pt idx="508">
                  <c:v>97</c:v>
                </c:pt>
                <c:pt idx="509">
                  <c:v>97</c:v>
                </c:pt>
                <c:pt idx="510">
                  <c:v>97</c:v>
                </c:pt>
                <c:pt idx="511">
                  <c:v>97</c:v>
                </c:pt>
                <c:pt idx="512">
                  <c:v>97</c:v>
                </c:pt>
                <c:pt idx="513">
                  <c:v>97</c:v>
                </c:pt>
                <c:pt idx="514">
                  <c:v>97</c:v>
                </c:pt>
                <c:pt idx="515">
                  <c:v>97</c:v>
                </c:pt>
                <c:pt idx="516">
                  <c:v>97</c:v>
                </c:pt>
                <c:pt idx="517">
                  <c:v>97</c:v>
                </c:pt>
                <c:pt idx="518">
                  <c:v>97</c:v>
                </c:pt>
                <c:pt idx="519">
                  <c:v>97</c:v>
                </c:pt>
                <c:pt idx="520">
                  <c:v>97</c:v>
                </c:pt>
                <c:pt idx="521">
                  <c:v>97</c:v>
                </c:pt>
                <c:pt idx="522">
                  <c:v>97</c:v>
                </c:pt>
                <c:pt idx="523">
                  <c:v>97</c:v>
                </c:pt>
                <c:pt idx="524">
                  <c:v>97</c:v>
                </c:pt>
                <c:pt idx="525">
                  <c:v>97</c:v>
                </c:pt>
                <c:pt idx="526">
                  <c:v>97</c:v>
                </c:pt>
                <c:pt idx="527">
                  <c:v>97</c:v>
                </c:pt>
                <c:pt idx="528">
                  <c:v>97</c:v>
                </c:pt>
                <c:pt idx="529">
                  <c:v>97</c:v>
                </c:pt>
                <c:pt idx="530">
                  <c:v>97</c:v>
                </c:pt>
                <c:pt idx="531">
                  <c:v>97</c:v>
                </c:pt>
                <c:pt idx="532">
                  <c:v>97</c:v>
                </c:pt>
                <c:pt idx="533">
                  <c:v>97</c:v>
                </c:pt>
                <c:pt idx="534">
                  <c:v>97</c:v>
                </c:pt>
                <c:pt idx="535">
                  <c:v>97</c:v>
                </c:pt>
                <c:pt idx="536">
                  <c:v>97</c:v>
                </c:pt>
                <c:pt idx="537">
                  <c:v>97</c:v>
                </c:pt>
                <c:pt idx="538">
                  <c:v>97</c:v>
                </c:pt>
                <c:pt idx="539">
                  <c:v>97</c:v>
                </c:pt>
                <c:pt idx="540">
                  <c:v>97</c:v>
                </c:pt>
                <c:pt idx="541">
                  <c:v>97</c:v>
                </c:pt>
                <c:pt idx="542">
                  <c:v>97</c:v>
                </c:pt>
                <c:pt idx="543">
                  <c:v>97</c:v>
                </c:pt>
                <c:pt idx="544">
                  <c:v>97</c:v>
                </c:pt>
                <c:pt idx="545">
                  <c:v>97</c:v>
                </c:pt>
                <c:pt idx="546">
                  <c:v>97</c:v>
                </c:pt>
                <c:pt idx="547">
                  <c:v>97</c:v>
                </c:pt>
                <c:pt idx="548">
                  <c:v>97</c:v>
                </c:pt>
                <c:pt idx="549">
                  <c:v>97</c:v>
                </c:pt>
                <c:pt idx="550">
                  <c:v>97</c:v>
                </c:pt>
                <c:pt idx="551">
                  <c:v>97</c:v>
                </c:pt>
                <c:pt idx="552">
                  <c:v>97</c:v>
                </c:pt>
                <c:pt idx="553">
                  <c:v>97</c:v>
                </c:pt>
                <c:pt idx="554">
                  <c:v>97</c:v>
                </c:pt>
                <c:pt idx="555">
                  <c:v>97</c:v>
                </c:pt>
                <c:pt idx="556">
                  <c:v>97</c:v>
                </c:pt>
                <c:pt idx="557">
                  <c:v>97</c:v>
                </c:pt>
                <c:pt idx="558">
                  <c:v>97</c:v>
                </c:pt>
                <c:pt idx="559">
                  <c:v>97</c:v>
                </c:pt>
                <c:pt idx="560">
                  <c:v>97</c:v>
                </c:pt>
                <c:pt idx="561">
                  <c:v>97</c:v>
                </c:pt>
                <c:pt idx="562">
                  <c:v>97</c:v>
                </c:pt>
                <c:pt idx="563">
                  <c:v>97</c:v>
                </c:pt>
                <c:pt idx="564">
                  <c:v>97</c:v>
                </c:pt>
                <c:pt idx="565">
                  <c:v>97</c:v>
                </c:pt>
                <c:pt idx="566">
                  <c:v>97</c:v>
                </c:pt>
                <c:pt idx="567">
                  <c:v>97</c:v>
                </c:pt>
                <c:pt idx="568">
                  <c:v>97</c:v>
                </c:pt>
                <c:pt idx="569">
                  <c:v>97</c:v>
                </c:pt>
                <c:pt idx="570">
                  <c:v>97</c:v>
                </c:pt>
                <c:pt idx="571">
                  <c:v>97</c:v>
                </c:pt>
                <c:pt idx="572">
                  <c:v>97</c:v>
                </c:pt>
                <c:pt idx="573">
                  <c:v>97</c:v>
                </c:pt>
                <c:pt idx="574">
                  <c:v>97</c:v>
                </c:pt>
                <c:pt idx="575">
                  <c:v>97</c:v>
                </c:pt>
                <c:pt idx="576">
                  <c:v>97</c:v>
                </c:pt>
                <c:pt idx="577">
                  <c:v>97</c:v>
                </c:pt>
                <c:pt idx="578">
                  <c:v>97</c:v>
                </c:pt>
                <c:pt idx="579">
                  <c:v>97</c:v>
                </c:pt>
                <c:pt idx="580">
                  <c:v>97</c:v>
                </c:pt>
                <c:pt idx="581">
                  <c:v>97</c:v>
                </c:pt>
                <c:pt idx="582">
                  <c:v>97</c:v>
                </c:pt>
                <c:pt idx="583">
                  <c:v>97</c:v>
                </c:pt>
                <c:pt idx="584">
                  <c:v>97</c:v>
                </c:pt>
                <c:pt idx="585">
                  <c:v>97</c:v>
                </c:pt>
                <c:pt idx="586">
                  <c:v>97</c:v>
                </c:pt>
                <c:pt idx="587">
                  <c:v>97</c:v>
                </c:pt>
                <c:pt idx="588">
                  <c:v>97</c:v>
                </c:pt>
                <c:pt idx="589">
                  <c:v>97</c:v>
                </c:pt>
                <c:pt idx="590">
                  <c:v>97</c:v>
                </c:pt>
                <c:pt idx="591">
                  <c:v>97</c:v>
                </c:pt>
                <c:pt idx="592">
                  <c:v>97</c:v>
                </c:pt>
                <c:pt idx="593">
                  <c:v>97</c:v>
                </c:pt>
                <c:pt idx="594">
                  <c:v>97</c:v>
                </c:pt>
                <c:pt idx="595">
                  <c:v>97</c:v>
                </c:pt>
                <c:pt idx="596">
                  <c:v>97</c:v>
                </c:pt>
                <c:pt idx="597">
                  <c:v>97</c:v>
                </c:pt>
                <c:pt idx="598">
                  <c:v>97</c:v>
                </c:pt>
                <c:pt idx="599">
                  <c:v>97</c:v>
                </c:pt>
                <c:pt idx="600">
                  <c:v>97</c:v>
                </c:pt>
                <c:pt idx="601">
                  <c:v>97</c:v>
                </c:pt>
                <c:pt idx="602">
                  <c:v>97</c:v>
                </c:pt>
                <c:pt idx="603">
                  <c:v>97</c:v>
                </c:pt>
                <c:pt idx="604">
                  <c:v>97</c:v>
                </c:pt>
                <c:pt idx="605">
                  <c:v>97</c:v>
                </c:pt>
                <c:pt idx="606">
                  <c:v>97</c:v>
                </c:pt>
                <c:pt idx="607">
                  <c:v>97</c:v>
                </c:pt>
                <c:pt idx="608">
                  <c:v>97</c:v>
                </c:pt>
                <c:pt idx="609">
                  <c:v>97</c:v>
                </c:pt>
                <c:pt idx="610">
                  <c:v>97</c:v>
                </c:pt>
                <c:pt idx="611">
                  <c:v>97</c:v>
                </c:pt>
                <c:pt idx="612">
                  <c:v>97</c:v>
                </c:pt>
                <c:pt idx="613">
                  <c:v>97</c:v>
                </c:pt>
                <c:pt idx="614">
                  <c:v>97</c:v>
                </c:pt>
                <c:pt idx="615">
                  <c:v>97</c:v>
                </c:pt>
                <c:pt idx="616">
                  <c:v>97</c:v>
                </c:pt>
                <c:pt idx="617">
                  <c:v>97</c:v>
                </c:pt>
                <c:pt idx="618">
                  <c:v>97</c:v>
                </c:pt>
                <c:pt idx="619">
                  <c:v>97</c:v>
                </c:pt>
                <c:pt idx="620">
                  <c:v>97</c:v>
                </c:pt>
                <c:pt idx="621">
                  <c:v>97</c:v>
                </c:pt>
                <c:pt idx="622">
                  <c:v>97</c:v>
                </c:pt>
                <c:pt idx="623">
                  <c:v>97</c:v>
                </c:pt>
                <c:pt idx="624">
                  <c:v>97</c:v>
                </c:pt>
                <c:pt idx="625">
                  <c:v>97</c:v>
                </c:pt>
                <c:pt idx="626">
                  <c:v>97</c:v>
                </c:pt>
                <c:pt idx="627">
                  <c:v>97</c:v>
                </c:pt>
                <c:pt idx="628">
                  <c:v>97</c:v>
                </c:pt>
                <c:pt idx="629">
                  <c:v>97</c:v>
                </c:pt>
                <c:pt idx="630">
                  <c:v>97</c:v>
                </c:pt>
                <c:pt idx="631">
                  <c:v>97</c:v>
                </c:pt>
                <c:pt idx="632">
                  <c:v>97</c:v>
                </c:pt>
                <c:pt idx="633">
                  <c:v>97</c:v>
                </c:pt>
                <c:pt idx="634">
                  <c:v>97</c:v>
                </c:pt>
                <c:pt idx="635">
                  <c:v>97</c:v>
                </c:pt>
                <c:pt idx="636">
                  <c:v>97</c:v>
                </c:pt>
                <c:pt idx="637">
                  <c:v>97</c:v>
                </c:pt>
                <c:pt idx="638">
                  <c:v>97</c:v>
                </c:pt>
                <c:pt idx="639">
                  <c:v>97</c:v>
                </c:pt>
                <c:pt idx="640">
                  <c:v>97</c:v>
                </c:pt>
                <c:pt idx="641">
                  <c:v>97</c:v>
                </c:pt>
                <c:pt idx="642">
                  <c:v>97</c:v>
                </c:pt>
                <c:pt idx="643">
                  <c:v>97</c:v>
                </c:pt>
                <c:pt idx="644">
                  <c:v>97</c:v>
                </c:pt>
                <c:pt idx="645">
                  <c:v>97</c:v>
                </c:pt>
                <c:pt idx="646">
                  <c:v>97</c:v>
                </c:pt>
                <c:pt idx="647">
                  <c:v>97</c:v>
                </c:pt>
                <c:pt idx="648">
                  <c:v>97</c:v>
                </c:pt>
                <c:pt idx="649">
                  <c:v>97</c:v>
                </c:pt>
                <c:pt idx="650">
                  <c:v>97</c:v>
                </c:pt>
                <c:pt idx="651">
                  <c:v>97</c:v>
                </c:pt>
                <c:pt idx="652">
                  <c:v>97</c:v>
                </c:pt>
                <c:pt idx="653">
                  <c:v>97</c:v>
                </c:pt>
                <c:pt idx="654">
                  <c:v>97</c:v>
                </c:pt>
                <c:pt idx="655">
                  <c:v>97</c:v>
                </c:pt>
                <c:pt idx="656">
                  <c:v>97</c:v>
                </c:pt>
                <c:pt idx="657">
                  <c:v>97</c:v>
                </c:pt>
                <c:pt idx="658">
                  <c:v>97</c:v>
                </c:pt>
                <c:pt idx="659">
                  <c:v>97</c:v>
                </c:pt>
                <c:pt idx="660">
                  <c:v>97</c:v>
                </c:pt>
                <c:pt idx="661">
                  <c:v>97</c:v>
                </c:pt>
                <c:pt idx="662">
                  <c:v>97</c:v>
                </c:pt>
                <c:pt idx="663">
                  <c:v>97</c:v>
                </c:pt>
                <c:pt idx="664">
                  <c:v>97</c:v>
                </c:pt>
                <c:pt idx="665">
                  <c:v>97</c:v>
                </c:pt>
                <c:pt idx="666">
                  <c:v>97</c:v>
                </c:pt>
                <c:pt idx="667">
                  <c:v>97</c:v>
                </c:pt>
                <c:pt idx="668">
                  <c:v>97</c:v>
                </c:pt>
                <c:pt idx="669">
                  <c:v>97</c:v>
                </c:pt>
                <c:pt idx="670">
                  <c:v>97</c:v>
                </c:pt>
                <c:pt idx="671">
                  <c:v>97</c:v>
                </c:pt>
                <c:pt idx="672">
                  <c:v>97</c:v>
                </c:pt>
                <c:pt idx="673">
                  <c:v>97</c:v>
                </c:pt>
                <c:pt idx="674">
                  <c:v>97</c:v>
                </c:pt>
                <c:pt idx="675">
                  <c:v>97</c:v>
                </c:pt>
                <c:pt idx="676">
                  <c:v>97</c:v>
                </c:pt>
                <c:pt idx="677">
                  <c:v>97</c:v>
                </c:pt>
                <c:pt idx="678">
                  <c:v>97</c:v>
                </c:pt>
                <c:pt idx="679">
                  <c:v>97</c:v>
                </c:pt>
                <c:pt idx="680">
                  <c:v>97</c:v>
                </c:pt>
                <c:pt idx="681">
                  <c:v>97</c:v>
                </c:pt>
                <c:pt idx="682">
                  <c:v>97</c:v>
                </c:pt>
                <c:pt idx="683">
                  <c:v>97</c:v>
                </c:pt>
                <c:pt idx="684">
                  <c:v>97</c:v>
                </c:pt>
                <c:pt idx="685">
                  <c:v>97</c:v>
                </c:pt>
                <c:pt idx="686">
                  <c:v>97</c:v>
                </c:pt>
                <c:pt idx="687">
                  <c:v>97</c:v>
                </c:pt>
                <c:pt idx="688">
                  <c:v>97</c:v>
                </c:pt>
                <c:pt idx="689">
                  <c:v>97</c:v>
                </c:pt>
                <c:pt idx="690">
                  <c:v>97</c:v>
                </c:pt>
                <c:pt idx="691">
                  <c:v>97</c:v>
                </c:pt>
                <c:pt idx="692">
                  <c:v>97</c:v>
                </c:pt>
                <c:pt idx="693">
                  <c:v>97</c:v>
                </c:pt>
                <c:pt idx="694">
                  <c:v>97</c:v>
                </c:pt>
                <c:pt idx="695">
                  <c:v>97</c:v>
                </c:pt>
                <c:pt idx="696">
                  <c:v>97</c:v>
                </c:pt>
                <c:pt idx="697">
                  <c:v>97</c:v>
                </c:pt>
                <c:pt idx="698">
                  <c:v>97</c:v>
                </c:pt>
                <c:pt idx="699">
                  <c:v>97</c:v>
                </c:pt>
                <c:pt idx="700">
                  <c:v>97</c:v>
                </c:pt>
                <c:pt idx="701">
                  <c:v>97</c:v>
                </c:pt>
                <c:pt idx="702">
                  <c:v>97</c:v>
                </c:pt>
                <c:pt idx="703">
                  <c:v>97</c:v>
                </c:pt>
                <c:pt idx="704">
                  <c:v>97</c:v>
                </c:pt>
                <c:pt idx="705">
                  <c:v>97</c:v>
                </c:pt>
                <c:pt idx="706">
                  <c:v>97</c:v>
                </c:pt>
                <c:pt idx="707">
                  <c:v>97</c:v>
                </c:pt>
                <c:pt idx="708">
                  <c:v>97</c:v>
                </c:pt>
                <c:pt idx="709">
                  <c:v>97</c:v>
                </c:pt>
                <c:pt idx="710">
                  <c:v>97</c:v>
                </c:pt>
                <c:pt idx="711">
                  <c:v>97</c:v>
                </c:pt>
                <c:pt idx="712">
                  <c:v>97</c:v>
                </c:pt>
                <c:pt idx="713">
                  <c:v>97</c:v>
                </c:pt>
                <c:pt idx="714">
                  <c:v>97</c:v>
                </c:pt>
                <c:pt idx="715">
                  <c:v>97</c:v>
                </c:pt>
                <c:pt idx="716">
                  <c:v>97</c:v>
                </c:pt>
                <c:pt idx="717">
                  <c:v>97</c:v>
                </c:pt>
                <c:pt idx="718">
                  <c:v>97</c:v>
                </c:pt>
                <c:pt idx="719">
                  <c:v>97</c:v>
                </c:pt>
                <c:pt idx="720">
                  <c:v>97</c:v>
                </c:pt>
                <c:pt idx="721">
                  <c:v>97</c:v>
                </c:pt>
                <c:pt idx="722">
                  <c:v>97</c:v>
                </c:pt>
                <c:pt idx="723">
                  <c:v>97</c:v>
                </c:pt>
                <c:pt idx="724">
                  <c:v>97</c:v>
                </c:pt>
                <c:pt idx="725">
                  <c:v>97</c:v>
                </c:pt>
                <c:pt idx="726">
                  <c:v>97</c:v>
                </c:pt>
                <c:pt idx="727">
                  <c:v>97</c:v>
                </c:pt>
                <c:pt idx="728">
                  <c:v>97</c:v>
                </c:pt>
                <c:pt idx="729">
                  <c:v>97</c:v>
                </c:pt>
                <c:pt idx="730">
                  <c:v>97</c:v>
                </c:pt>
                <c:pt idx="731">
                  <c:v>97</c:v>
                </c:pt>
                <c:pt idx="732">
                  <c:v>97</c:v>
                </c:pt>
                <c:pt idx="733">
                  <c:v>97</c:v>
                </c:pt>
                <c:pt idx="734">
                  <c:v>97</c:v>
                </c:pt>
                <c:pt idx="735">
                  <c:v>97</c:v>
                </c:pt>
                <c:pt idx="736">
                  <c:v>97</c:v>
                </c:pt>
                <c:pt idx="737">
                  <c:v>97</c:v>
                </c:pt>
                <c:pt idx="738">
                  <c:v>97</c:v>
                </c:pt>
                <c:pt idx="739">
                  <c:v>97</c:v>
                </c:pt>
                <c:pt idx="740">
                  <c:v>97</c:v>
                </c:pt>
                <c:pt idx="741">
                  <c:v>97</c:v>
                </c:pt>
                <c:pt idx="742">
                  <c:v>97</c:v>
                </c:pt>
                <c:pt idx="743">
                  <c:v>97</c:v>
                </c:pt>
                <c:pt idx="744">
                  <c:v>97</c:v>
                </c:pt>
                <c:pt idx="745">
                  <c:v>97</c:v>
                </c:pt>
                <c:pt idx="746">
                  <c:v>97</c:v>
                </c:pt>
                <c:pt idx="747">
                  <c:v>97</c:v>
                </c:pt>
                <c:pt idx="748">
                  <c:v>97</c:v>
                </c:pt>
                <c:pt idx="749">
                  <c:v>97</c:v>
                </c:pt>
                <c:pt idx="750">
                  <c:v>97</c:v>
                </c:pt>
                <c:pt idx="751">
                  <c:v>97</c:v>
                </c:pt>
                <c:pt idx="752">
                  <c:v>97</c:v>
                </c:pt>
                <c:pt idx="753">
                  <c:v>97</c:v>
                </c:pt>
                <c:pt idx="754">
                  <c:v>97</c:v>
                </c:pt>
                <c:pt idx="755">
                  <c:v>97</c:v>
                </c:pt>
                <c:pt idx="756">
                  <c:v>97</c:v>
                </c:pt>
                <c:pt idx="757">
                  <c:v>97</c:v>
                </c:pt>
                <c:pt idx="758">
                  <c:v>97</c:v>
                </c:pt>
                <c:pt idx="759">
                  <c:v>97</c:v>
                </c:pt>
                <c:pt idx="760">
                  <c:v>97</c:v>
                </c:pt>
                <c:pt idx="761">
                  <c:v>97</c:v>
                </c:pt>
                <c:pt idx="762">
                  <c:v>97</c:v>
                </c:pt>
                <c:pt idx="763">
                  <c:v>97</c:v>
                </c:pt>
                <c:pt idx="764">
                  <c:v>97</c:v>
                </c:pt>
                <c:pt idx="765">
                  <c:v>97</c:v>
                </c:pt>
                <c:pt idx="766">
                  <c:v>97</c:v>
                </c:pt>
                <c:pt idx="767">
                  <c:v>97</c:v>
                </c:pt>
                <c:pt idx="768">
                  <c:v>97</c:v>
                </c:pt>
                <c:pt idx="769">
                  <c:v>97</c:v>
                </c:pt>
                <c:pt idx="770">
                  <c:v>97</c:v>
                </c:pt>
                <c:pt idx="771">
                  <c:v>97</c:v>
                </c:pt>
                <c:pt idx="772">
                  <c:v>97</c:v>
                </c:pt>
                <c:pt idx="773">
                  <c:v>97</c:v>
                </c:pt>
                <c:pt idx="774">
                  <c:v>97</c:v>
                </c:pt>
                <c:pt idx="775">
                  <c:v>97</c:v>
                </c:pt>
                <c:pt idx="776">
                  <c:v>97</c:v>
                </c:pt>
                <c:pt idx="777">
                  <c:v>97</c:v>
                </c:pt>
                <c:pt idx="778">
                  <c:v>97</c:v>
                </c:pt>
                <c:pt idx="779">
                  <c:v>97</c:v>
                </c:pt>
                <c:pt idx="780">
                  <c:v>97</c:v>
                </c:pt>
                <c:pt idx="781">
                  <c:v>97</c:v>
                </c:pt>
                <c:pt idx="782">
                  <c:v>97</c:v>
                </c:pt>
                <c:pt idx="783">
                  <c:v>97</c:v>
                </c:pt>
                <c:pt idx="784">
                  <c:v>97</c:v>
                </c:pt>
                <c:pt idx="785">
                  <c:v>97</c:v>
                </c:pt>
                <c:pt idx="786">
                  <c:v>97</c:v>
                </c:pt>
                <c:pt idx="787">
                  <c:v>97</c:v>
                </c:pt>
                <c:pt idx="788">
                  <c:v>97</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ser>
          <c:idx val="1"/>
          <c:order val="1"/>
          <c:tx>
            <c:strRef>
              <c:f>Calculations!$U$1</c:f>
              <c:strCache>
                <c:ptCount val="1"/>
                <c:pt idx="0">
                  <c:v>Высота Солнца над горизонтом (градус) / Height of the Sun above the horizon [degrees]</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Calculations!$U$2:$U$1302</c:f>
              <c:numCache>
                <c:formatCode>0</c:formatCode>
                <c:ptCount val="1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0.40617411763716849</c:v>
                </c:pt>
                <c:pt idx="97">
                  <c:v>0.85367516476813154</c:v>
                </c:pt>
                <c:pt idx="98">
                  <c:v>1.2998526739723015</c:v>
                </c:pt>
                <c:pt idx="99">
                  <c:v>1.7446301950303411</c:v>
                </c:pt>
                <c:pt idx="100">
                  <c:v>2.1879315176038006</c:v>
                </c:pt>
                <c:pt idx="101">
                  <c:v>2.6296806842931879</c:v>
                </c:pt>
                <c:pt idx="102">
                  <c:v>3.0698020036528835</c:v>
                </c:pt>
                <c:pt idx="103">
                  <c:v>3.5082200631605804</c:v>
                </c:pt>
                <c:pt idx="104">
                  <c:v>3.9448597421387284</c:v>
                </c:pt>
                <c:pt idx="105">
                  <c:v>4.379646224626228</c:v>
                </c:pt>
                <c:pt idx="106">
                  <c:v>4.8125050121975708</c:v>
                </c:pt>
                <c:pt idx="107">
                  <c:v>5.2433619367278315</c:v>
                </c:pt>
                <c:pt idx="108">
                  <c:v>5.6721431731010892</c:v>
                </c:pt>
                <c:pt idx="109">
                  <c:v>6.0987752518598519</c:v>
                </c:pt>
                <c:pt idx="110">
                  <c:v>6.5231850717937139</c:v>
                </c:pt>
                <c:pt idx="111">
                  <c:v>6.9452999124649288</c:v>
                </c:pt>
                <c:pt idx="112">
                  <c:v>7.3650474466685711</c:v>
                </c:pt>
                <c:pt idx="113">
                  <c:v>7.7823557528255645</c:v>
                </c:pt>
                <c:pt idx="114">
                  <c:v>8.1971533273059141</c:v>
                </c:pt>
                <c:pt idx="115">
                  <c:v>8.6093690966806182</c:v>
                </c:pt>
                <c:pt idx="116">
                  <c:v>9.0189324298996976</c:v>
                </c:pt>
                <c:pt idx="117">
                  <c:v>9.4257731503944626</c:v>
                </c:pt>
                <c:pt idx="118">
                  <c:v>9.8298215481018758</c:v>
                </c:pt>
                <c:pt idx="119">
                  <c:v>10.231008391408995</c:v>
                </c:pt>
                <c:pt idx="120">
                  <c:v>10.62926493901556</c:v>
                </c:pt>
                <c:pt idx="121">
                  <c:v>11.024522951712402</c:v>
                </c:pt>
                <c:pt idx="122">
                  <c:v>11.416714704073776</c:v>
                </c:pt>
                <c:pt idx="123">
                  <c:v>11.805772996061975</c:v>
                </c:pt>
                <c:pt idx="124">
                  <c:v>12.191631164541509</c:v>
                </c:pt>
                <c:pt idx="125">
                  <c:v>12.57422309470164</c:v>
                </c:pt>
                <c:pt idx="126">
                  <c:v>12.95348323138473</c:v>
                </c:pt>
                <c:pt idx="127">
                  <c:v>13.329346590318735</c:v>
                </c:pt>
                <c:pt idx="128">
                  <c:v>13.70174876925212</c:v>
                </c:pt>
                <c:pt idx="129">
                  <c:v>14.070625958988632</c:v>
                </c:pt>
                <c:pt idx="130">
                  <c:v>14.435914954320786</c:v>
                </c:pt>
                <c:pt idx="131">
                  <c:v>14.797553164859757</c:v>
                </c:pt>
                <c:pt idx="132">
                  <c:v>15.155478625759859</c:v>
                </c:pt>
                <c:pt idx="133">
                  <c:v>15.509630008336028</c:v>
                </c:pt>
                <c:pt idx="134">
                  <c:v>15.859946630571997</c:v>
                </c:pt>
                <c:pt idx="135">
                  <c:v>16.206368467517983</c:v>
                </c:pt>
                <c:pt idx="136">
                  <c:v>16.548836161575597</c:v>
                </c:pt>
                <c:pt idx="137">
                  <c:v>16.887291032668525</c:v>
                </c:pt>
                <c:pt idx="138">
                  <c:v>17.221675088296966</c:v>
                </c:pt>
                <c:pt idx="139">
                  <c:v>17.551931033474364</c:v>
                </c:pt>
                <c:pt idx="140">
                  <c:v>17.878002280544724</c:v>
                </c:pt>
                <c:pt idx="141">
                  <c:v>18.199832958878467</c:v>
                </c:pt>
                <c:pt idx="142">
                  <c:v>18.517367924445637</c:v>
                </c:pt>
                <c:pt idx="143">
                  <c:v>18.830552769264568</c:v>
                </c:pt>
                <c:pt idx="144">
                  <c:v>19.139333830724354</c:v>
                </c:pt>
                <c:pt idx="145">
                  <c:v>19.443658200779776</c:v>
                </c:pt>
                <c:pt idx="146">
                  <c:v>19.743473735016668</c:v>
                </c:pt>
                <c:pt idx="147">
                  <c:v>20.03872906158665</c:v>
                </c:pt>
                <c:pt idx="148">
                  <c:v>20.329373590009549</c:v>
                </c:pt>
                <c:pt idx="149">
                  <c:v>20.615357519841645</c:v>
                </c:pt>
                <c:pt idx="150">
                  <c:v>20.896631849208806</c:v>
                </c:pt>
                <c:pt idx="151">
                  <c:v>21.173148383202705</c:v>
                </c:pt>
                <c:pt idx="152">
                  <c:v>21.444859742138739</c:v>
                </c:pt>
                <c:pt idx="153">
                  <c:v>21.711719369674331</c:v>
                </c:pt>
                <c:pt idx="154">
                  <c:v>21.973681540786117</c:v>
                </c:pt>
                <c:pt idx="155">
                  <c:v>22.23070136960466</c:v>
                </c:pt>
                <c:pt idx="156">
                  <c:v>22.482734817105417</c:v>
                </c:pt>
                <c:pt idx="157">
                  <c:v>22.729738698654646</c:v>
                </c:pt>
                <c:pt idx="158">
                  <c:v>22.971670691408814</c:v>
                </c:pt>
                <c:pt idx="159">
                  <c:v>23.208489341566416</c:v>
                </c:pt>
                <c:pt idx="160">
                  <c:v>23.440154071470928</c:v>
                </c:pt>
                <c:pt idx="161">
                  <c:v>23.666625186563476</c:v>
                </c:pt>
                <c:pt idx="162">
                  <c:v>23.887863882184384</c:v>
                </c:pt>
                <c:pt idx="163">
                  <c:v>24.103832250222066</c:v>
                </c:pt>
                <c:pt idx="164">
                  <c:v>24.314493285608478</c:v>
                </c:pt>
                <c:pt idx="165">
                  <c:v>24.519810892659695</c:v>
                </c:pt>
                <c:pt idx="166">
                  <c:v>24.719749891260733</c:v>
                </c:pt>
                <c:pt idx="167">
                  <c:v>24.914276022893457</c:v>
                </c:pt>
                <c:pt idx="168">
                  <c:v>25.103355956506643</c:v>
                </c:pt>
                <c:pt idx="169">
                  <c:v>25.286957294227058</c:v>
                </c:pt>
                <c:pt idx="170">
                  <c:v>25.465048576910661</c:v>
                </c:pt>
                <c:pt idx="171">
                  <c:v>25.637599289532986</c:v>
                </c:pt>
                <c:pt idx="172">
                  <c:v>25.804579866417697</c:v>
                </c:pt>
                <c:pt idx="173">
                  <c:v>25.965961696302585</c:v>
                </c:pt>
                <c:pt idx="174">
                  <c:v>26.121717127241887</c:v>
                </c:pt>
                <c:pt idx="175">
                  <c:v>26.271819471344344</c:v>
                </c:pt>
                <c:pt idx="176">
                  <c:v>26.416243009346019</c:v>
                </c:pt>
                <c:pt idx="177">
                  <c:v>26.554962995017185</c:v>
                </c:pt>
                <c:pt idx="178">
                  <c:v>26.687955659402412</c:v>
                </c:pt>
                <c:pt idx="179">
                  <c:v>26.815198214893314</c:v>
                </c:pt>
                <c:pt idx="180">
                  <c:v>26.93666885913305</c:v>
                </c:pt>
                <c:pt idx="181">
                  <c:v>27.052346778752067</c:v>
                </c:pt>
                <c:pt idx="182">
                  <c:v>27.162212152934337</c:v>
                </c:pt>
                <c:pt idx="183">
                  <c:v>27.266246156813608</c:v>
                </c:pt>
                <c:pt idx="184">
                  <c:v>27.364430964698862</c:v>
                </c:pt>
                <c:pt idx="185">
                  <c:v>27.456749753128733</c:v>
                </c:pt>
                <c:pt idx="186">
                  <c:v>27.543186703754081</c:v>
                </c:pt>
                <c:pt idx="187">
                  <c:v>27.623727006048391</c:v>
                </c:pt>
                <c:pt idx="188">
                  <c:v>27.698356859845497</c:v>
                </c:pt>
                <c:pt idx="189">
                  <c:v>27.767063477704134</c:v>
                </c:pt>
                <c:pt idx="190">
                  <c:v>27.829835087099042</c:v>
                </c:pt>
                <c:pt idx="191">
                  <c:v>27.886660932438097</c:v>
                </c:pt>
                <c:pt idx="192">
                  <c:v>27.937531276905247</c:v>
                </c:pt>
                <c:pt idx="193">
                  <c:v>27.982437404128845</c:v>
                </c:pt>
                <c:pt idx="194">
                  <c:v>28.021371619675158</c:v>
                </c:pt>
                <c:pt idx="195">
                  <c:v>28.054327252366804</c:v>
                </c:pt>
                <c:pt idx="196">
                  <c:v>28.081298655425762</c:v>
                </c:pt>
                <c:pt idx="197">
                  <c:v>28.102281207440981</c:v>
                </c:pt>
                <c:pt idx="198">
                  <c:v>28.117271313160188</c:v>
                </c:pt>
                <c:pt idx="199">
                  <c:v>28.12626640410592</c:v>
                </c:pt>
                <c:pt idx="200">
                  <c:v>28.129264939015677</c:v>
                </c:pt>
                <c:pt idx="201">
                  <c:v>28.12626640410592</c:v>
                </c:pt>
                <c:pt idx="202">
                  <c:v>28.117271313160181</c:v>
                </c:pt>
                <c:pt idx="203">
                  <c:v>28.102281207440981</c:v>
                </c:pt>
                <c:pt idx="204">
                  <c:v>28.081298655425755</c:v>
                </c:pt>
                <c:pt idx="205">
                  <c:v>28.054327252366797</c:v>
                </c:pt>
                <c:pt idx="206">
                  <c:v>28.021371619675151</c:v>
                </c:pt>
                <c:pt idx="207">
                  <c:v>27.982437404128824</c:v>
                </c:pt>
                <c:pt idx="208">
                  <c:v>27.937531276905233</c:v>
                </c:pt>
                <c:pt idx="209">
                  <c:v>27.886660932438083</c:v>
                </c:pt>
                <c:pt idx="210">
                  <c:v>27.829835087099021</c:v>
                </c:pt>
                <c:pt idx="211">
                  <c:v>27.767063477704113</c:v>
                </c:pt>
                <c:pt idx="212">
                  <c:v>27.698356859845475</c:v>
                </c:pt>
                <c:pt idx="213">
                  <c:v>27.62372700604837</c:v>
                </c:pt>
                <c:pt idx="214">
                  <c:v>27.543186703754067</c:v>
                </c:pt>
                <c:pt idx="215">
                  <c:v>27.456749753128712</c:v>
                </c:pt>
                <c:pt idx="216">
                  <c:v>27.36443096469884</c:v>
                </c:pt>
                <c:pt idx="217">
                  <c:v>27.266246156813587</c:v>
                </c:pt>
                <c:pt idx="218">
                  <c:v>27.162212152934323</c:v>
                </c:pt>
                <c:pt idx="219">
                  <c:v>27.052346778752039</c:v>
                </c:pt>
                <c:pt idx="220">
                  <c:v>26.936668859133015</c:v>
                </c:pt>
                <c:pt idx="221">
                  <c:v>26.815198214893279</c:v>
                </c:pt>
                <c:pt idx="222">
                  <c:v>26.687955659402377</c:v>
                </c:pt>
                <c:pt idx="223">
                  <c:v>26.554962995017149</c:v>
                </c:pt>
                <c:pt idx="224">
                  <c:v>26.41624300934599</c:v>
                </c:pt>
                <c:pt idx="225">
                  <c:v>26.271819471344301</c:v>
                </c:pt>
                <c:pt idx="226">
                  <c:v>26.121717127241837</c:v>
                </c:pt>
                <c:pt idx="227">
                  <c:v>25.965961696302536</c:v>
                </c:pt>
                <c:pt idx="228">
                  <c:v>25.804579866417647</c:v>
                </c:pt>
                <c:pt idx="229">
                  <c:v>25.637599289532929</c:v>
                </c:pt>
                <c:pt idx="230">
                  <c:v>25.465048576910604</c:v>
                </c:pt>
                <c:pt idx="231">
                  <c:v>25.286957294227015</c:v>
                </c:pt>
                <c:pt idx="232">
                  <c:v>25.103355956506601</c:v>
                </c:pt>
                <c:pt idx="233">
                  <c:v>24.914276022893411</c:v>
                </c:pt>
                <c:pt idx="234">
                  <c:v>24.719749891260683</c:v>
                </c:pt>
                <c:pt idx="235">
                  <c:v>24.519810892659649</c:v>
                </c:pt>
                <c:pt idx="236">
                  <c:v>24.314493285608414</c:v>
                </c:pt>
                <c:pt idx="237">
                  <c:v>24.103832250221998</c:v>
                </c:pt>
                <c:pt idx="238">
                  <c:v>23.887863882184316</c:v>
                </c:pt>
                <c:pt idx="239">
                  <c:v>23.666625186563422</c:v>
                </c:pt>
                <c:pt idx="240">
                  <c:v>23.440154071470872</c:v>
                </c:pt>
                <c:pt idx="241">
                  <c:v>23.208489341566342</c:v>
                </c:pt>
                <c:pt idx="242">
                  <c:v>22.971670691408722</c:v>
                </c:pt>
                <c:pt idx="243">
                  <c:v>22.729738698654554</c:v>
                </c:pt>
                <c:pt idx="244">
                  <c:v>22.482734817105325</c:v>
                </c:pt>
                <c:pt idx="245">
                  <c:v>22.23070136960456</c:v>
                </c:pt>
                <c:pt idx="246">
                  <c:v>21.973681540786039</c:v>
                </c:pt>
                <c:pt idx="247">
                  <c:v>21.71171936967421</c:v>
                </c:pt>
                <c:pt idx="248">
                  <c:v>21.444859742138618</c:v>
                </c:pt>
                <c:pt idx="249">
                  <c:v>21.17314838320258</c:v>
                </c:pt>
                <c:pt idx="250">
                  <c:v>20.896631849208681</c:v>
                </c:pt>
                <c:pt idx="251">
                  <c:v>20.615357519841517</c:v>
                </c:pt>
                <c:pt idx="252">
                  <c:v>20.329373590009403</c:v>
                </c:pt>
                <c:pt idx="253">
                  <c:v>20.038729061586498</c:v>
                </c:pt>
                <c:pt idx="254">
                  <c:v>19.74347373501649</c:v>
                </c:pt>
                <c:pt idx="255">
                  <c:v>19.443658200779613</c:v>
                </c:pt>
                <c:pt idx="256">
                  <c:v>19.139333830724194</c:v>
                </c:pt>
                <c:pt idx="257">
                  <c:v>18.830552769264365</c:v>
                </c:pt>
                <c:pt idx="258">
                  <c:v>18.517367924445434</c:v>
                </c:pt>
                <c:pt idx="259">
                  <c:v>18.199832958878257</c:v>
                </c:pt>
                <c:pt idx="260">
                  <c:v>17.878002280544514</c:v>
                </c:pt>
                <c:pt idx="261">
                  <c:v>17.551931033474151</c:v>
                </c:pt>
                <c:pt idx="262">
                  <c:v>17.221675088296706</c:v>
                </c:pt>
                <c:pt idx="263">
                  <c:v>16.887291032668273</c:v>
                </c:pt>
                <c:pt idx="264">
                  <c:v>16.548836161575366</c:v>
                </c:pt>
                <c:pt idx="265">
                  <c:v>16.206368467517734</c:v>
                </c:pt>
                <c:pt idx="266">
                  <c:v>15.859946630571745</c:v>
                </c:pt>
                <c:pt idx="267">
                  <c:v>15.509630008335776</c:v>
                </c:pt>
                <c:pt idx="268">
                  <c:v>15.155478625759589</c:v>
                </c:pt>
                <c:pt idx="269">
                  <c:v>14.797553164859462</c:v>
                </c:pt>
                <c:pt idx="270">
                  <c:v>14.435914954320491</c:v>
                </c:pt>
                <c:pt idx="271">
                  <c:v>14.070625958988327</c:v>
                </c:pt>
                <c:pt idx="272">
                  <c:v>13.701748769251818</c:v>
                </c:pt>
                <c:pt idx="273">
                  <c:v>13.329346590318405</c:v>
                </c:pt>
                <c:pt idx="274">
                  <c:v>12.953483231384368</c:v>
                </c:pt>
                <c:pt idx="275">
                  <c:v>12.574223094701292</c:v>
                </c:pt>
                <c:pt idx="276">
                  <c:v>12.191631164541153</c:v>
                </c:pt>
                <c:pt idx="277">
                  <c:v>11.805772996061602</c:v>
                </c:pt>
                <c:pt idx="278">
                  <c:v>11.416714704073403</c:v>
                </c:pt>
                <c:pt idx="279">
                  <c:v>11.024522951711987</c:v>
                </c:pt>
                <c:pt idx="280">
                  <c:v>10.629264939015183</c:v>
                </c:pt>
                <c:pt idx="281">
                  <c:v>10.231008391408601</c:v>
                </c:pt>
                <c:pt idx="282">
                  <c:v>9.8298215481014637</c:v>
                </c:pt>
                <c:pt idx="283">
                  <c:v>9.4257731503940647</c:v>
                </c:pt>
                <c:pt idx="284">
                  <c:v>9.0189324298992677</c:v>
                </c:pt>
                <c:pt idx="285">
                  <c:v>8.6093690966801688</c:v>
                </c:pt>
                <c:pt idx="286">
                  <c:v>8.1971533273054487</c:v>
                </c:pt>
                <c:pt idx="287">
                  <c:v>7.7823557528250955</c:v>
                </c:pt>
                <c:pt idx="288">
                  <c:v>7.3650474466681146</c:v>
                </c:pt>
                <c:pt idx="289">
                  <c:v>6.9452999124644261</c:v>
                </c:pt>
                <c:pt idx="290">
                  <c:v>6.5231850717932094</c:v>
                </c:pt>
                <c:pt idx="291">
                  <c:v>6.0987752518593279</c:v>
                </c:pt>
                <c:pt idx="292">
                  <c:v>5.6721431731005651</c:v>
                </c:pt>
                <c:pt idx="293">
                  <c:v>5.2433619367273057</c:v>
                </c:pt>
                <c:pt idx="294">
                  <c:v>4.812505012196997</c:v>
                </c:pt>
                <c:pt idx="295">
                  <c:v>4.3796462246256667</c:v>
                </c:pt>
                <c:pt idx="296">
                  <c:v>3.9448597421381937</c:v>
                </c:pt>
                <c:pt idx="297">
                  <c:v>3.508220063160012</c:v>
                </c:pt>
                <c:pt idx="298">
                  <c:v>3.069802003652315</c:v>
                </c:pt>
                <c:pt idx="299">
                  <c:v>2.6296806842926177</c:v>
                </c:pt>
                <c:pt idx="300">
                  <c:v>2.1879315176032108</c:v>
                </c:pt>
                <c:pt idx="301">
                  <c:v>1.7446301950297354</c:v>
                </c:pt>
                <c:pt idx="302">
                  <c:v>1.2998526739716638</c:v>
                </c:pt>
                <c:pt idx="303">
                  <c:v>0.85367516476750804</c:v>
                </c:pt>
                <c:pt idx="304">
                  <c:v>0.40617411763654143</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0.4061741176397069</c:v>
                </c:pt>
                <c:pt idx="577">
                  <c:v>0.85367516477066374</c:v>
                </c:pt>
                <c:pt idx="578">
                  <c:v>1.2998526739748257</c:v>
                </c:pt>
                <c:pt idx="579">
                  <c:v>1.7446301950328866</c:v>
                </c:pt>
                <c:pt idx="580">
                  <c:v>2.1879315176063514</c:v>
                </c:pt>
                <c:pt idx="581">
                  <c:v>2.6296806842957317</c:v>
                </c:pt>
                <c:pt idx="582">
                  <c:v>3.0698020036554183</c:v>
                </c:pt>
                <c:pt idx="583">
                  <c:v>3.5082200631631011</c:v>
                </c:pt>
                <c:pt idx="584">
                  <c:v>3.9448597421412721</c:v>
                </c:pt>
                <c:pt idx="585">
                  <c:v>4.3796462246287593</c:v>
                </c:pt>
                <c:pt idx="586">
                  <c:v>4.8125050122000772</c:v>
                </c:pt>
                <c:pt idx="587">
                  <c:v>5.2433619367303557</c:v>
                </c:pt>
                <c:pt idx="588">
                  <c:v>5.6721431731036009</c:v>
                </c:pt>
                <c:pt idx="589">
                  <c:v>6.0987752518623637</c:v>
                </c:pt>
                <c:pt idx="590">
                  <c:v>6.5231850717962256</c:v>
                </c:pt>
                <c:pt idx="591">
                  <c:v>6.9452999124674282</c:v>
                </c:pt>
                <c:pt idx="592">
                  <c:v>7.3650474466710829</c:v>
                </c:pt>
                <c:pt idx="593">
                  <c:v>7.7823557528280336</c:v>
                </c:pt>
                <c:pt idx="594">
                  <c:v>8.1971533273083832</c:v>
                </c:pt>
                <c:pt idx="595">
                  <c:v>8.6093690966830856</c:v>
                </c:pt>
                <c:pt idx="596">
                  <c:v>9.0189324299021632</c:v>
                </c:pt>
                <c:pt idx="597">
                  <c:v>9.4257731503969246</c:v>
                </c:pt>
                <c:pt idx="598">
                  <c:v>9.8298215481043059</c:v>
                </c:pt>
                <c:pt idx="599">
                  <c:v>10.231008391411422</c:v>
                </c:pt>
                <c:pt idx="600">
                  <c:v>10.629264939017997</c:v>
                </c:pt>
                <c:pt idx="601">
                  <c:v>11.024522951714829</c:v>
                </c:pt>
                <c:pt idx="602">
                  <c:v>11.416714704076163</c:v>
                </c:pt>
                <c:pt idx="603">
                  <c:v>11.805772996064324</c:v>
                </c:pt>
                <c:pt idx="604">
                  <c:v>12.191631164543878</c:v>
                </c:pt>
                <c:pt idx="605">
                  <c:v>12.574223094704031</c:v>
                </c:pt>
                <c:pt idx="606">
                  <c:v>12.953483231387061</c:v>
                </c:pt>
                <c:pt idx="607">
                  <c:v>13.32934659032103</c:v>
                </c:pt>
                <c:pt idx="608">
                  <c:v>13.701748769254444</c:v>
                </c:pt>
                <c:pt idx="609">
                  <c:v>14.070625958990959</c:v>
                </c:pt>
                <c:pt idx="610">
                  <c:v>14.435914954323067</c:v>
                </c:pt>
                <c:pt idx="611">
                  <c:v>14.797553164861991</c:v>
                </c:pt>
                <c:pt idx="612">
                  <c:v>15.155478625762118</c:v>
                </c:pt>
                <c:pt idx="613">
                  <c:v>15.509630008338277</c:v>
                </c:pt>
                <c:pt idx="614">
                  <c:v>15.859946630574203</c:v>
                </c:pt>
                <c:pt idx="615">
                  <c:v>16.206368467520154</c:v>
                </c:pt>
                <c:pt idx="616">
                  <c:v>16.548836161577782</c:v>
                </c:pt>
                <c:pt idx="617">
                  <c:v>16.887291032670706</c:v>
                </c:pt>
                <c:pt idx="618">
                  <c:v>17.221675088299076</c:v>
                </c:pt>
                <c:pt idx="619">
                  <c:v>17.551931033476457</c:v>
                </c:pt>
                <c:pt idx="620">
                  <c:v>17.878002280546816</c:v>
                </c:pt>
                <c:pt idx="621">
                  <c:v>18.199832958880556</c:v>
                </c:pt>
                <c:pt idx="622">
                  <c:v>18.517367924447679</c:v>
                </c:pt>
                <c:pt idx="623">
                  <c:v>18.830552769266554</c:v>
                </c:pt>
                <c:pt idx="624">
                  <c:v>19.139333830726372</c:v>
                </c:pt>
                <c:pt idx="625">
                  <c:v>19.443658200781776</c:v>
                </c:pt>
                <c:pt idx="626">
                  <c:v>19.743473735018604</c:v>
                </c:pt>
                <c:pt idx="627">
                  <c:v>20.038729061588558</c:v>
                </c:pt>
                <c:pt idx="628">
                  <c:v>20.329373590011446</c:v>
                </c:pt>
                <c:pt idx="629">
                  <c:v>20.615357519843531</c:v>
                </c:pt>
                <c:pt idx="630">
                  <c:v>20.896631849210642</c:v>
                </c:pt>
                <c:pt idx="631">
                  <c:v>21.173148383204506</c:v>
                </c:pt>
                <c:pt idx="632">
                  <c:v>21.444859742140533</c:v>
                </c:pt>
                <c:pt idx="633">
                  <c:v>21.711719369676125</c:v>
                </c:pt>
                <c:pt idx="634">
                  <c:v>21.973681540787862</c:v>
                </c:pt>
                <c:pt idx="635">
                  <c:v>22.230701369606351</c:v>
                </c:pt>
                <c:pt idx="636">
                  <c:v>22.482734817107097</c:v>
                </c:pt>
                <c:pt idx="637">
                  <c:v>22.72973869865632</c:v>
                </c:pt>
                <c:pt idx="638">
                  <c:v>22.97167069141042</c:v>
                </c:pt>
                <c:pt idx="639">
                  <c:v>23.20848934156799</c:v>
                </c:pt>
                <c:pt idx="640">
                  <c:v>23.440154071472495</c:v>
                </c:pt>
                <c:pt idx="641">
                  <c:v>23.666625186564996</c:v>
                </c:pt>
                <c:pt idx="642">
                  <c:v>23.88786388218584</c:v>
                </c:pt>
                <c:pt idx="643">
                  <c:v>24.103832250223473</c:v>
                </c:pt>
                <c:pt idx="644">
                  <c:v>24.314493285609835</c:v>
                </c:pt>
                <c:pt idx="645">
                  <c:v>24.519810892661006</c:v>
                </c:pt>
                <c:pt idx="646">
                  <c:v>24.719749891261987</c:v>
                </c:pt>
                <c:pt idx="647">
                  <c:v>24.914276022894668</c:v>
                </c:pt>
                <c:pt idx="648">
                  <c:v>25.103355956507812</c:v>
                </c:pt>
                <c:pt idx="649">
                  <c:v>25.286957294228174</c:v>
                </c:pt>
                <c:pt idx="650">
                  <c:v>25.465048576911741</c:v>
                </c:pt>
                <c:pt idx="651">
                  <c:v>25.637599289533995</c:v>
                </c:pt>
                <c:pt idx="652">
                  <c:v>25.804579866418678</c:v>
                </c:pt>
                <c:pt idx="653">
                  <c:v>25.965961696303523</c:v>
                </c:pt>
                <c:pt idx="654">
                  <c:v>26.121717127242775</c:v>
                </c:pt>
                <c:pt idx="655">
                  <c:v>26.271819471345189</c:v>
                </c:pt>
                <c:pt idx="656">
                  <c:v>26.416243009346829</c:v>
                </c:pt>
                <c:pt idx="657">
                  <c:v>26.554962995017945</c:v>
                </c:pt>
                <c:pt idx="658">
                  <c:v>26.68795565940313</c:v>
                </c:pt>
                <c:pt idx="659">
                  <c:v>26.815198214893989</c:v>
                </c:pt>
                <c:pt idx="660">
                  <c:v>26.936668859133682</c:v>
                </c:pt>
                <c:pt idx="661">
                  <c:v>27.052346778752664</c:v>
                </c:pt>
                <c:pt idx="662">
                  <c:v>27.162212152934913</c:v>
                </c:pt>
                <c:pt idx="663">
                  <c:v>27.266246156814134</c:v>
                </c:pt>
                <c:pt idx="664">
                  <c:v>27.364430964699352</c:v>
                </c:pt>
                <c:pt idx="665">
                  <c:v>27.456749753129188</c:v>
                </c:pt>
                <c:pt idx="666">
                  <c:v>27.5431867037545</c:v>
                </c:pt>
                <c:pt idx="667">
                  <c:v>27.623727006048775</c:v>
                </c:pt>
                <c:pt idx="668">
                  <c:v>27.698356859845838</c:v>
                </c:pt>
                <c:pt idx="669">
                  <c:v>27.767063477704447</c:v>
                </c:pt>
                <c:pt idx="670">
                  <c:v>27.829835087099319</c:v>
                </c:pt>
                <c:pt idx="671">
                  <c:v>27.886660932438346</c:v>
                </c:pt>
                <c:pt idx="672">
                  <c:v>27.93753127690546</c:v>
                </c:pt>
                <c:pt idx="673">
                  <c:v>27.98243740412903</c:v>
                </c:pt>
                <c:pt idx="674">
                  <c:v>28.021371619675321</c:v>
                </c:pt>
                <c:pt idx="675">
                  <c:v>28.054327252366932</c:v>
                </c:pt>
                <c:pt idx="676">
                  <c:v>28.081298655425869</c:v>
                </c:pt>
                <c:pt idx="677">
                  <c:v>28.10228120744106</c:v>
                </c:pt>
                <c:pt idx="678">
                  <c:v>28.117271313160231</c:v>
                </c:pt>
                <c:pt idx="679">
                  <c:v>28.126266404105948</c:v>
                </c:pt>
                <c:pt idx="680">
                  <c:v>28.129264939015677</c:v>
                </c:pt>
                <c:pt idx="681">
                  <c:v>28.126266404105898</c:v>
                </c:pt>
                <c:pt idx="682">
                  <c:v>28.117271313160131</c:v>
                </c:pt>
                <c:pt idx="683">
                  <c:v>28.10228120744091</c:v>
                </c:pt>
                <c:pt idx="684">
                  <c:v>28.08129865542567</c:v>
                </c:pt>
                <c:pt idx="685">
                  <c:v>28.054327252366683</c:v>
                </c:pt>
                <c:pt idx="686">
                  <c:v>28.021371619675023</c:v>
                </c:pt>
                <c:pt idx="687">
                  <c:v>27.982437404128682</c:v>
                </c:pt>
                <c:pt idx="688">
                  <c:v>27.937531276905069</c:v>
                </c:pt>
                <c:pt idx="689">
                  <c:v>27.886660932437906</c:v>
                </c:pt>
                <c:pt idx="690">
                  <c:v>27.829835087098829</c:v>
                </c:pt>
                <c:pt idx="691">
                  <c:v>27.7670634777039</c:v>
                </c:pt>
                <c:pt idx="692">
                  <c:v>27.698356859845255</c:v>
                </c:pt>
                <c:pt idx="693">
                  <c:v>27.623727006048135</c:v>
                </c:pt>
                <c:pt idx="694">
                  <c:v>27.543186703753811</c:v>
                </c:pt>
                <c:pt idx="695">
                  <c:v>27.456749753128449</c:v>
                </c:pt>
                <c:pt idx="696">
                  <c:v>27.36443096469857</c:v>
                </c:pt>
                <c:pt idx="697">
                  <c:v>27.266246156813295</c:v>
                </c:pt>
                <c:pt idx="698">
                  <c:v>27.162212152934032</c:v>
                </c:pt>
                <c:pt idx="699">
                  <c:v>27.05234677875174</c:v>
                </c:pt>
                <c:pt idx="700">
                  <c:v>26.936668859132716</c:v>
                </c:pt>
                <c:pt idx="701">
                  <c:v>26.815198214892966</c:v>
                </c:pt>
                <c:pt idx="702">
                  <c:v>26.687955659402057</c:v>
                </c:pt>
                <c:pt idx="703">
                  <c:v>26.554962995016822</c:v>
                </c:pt>
                <c:pt idx="704">
                  <c:v>26.416243009345671</c:v>
                </c:pt>
                <c:pt idx="705">
                  <c:v>26.271819471343974</c:v>
                </c:pt>
                <c:pt idx="706">
                  <c:v>26.121717127241517</c:v>
                </c:pt>
                <c:pt idx="707">
                  <c:v>25.965961696302209</c:v>
                </c:pt>
                <c:pt idx="708">
                  <c:v>25.804579866417328</c:v>
                </c:pt>
                <c:pt idx="709">
                  <c:v>25.637599289532595</c:v>
                </c:pt>
                <c:pt idx="710">
                  <c:v>25.465048576910291</c:v>
                </c:pt>
                <c:pt idx="711">
                  <c:v>25.286957294226696</c:v>
                </c:pt>
                <c:pt idx="712">
                  <c:v>25.103355956506284</c:v>
                </c:pt>
                <c:pt idx="713">
                  <c:v>24.914276022893084</c:v>
                </c:pt>
                <c:pt idx="714">
                  <c:v>24.719749891260363</c:v>
                </c:pt>
                <c:pt idx="715">
                  <c:v>24.519810892659347</c:v>
                </c:pt>
                <c:pt idx="716">
                  <c:v>24.314493285608133</c:v>
                </c:pt>
                <c:pt idx="717">
                  <c:v>24.103832250221711</c:v>
                </c:pt>
                <c:pt idx="718">
                  <c:v>23.887863882184035</c:v>
                </c:pt>
                <c:pt idx="719">
                  <c:v>23.666625186563152</c:v>
                </c:pt>
                <c:pt idx="720">
                  <c:v>23.440154071470609</c:v>
                </c:pt>
                <c:pt idx="721">
                  <c:v>23.208489341566089</c:v>
                </c:pt>
                <c:pt idx="722">
                  <c:v>22.971670691408494</c:v>
                </c:pt>
                <c:pt idx="723">
                  <c:v>22.729738698654334</c:v>
                </c:pt>
                <c:pt idx="724">
                  <c:v>22.482734817105122</c:v>
                </c:pt>
                <c:pt idx="725">
                  <c:v>22.230701369604351</c:v>
                </c:pt>
                <c:pt idx="726">
                  <c:v>21.973681540785826</c:v>
                </c:pt>
                <c:pt idx="727">
                  <c:v>21.711719369674071</c:v>
                </c:pt>
                <c:pt idx="728">
                  <c:v>21.444859742138476</c:v>
                </c:pt>
                <c:pt idx="729">
                  <c:v>21.173148383202431</c:v>
                </c:pt>
                <c:pt idx="730">
                  <c:v>20.89663184920855</c:v>
                </c:pt>
                <c:pt idx="731">
                  <c:v>20.615357519841403</c:v>
                </c:pt>
                <c:pt idx="732">
                  <c:v>20.329373590009325</c:v>
                </c:pt>
                <c:pt idx="733">
                  <c:v>20.038729061586441</c:v>
                </c:pt>
                <c:pt idx="734">
                  <c:v>19.743473735016451</c:v>
                </c:pt>
                <c:pt idx="735">
                  <c:v>19.443658200779591</c:v>
                </c:pt>
                <c:pt idx="736">
                  <c:v>19.139333830724194</c:v>
                </c:pt>
                <c:pt idx="737">
                  <c:v>18.830552769264383</c:v>
                </c:pt>
                <c:pt idx="738">
                  <c:v>18.517367924445477</c:v>
                </c:pt>
                <c:pt idx="739">
                  <c:v>18.199832958878343</c:v>
                </c:pt>
                <c:pt idx="740">
                  <c:v>17.878002280544624</c:v>
                </c:pt>
                <c:pt idx="741">
                  <c:v>17.551931033474261</c:v>
                </c:pt>
                <c:pt idx="742">
                  <c:v>17.221675088296866</c:v>
                </c:pt>
                <c:pt idx="743">
                  <c:v>16.887291032668458</c:v>
                </c:pt>
                <c:pt idx="744">
                  <c:v>16.548836161575551</c:v>
                </c:pt>
                <c:pt idx="745">
                  <c:v>16.206368467517944</c:v>
                </c:pt>
                <c:pt idx="746">
                  <c:v>15.859946630571979</c:v>
                </c:pt>
                <c:pt idx="747">
                  <c:v>15.509630008336039</c:v>
                </c:pt>
                <c:pt idx="748">
                  <c:v>15.155478625759905</c:v>
                </c:pt>
                <c:pt idx="749">
                  <c:v>14.797553164859782</c:v>
                </c:pt>
                <c:pt idx="750">
                  <c:v>14.435914954320832</c:v>
                </c:pt>
                <c:pt idx="751">
                  <c:v>14.070625958988728</c:v>
                </c:pt>
                <c:pt idx="752">
                  <c:v>13.701748769252244</c:v>
                </c:pt>
                <c:pt idx="753">
                  <c:v>13.329346590318856</c:v>
                </c:pt>
                <c:pt idx="754">
                  <c:v>12.953483231384855</c:v>
                </c:pt>
                <c:pt idx="755">
                  <c:v>12.574223094701807</c:v>
                </c:pt>
                <c:pt idx="756">
                  <c:v>12.191631164541725</c:v>
                </c:pt>
                <c:pt idx="757">
                  <c:v>11.805772996062181</c:v>
                </c:pt>
                <c:pt idx="758">
                  <c:v>11.416714704074014</c:v>
                </c:pt>
                <c:pt idx="759">
                  <c:v>11.024522951712651</c:v>
                </c:pt>
                <c:pt idx="760">
                  <c:v>10.629264939015854</c:v>
                </c:pt>
                <c:pt idx="761">
                  <c:v>10.231008391409276</c:v>
                </c:pt>
                <c:pt idx="762">
                  <c:v>9.8298215481022027</c:v>
                </c:pt>
                <c:pt idx="763">
                  <c:v>9.4257731503948321</c:v>
                </c:pt>
                <c:pt idx="764">
                  <c:v>9.018932429900099</c:v>
                </c:pt>
                <c:pt idx="765">
                  <c:v>8.6093690966810055</c:v>
                </c:pt>
                <c:pt idx="766">
                  <c:v>8.1971533273063173</c:v>
                </c:pt>
                <c:pt idx="767">
                  <c:v>7.7823557528259997</c:v>
                </c:pt>
                <c:pt idx="768">
                  <c:v>7.365047446669081</c:v>
                </c:pt>
                <c:pt idx="769">
                  <c:v>6.9452999124654262</c:v>
                </c:pt>
                <c:pt idx="770">
                  <c:v>6.5231850717942432</c:v>
                </c:pt>
                <c:pt idx="771">
                  <c:v>6.0987752518603973</c:v>
                </c:pt>
                <c:pt idx="772">
                  <c:v>5.6721431731016683</c:v>
                </c:pt>
                <c:pt idx="773">
                  <c:v>5.2433619367284123</c:v>
                </c:pt>
                <c:pt idx="774">
                  <c:v>4.8125050121981978</c:v>
                </c:pt>
                <c:pt idx="775">
                  <c:v>4.3796462246269012</c:v>
                </c:pt>
                <c:pt idx="776">
                  <c:v>3.9448597421394354</c:v>
                </c:pt>
                <c:pt idx="777">
                  <c:v>3.508220063161259</c:v>
                </c:pt>
                <c:pt idx="778">
                  <c:v>3.0698020036535976</c:v>
                </c:pt>
                <c:pt idx="779">
                  <c:v>2.629680684293934</c:v>
                </c:pt>
                <c:pt idx="780">
                  <c:v>2.1879315176046212</c:v>
                </c:pt>
                <c:pt idx="781">
                  <c:v>1.7446301950311511</c:v>
                </c:pt>
                <c:pt idx="782">
                  <c:v>1.2998526739731151</c:v>
                </c:pt>
                <c:pt idx="783">
                  <c:v>0.85367516476899397</c:v>
                </c:pt>
                <c:pt idx="784">
                  <c:v>0.40617411763806199</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ser>
          <c:idx val="2"/>
          <c:order val="2"/>
          <c:tx>
            <c:strRef>
              <c:f>Calculations!$Z$1</c:f>
              <c:strCache>
                <c:ptCount val="1"/>
                <c:pt idx="0">
                  <c:v>Доля солнечной радиации в создании подъемной силы [%] / The proportion of the solar radiation in the creation of lift force [%]</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Calculations!$Z$2:$Z$1302</c:f>
              <c:numCache>
                <c:formatCode>0</c:formatCode>
                <c:ptCount val="1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4.3584613597895578E-4</c:v>
                </c:pt>
                <c:pt idx="41">
                  <c:v>4.3736196566147536E-4</c:v>
                </c:pt>
                <c:pt idx="42">
                  <c:v>4.3887975814433912E-4</c:v>
                </c:pt>
                <c:pt idx="43">
                  <c:v>4.4039951639806402E-4</c:v>
                </c:pt>
                <c:pt idx="44">
                  <c:v>4.4192124338270902E-4</c:v>
                </c:pt>
                <c:pt idx="45">
                  <c:v>4.4344494204800577E-4</c:v>
                </c:pt>
                <c:pt idx="46">
                  <c:v>4.449706153334978E-4</c:v>
                </c:pt>
                <c:pt idx="47">
                  <c:v>4.464982661686676E-4</c:v>
                </c:pt>
                <c:pt idx="48">
                  <c:v>4.4802789747307208E-4</c:v>
                </c:pt>
                <c:pt idx="49">
                  <c:v>4.4955951215646539E-4</c:v>
                </c:pt>
                <c:pt idx="50">
                  <c:v>4.5109311311893052E-4</c:v>
                </c:pt>
                <c:pt idx="51">
                  <c:v>4.5262870325099791E-4</c:v>
                </c:pt>
                <c:pt idx="52">
                  <c:v>4.5416628543377388E-4</c:v>
                </c:pt>
                <c:pt idx="53">
                  <c:v>4.5570586253905688E-4</c:v>
                </c:pt>
                <c:pt idx="54">
                  <c:v>4.5724743742945793E-4</c:v>
                </c:pt>
                <c:pt idx="55">
                  <c:v>4.5879101295851789E-4</c:v>
                </c:pt>
                <c:pt idx="56">
                  <c:v>4.60336591970825E-4</c:v>
                </c:pt>
                <c:pt idx="57">
                  <c:v>4.6188417730212342E-4</c:v>
                </c:pt>
                <c:pt idx="58">
                  <c:v>4.6343377177943129E-4</c:v>
                </c:pt>
                <c:pt idx="59">
                  <c:v>4.6498537822114712E-4</c:v>
                </c:pt>
                <c:pt idx="60">
                  <c:v>4.6653899943716076E-4</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12.865426871973549</c:v>
                </c:pt>
                <c:pt idx="162">
                  <c:v>12.963024101159052</c:v>
                </c:pt>
                <c:pt idx="163">
                  <c:v>13.05840069602063</c:v>
                </c:pt>
                <c:pt idx="164">
                  <c:v>13.151610377225609</c:v>
                </c:pt>
                <c:pt idx="165">
                  <c:v>13.242704131130189</c:v>
                </c:pt>
                <c:pt idx="166">
                  <c:v>13.331730321277131</c:v>
                </c:pt>
                <c:pt idx="167">
                  <c:v>13.418734793537705</c:v>
                </c:pt>
                <c:pt idx="168">
                  <c:v>13.503760975168559</c:v>
                </c:pt>
                <c:pt idx="169">
                  <c:v>13.586849968049201</c:v>
                </c:pt>
                <c:pt idx="170">
                  <c:v>13.668040636358667</c:v>
                </c:pt>
                <c:pt idx="171">
                  <c:v>13.74736968894163</c:v>
                </c:pt>
                <c:pt idx="172">
                  <c:v>13.824871756604551</c:v>
                </c:pt>
                <c:pt idx="173">
                  <c:v>13.900579464572123</c:v>
                </c:pt>
                <c:pt idx="174">
                  <c:v>13.97452350032375</c:v>
                </c:pt>
                <c:pt idx="175">
                  <c:v>14.046732677018559</c:v>
                </c:pt>
                <c:pt idx="176">
                  <c:v>14.117233992706275</c:v>
                </c:pt>
                <c:pt idx="177">
                  <c:v>14.186052685510207</c:v>
                </c:pt>
                <c:pt idx="178">
                  <c:v>14.253212284957597</c:v>
                </c:pt>
                <c:pt idx="179">
                  <c:v>14.318734659621612</c:v>
                </c:pt>
                <c:pt idx="180">
                  <c:v>14.382640061228205</c:v>
                </c:pt>
                <c:pt idx="181">
                  <c:v>14.444947165371554</c:v>
                </c:pt>
                <c:pt idx="182">
                  <c:v>14.505673108970552</c:v>
                </c:pt>
                <c:pt idx="183">
                  <c:v>14.564833524589771</c:v>
                </c:pt>
                <c:pt idx="184">
                  <c:v>14.622442571738215</c:v>
                </c:pt>
                <c:pt idx="185">
                  <c:v>17.00702670119589</c:v>
                </c:pt>
                <c:pt idx="186">
                  <c:v>17.066636544700501</c:v>
                </c:pt>
                <c:pt idx="187">
                  <c:v>17.12447214821831</c:v>
                </c:pt>
                <c:pt idx="188">
                  <c:v>17.180544590676991</c:v>
                </c:pt>
                <c:pt idx="189">
                  <c:v>17.234863363828367</c:v>
                </c:pt>
                <c:pt idx="190">
                  <c:v>17.287436391399631</c:v>
                </c:pt>
                <c:pt idx="191">
                  <c:v>17.338270045347876</c:v>
                </c:pt>
                <c:pt idx="192">
                  <c:v>17.387369159276137</c:v>
                </c:pt>
                <c:pt idx="193">
                  <c:v>17.434737039059254</c:v>
                </c:pt>
                <c:pt idx="194">
                  <c:v>17.480375470720311</c:v>
                </c:pt>
                <c:pt idx="195">
                  <c:v>17.524284725589371</c:v>
                </c:pt>
                <c:pt idx="196">
                  <c:v>17.566463562767407</c:v>
                </c:pt>
                <c:pt idx="197">
                  <c:v>17.606909228911078</c:v>
                </c:pt>
                <c:pt idx="198">
                  <c:v>17.645617455344453</c:v>
                </c:pt>
                <c:pt idx="199">
                  <c:v>17.682582452496504</c:v>
                </c:pt>
                <c:pt idx="200">
                  <c:v>17.717796901654321</c:v>
                </c:pt>
                <c:pt idx="201">
                  <c:v>17.751251944013617</c:v>
                </c:pt>
                <c:pt idx="202">
                  <c:v>17.782937167000295</c:v>
                </c:pt>
                <c:pt idx="203">
                  <c:v>17.81284058782736</c:v>
                </c:pt>
                <c:pt idx="204">
                  <c:v>17.840948634243688</c:v>
                </c:pt>
                <c:pt idx="205">
                  <c:v>17.867246122421641</c:v>
                </c:pt>
                <c:pt idx="206">
                  <c:v>17.891716231921222</c:v>
                </c:pt>
                <c:pt idx="207">
                  <c:v>17.914340477660609</c:v>
                </c:pt>
                <c:pt idx="208">
                  <c:v>17.935098678810707</c:v>
                </c:pt>
                <c:pt idx="209">
                  <c:v>17.953968924524162</c:v>
                </c:pt>
                <c:pt idx="210">
                  <c:v>17.970927536396442</c:v>
                </c:pt>
                <c:pt idx="211">
                  <c:v>17.985949027547868</c:v>
                </c:pt>
                <c:pt idx="212">
                  <c:v>17.999006058202507</c:v>
                </c:pt>
                <c:pt idx="213">
                  <c:v>18.010069387629553</c:v>
                </c:pt>
                <c:pt idx="214">
                  <c:v>18.019107822299603</c:v>
                </c:pt>
                <c:pt idx="215">
                  <c:v>18.026088160095494</c:v>
                </c:pt>
                <c:pt idx="216">
                  <c:v>18.030975130404286</c:v>
                </c:pt>
                <c:pt idx="217">
                  <c:v>18.033731329902352</c:v>
                </c:pt>
                <c:pt idx="218">
                  <c:v>18.034317153830408</c:v>
                </c:pt>
                <c:pt idx="219">
                  <c:v>18.032690722540227</c:v>
                </c:pt>
                <c:pt idx="220">
                  <c:v>18.028807803077591</c:v>
                </c:pt>
                <c:pt idx="221">
                  <c:v>18.022621725548163</c:v>
                </c:pt>
                <c:pt idx="222">
                  <c:v>18.014083293996002</c:v>
                </c:pt>
                <c:pt idx="223">
                  <c:v>18.003140691502914</c:v>
                </c:pt>
                <c:pt idx="224">
                  <c:v>17.989739379198017</c:v>
                </c:pt>
                <c:pt idx="225">
                  <c:v>17.973821988844445</c:v>
                </c:pt>
                <c:pt idx="226">
                  <c:v>17.955328208647046</c:v>
                </c:pt>
                <c:pt idx="227">
                  <c:v>17.934194661902509</c:v>
                </c:pt>
                <c:pt idx="228">
                  <c:v>17.910354778086269</c:v>
                </c:pt>
                <c:pt idx="229">
                  <c:v>17.883738655945908</c:v>
                </c:pt>
                <c:pt idx="230">
                  <c:v>17.854272918142492</c:v>
                </c:pt>
                <c:pt idx="231">
                  <c:v>17.821880556953406</c:v>
                </c:pt>
                <c:pt idx="232">
                  <c:v>17.786480770519841</c:v>
                </c:pt>
                <c:pt idx="233">
                  <c:v>17.747988789092819</c:v>
                </c:pt>
                <c:pt idx="234">
                  <c:v>17.706315690699391</c:v>
                </c:pt>
                <c:pt idx="235">
                  <c:v>17.661368205619446</c:v>
                </c:pt>
                <c:pt idx="236">
                  <c:v>17.613048509032122</c:v>
                </c:pt>
                <c:pt idx="237">
                  <c:v>17.561254001157955</c:v>
                </c:pt>
                <c:pt idx="238">
                  <c:v>17.505877074193631</c:v>
                </c:pt>
                <c:pt idx="239">
                  <c:v>17.44680486530558</c:v>
                </c:pt>
                <c:pt idx="240">
                  <c:v>17.383918994921977</c:v>
                </c:pt>
                <c:pt idx="241">
                  <c:v>17.31709528954017</c:v>
                </c:pt>
                <c:pt idx="242">
                  <c:v>17.246203488246366</c:v>
                </c:pt>
                <c:pt idx="243">
                  <c:v>17.171106932134443</c:v>
                </c:pt>
                <c:pt idx="244">
                  <c:v>17.091662235806545</c:v>
                </c:pt>
                <c:pt idx="245">
                  <c:v>17.00771894014899</c:v>
                </c:pt>
                <c:pt idx="246">
                  <c:v>16.91911914559979</c:v>
                </c:pt>
                <c:pt idx="247">
                  <c:v>16.825697125170421</c:v>
                </c:pt>
                <c:pt idx="248">
                  <c:v>16.727278916553285</c:v>
                </c:pt>
                <c:pt idx="249">
                  <c:v>16.623681892748195</c:v>
                </c:pt>
                <c:pt idx="250">
                  <c:v>16.514714310785607</c:v>
                </c:pt>
                <c:pt idx="251">
                  <c:v>16.400174838316786</c:v>
                </c:pt>
                <c:pt idx="252">
                  <c:v>16.279852058100904</c:v>
                </c:pt>
                <c:pt idx="253">
                  <c:v>16.153523950758562</c:v>
                </c:pt>
                <c:pt idx="254">
                  <c:v>16.020957356602835</c:v>
                </c:pt>
                <c:pt idx="255">
                  <c:v>15.881907417926948</c:v>
                </c:pt>
                <c:pt idx="256">
                  <c:v>15.736117003854591</c:v>
                </c:pt>
                <c:pt idx="257">
                  <c:v>15.583316120785772</c:v>
                </c:pt>
                <c:pt idx="258">
                  <c:v>15.423221312643996</c:v>
                </c:pt>
                <c:pt idx="259">
                  <c:v>15.255535056616235</c:v>
                </c:pt>
                <c:pt idx="260">
                  <c:v>15.079945161951327</c:v>
                </c:pt>
                <c:pt idx="261">
                  <c:v>14.896124181742273</c:v>
                </c:pt>
                <c:pt idx="262">
                  <c:v>14.703728850589954</c:v>
                </c:pt>
                <c:pt idx="263">
                  <c:v>14.502399564783216</c:v>
                </c:pt>
                <c:pt idx="264">
                  <c:v>14.291759926329597</c:v>
                </c:pt>
                <c:pt idx="265">
                  <c:v>14.071416378081855</c:v>
                </c:pt>
                <c:pt idx="266">
                  <c:v>13.84095796464122</c:v>
                </c:pt>
                <c:pt idx="267">
                  <c:v>13.59995626307707</c:v>
                </c:pt>
                <c:pt idx="268">
                  <c:v>13.347965539293376</c:v>
                </c:pt>
                <c:pt idx="269">
                  <c:v>13.084523200736678</c:v>
                </c:pt>
                <c:pt idx="270">
                  <c:v>12.809150634901377</c:v>
                </c:pt>
                <c:pt idx="271">
                  <c:v>12.521354546791528</c:v>
                </c:pt>
                <c:pt idx="272">
                  <c:v>12.22062893847826</c:v>
                </c:pt>
                <c:pt idx="273">
                  <c:v>11.906457911853881</c:v>
                </c:pt>
                <c:pt idx="274">
                  <c:v>11.578319523792807</c:v>
                </c:pt>
                <c:pt idx="275">
                  <c:v>11.235690983951695</c:v>
                </c:pt>
                <c:pt idx="276">
                  <c:v>10.878055562871996</c:v>
                </c:pt>
                <c:pt idx="277">
                  <c:v>10.504911676303877</c:v>
                </c:pt>
                <c:pt idx="278">
                  <c:v>10.115784736271554</c:v>
                </c:pt>
                <c:pt idx="279">
                  <c:v>9.7102425171583313</c:v>
                </c:pt>
                <c:pt idx="280">
                  <c:v>9.2879149842540993</c:v>
                </c:pt>
                <c:pt idx="281">
                  <c:v>8.8485197824237556</c:v>
                </c:pt>
                <c:pt idx="282">
                  <c:v>8.3918948945166019</c:v>
                </c:pt>
                <c:pt idx="283">
                  <c:v>7.9180403634301859</c:v>
                </c:pt>
                <c:pt idx="284">
                  <c:v>7.4271714363101298</c:v>
                </c:pt>
                <c:pt idx="285">
                  <c:v>6.9197860340874753</c:v>
                </c:pt>
                <c:pt idx="286">
                  <c:v>6.3967500556389822</c:v>
                </c:pt>
                <c:pt idx="287">
                  <c:v>5.8594046354685139</c:v>
                </c:pt>
                <c:pt idx="288">
                  <c:v>5.3096999518551797</c:v>
                </c:pt>
                <c:pt idx="289">
                  <c:v>4.7503602459998344</c:v>
                </c:pt>
                <c:pt idx="290">
                  <c:v>4.1850838027376263</c:v>
                </c:pt>
                <c:pt idx="291">
                  <c:v>3.6187786952057657</c:v>
                </c:pt>
                <c:pt idx="292">
                  <c:v>3.0578281403253205</c:v>
                </c:pt>
                <c:pt idx="293">
                  <c:v>2.5103648142778336</c:v>
                </c:pt>
                <c:pt idx="294">
                  <c:v>1.9865053430537676</c:v>
                </c:pt>
                <c:pt idx="295">
                  <c:v>1.4984446034053476</c:v>
                </c:pt>
                <c:pt idx="296">
                  <c:v>1.0602208031095091</c:v>
                </c:pt>
                <c:pt idx="297">
                  <c:v>0.68682472208849277</c:v>
                </c:pt>
                <c:pt idx="298">
                  <c:v>0.39215651823491138</c:v>
                </c:pt>
                <c:pt idx="299">
                  <c:v>0.1852642389019753</c:v>
                </c:pt>
                <c:pt idx="300">
                  <c:v>6.4803946501057766E-2</c:v>
                </c:pt>
                <c:pt idx="301">
                  <c:v>1.3859561848027774E-2</c:v>
                </c:pt>
                <c:pt idx="302">
                  <c:v>1.9268949353150736E-3</c:v>
                </c:pt>
                <c:pt idx="303">
                  <c:v>1.0863085028514662E-3</c:v>
                </c:pt>
                <c:pt idx="304">
                  <c:v>1.0854063944541945E-3</c:v>
                </c:pt>
                <c:pt idx="305">
                  <c:v>1.0877354250800413E-3</c:v>
                </c:pt>
                <c:pt idx="306">
                  <c:v>1.0900672124708412E-3</c:v>
                </c:pt>
                <c:pt idx="307">
                  <c:v>1.0924017587197593E-3</c:v>
                </c:pt>
                <c:pt idx="308">
                  <c:v>1.0947390659755644E-3</c:v>
                </c:pt>
                <c:pt idx="309">
                  <c:v>1.0970791363871571E-3</c:v>
                </c:pt>
                <c:pt idx="310">
                  <c:v>1.0994219721035753E-3</c:v>
                </c:pt>
                <c:pt idx="311">
                  <c:v>1.1017675752740001E-3</c:v>
                </c:pt>
                <c:pt idx="312">
                  <c:v>1.1041159480477609E-3</c:v>
                </c:pt>
                <c:pt idx="313">
                  <c:v>1.1064670925743322E-3</c:v>
                </c:pt>
                <c:pt idx="314">
                  <c:v>1.1088210110033472E-3</c:v>
                </c:pt>
                <c:pt idx="315">
                  <c:v>1.1111777054845908E-3</c:v>
                </c:pt>
                <c:pt idx="316">
                  <c:v>1.1135371781680113E-3</c:v>
                </c:pt>
                <c:pt idx="317">
                  <c:v>1.1158994312037214E-3</c:v>
                </c:pt>
                <c:pt idx="318">
                  <c:v>1.1182644667419967E-3</c:v>
                </c:pt>
                <c:pt idx="319">
                  <c:v>1.1206322869332873E-3</c:v>
                </c:pt>
                <c:pt idx="320">
                  <c:v>1.1230028939282174E-3</c:v>
                </c:pt>
                <c:pt idx="321">
                  <c:v>1.125376289877592E-3</c:v>
                </c:pt>
                <c:pt idx="322">
                  <c:v>1.1277524769323871E-3</c:v>
                </c:pt>
                <c:pt idx="323">
                  <c:v>1.1301314572437751E-3</c:v>
                </c:pt>
                <c:pt idx="324">
                  <c:v>1.1325132329631101E-3</c:v>
                </c:pt>
                <c:pt idx="325">
                  <c:v>1.1348978062419382E-3</c:v>
                </c:pt>
                <c:pt idx="326">
                  <c:v>1.1372851792319995E-3</c:v>
                </c:pt>
                <c:pt idx="327">
                  <c:v>1.139675354085237E-3</c:v>
                </c:pt>
                <c:pt idx="328">
                  <c:v>1.1420683329537848E-3</c:v>
                </c:pt>
                <c:pt idx="329">
                  <c:v>1.1444641179899928E-3</c:v>
                </c:pt>
                <c:pt idx="330">
                  <c:v>1.1468627113464093E-3</c:v>
                </c:pt>
                <c:pt idx="331">
                  <c:v>1.1492641151757993E-3</c:v>
                </c:pt>
                <c:pt idx="332">
                  <c:v>1.151668331631139E-3</c:v>
                </c:pt>
                <c:pt idx="333">
                  <c:v>1.1540753628656226E-3</c:v>
                </c:pt>
                <c:pt idx="334">
                  <c:v>1.156485211032663E-3</c:v>
                </c:pt>
                <c:pt idx="335">
                  <c:v>1.1588978782858987E-3</c:v>
                </c:pt>
                <c:pt idx="336">
                  <c:v>1.1613133667791921E-3</c:v>
                </c:pt>
                <c:pt idx="337">
                  <c:v>1.163731678666639E-3</c:v>
                </c:pt>
                <c:pt idx="338">
                  <c:v>1.1661528161025618E-3</c:v>
                </c:pt>
                <c:pt idx="339">
                  <c:v>1.1685767812415235E-3</c:v>
                </c:pt>
                <c:pt idx="340">
                  <c:v>1.171003576238323E-3</c:v>
                </c:pt>
                <c:pt idx="341">
                  <c:v>1.1734332032480004E-3</c:v>
                </c:pt>
                <c:pt idx="342">
                  <c:v>1.1758656644258435E-3</c:v>
                </c:pt>
                <c:pt idx="343">
                  <c:v>1.1783009619273806E-3</c:v>
                </c:pt>
                <c:pt idx="344">
                  <c:v>1.1807390979083974E-3</c:v>
                </c:pt>
                <c:pt idx="345">
                  <c:v>1.1831800745249321E-3</c:v>
                </c:pt>
                <c:pt idx="346">
                  <c:v>1.1856238939332703E-3</c:v>
                </c:pt>
                <c:pt idx="347">
                  <c:v>1.1880705582899694E-3</c:v>
                </c:pt>
                <c:pt idx="348">
                  <c:v>1.1905200697518343E-3</c:v>
                </c:pt>
                <c:pt idx="349">
                  <c:v>1.1929724304759477E-3</c:v>
                </c:pt>
                <c:pt idx="350">
                  <c:v>1.1954276426196487E-3</c:v>
                </c:pt>
                <c:pt idx="351">
                  <c:v>1.1978857083405532E-3</c:v>
                </c:pt>
                <c:pt idx="352">
                  <c:v>1.2003466297965451E-3</c:v>
                </c:pt>
                <c:pt idx="353">
                  <c:v>1.2028104091457879E-3</c:v>
                </c:pt>
                <c:pt idx="354">
                  <c:v>1.2052770485467199E-3</c:v>
                </c:pt>
                <c:pt idx="355">
                  <c:v>1.2077465501580621E-3</c:v>
                </c:pt>
                <c:pt idx="356">
                  <c:v>1.210218916138819E-3</c:v>
                </c:pt>
                <c:pt idx="357">
                  <c:v>1.2126941486482782E-3</c:v>
                </c:pt>
                <c:pt idx="358">
                  <c:v>1.2151722498460204E-3</c:v>
                </c:pt>
                <c:pt idx="359">
                  <c:v>1.2176532218919139E-3</c:v>
                </c:pt>
                <c:pt idx="360">
                  <c:v>1.2201370669461219E-3</c:v>
                </c:pt>
                <c:pt idx="361">
                  <c:v>1.222623787169105E-3</c:v>
                </c:pt>
                <c:pt idx="362">
                  <c:v>1.2251133847216219E-3</c:v>
                </c:pt>
                <c:pt idx="363">
                  <c:v>1.2276058617647313E-3</c:v>
                </c:pt>
                <c:pt idx="364">
                  <c:v>1.230101220459802E-3</c:v>
                </c:pt>
                <c:pt idx="365">
                  <c:v>1.2325994629685021E-3</c:v>
                </c:pt>
                <c:pt idx="366">
                  <c:v>1.2351005914528086E-3</c:v>
                </c:pt>
                <c:pt idx="367">
                  <c:v>1.2376046080750194E-3</c:v>
                </c:pt>
                <c:pt idx="368">
                  <c:v>1.2401115149977356E-3</c:v>
                </c:pt>
                <c:pt idx="369">
                  <c:v>1.2426213143838817E-3</c:v>
                </c:pt>
                <c:pt idx="370">
                  <c:v>1.245134008396693E-3</c:v>
                </c:pt>
                <c:pt idx="371">
                  <c:v>1.2476495991997365E-3</c:v>
                </c:pt>
                <c:pt idx="372">
                  <c:v>1.2501680889568942E-3</c:v>
                </c:pt>
                <c:pt idx="373">
                  <c:v>1.2526894798323769E-3</c:v>
                </c:pt>
                <c:pt idx="374">
                  <c:v>1.2552137739907251E-3</c:v>
                </c:pt>
                <c:pt idx="375">
                  <c:v>1.2577409735968067E-3</c:v>
                </c:pt>
                <c:pt idx="376">
                  <c:v>1.2602710808158263E-3</c:v>
                </c:pt>
                <c:pt idx="377">
                  <c:v>1.2628040978133208E-3</c:v>
                </c:pt>
                <c:pt idx="378">
                  <c:v>1.5452322275544747E-3</c:v>
                </c:pt>
                <c:pt idx="379">
                  <c:v>1.5480858612414497E-3</c:v>
                </c:pt>
                <c:pt idx="380">
                  <c:v>1.5509426386327702E-3</c:v>
                </c:pt>
                <c:pt idx="381">
                  <c:v>1.5538025619408335E-3</c:v>
                </c:pt>
                <c:pt idx="382">
                  <c:v>1.5566656333785545E-3</c:v>
                </c:pt>
                <c:pt idx="383">
                  <c:v>1.559531855159364E-3</c:v>
                </c:pt>
                <c:pt idx="384">
                  <c:v>1.5624012294972131E-3</c:v>
                </c:pt>
                <c:pt idx="385">
                  <c:v>1.5652737586065581E-3</c:v>
                </c:pt>
                <c:pt idx="386">
                  <c:v>1.5681494447023774E-3</c:v>
                </c:pt>
                <c:pt idx="387">
                  <c:v>1.5710282900001666E-3</c:v>
                </c:pt>
                <c:pt idx="388">
                  <c:v>1.5739102967159372E-3</c:v>
                </c:pt>
                <c:pt idx="389">
                  <c:v>1.5767954670662227E-3</c:v>
                </c:pt>
                <c:pt idx="390">
                  <c:v>1.5796838032680796E-3</c:v>
                </c:pt>
                <c:pt idx="391">
                  <c:v>1.5825753075390863E-3</c:v>
                </c:pt>
                <c:pt idx="392">
                  <c:v>1.5854699820973385E-3</c:v>
                </c:pt>
                <c:pt idx="393">
                  <c:v>1.5883678291614617E-3</c:v>
                </c:pt>
                <c:pt idx="394">
                  <c:v>1.591268850950611E-3</c:v>
                </c:pt>
                <c:pt idx="395">
                  <c:v>1.5941730496844527E-3</c:v>
                </c:pt>
                <c:pt idx="396">
                  <c:v>1.5970804275831968E-3</c:v>
                </c:pt>
                <c:pt idx="397">
                  <c:v>1.5999909868675715E-3</c:v>
                </c:pt>
                <c:pt idx="398">
                  <c:v>1.60290472975884E-3</c:v>
                </c:pt>
                <c:pt idx="399">
                  <c:v>1.6058216584787868E-3</c:v>
                </c:pt>
                <c:pt idx="400">
                  <c:v>1.6087417752497436E-3</c:v>
                </c:pt>
                <c:pt idx="401">
                  <c:v>1.6116650822945585E-3</c:v>
                </c:pt>
                <c:pt idx="402">
                  <c:v>1.614591581836625E-3</c:v>
                </c:pt>
                <c:pt idx="403">
                  <c:v>1.6175212760998635E-3</c:v>
                </c:pt>
                <c:pt idx="404">
                  <c:v>1.6204541673087286E-3</c:v>
                </c:pt>
                <c:pt idx="405">
                  <c:v>1.6233902576882181E-3</c:v>
                </c:pt>
                <c:pt idx="406">
                  <c:v>1.6263295494638624E-3</c:v>
                </c:pt>
                <c:pt idx="407">
                  <c:v>1.6292720448617358E-3</c:v>
                </c:pt>
                <c:pt idx="408">
                  <c:v>1.632217746108442E-3</c:v>
                </c:pt>
                <c:pt idx="409">
                  <c:v>1.635166655431136E-3</c:v>
                </c:pt>
                <c:pt idx="410">
                  <c:v>1.6381187750575028E-3</c:v>
                </c:pt>
                <c:pt idx="411">
                  <c:v>1.6410741072157764E-3</c:v>
                </c:pt>
                <c:pt idx="412">
                  <c:v>1.6440326541347417E-3</c:v>
                </c:pt>
                <c:pt idx="413">
                  <c:v>1.6469944180437059E-3</c:v>
                </c:pt>
                <c:pt idx="414">
                  <c:v>1.6499594011725389E-3</c:v>
                </c:pt>
                <c:pt idx="415">
                  <c:v>1.6529276057516559E-3</c:v>
                </c:pt>
                <c:pt idx="416">
                  <c:v>1.6558990340120084E-3</c:v>
                </c:pt>
                <c:pt idx="417">
                  <c:v>1.658873688185108E-3</c:v>
                </c:pt>
                <c:pt idx="418">
                  <c:v>1.661851570503002E-3</c:v>
                </c:pt>
                <c:pt idx="419">
                  <c:v>1.6648326831982976E-3</c:v>
                </c:pt>
                <c:pt idx="420">
                  <c:v>1.667817028504144E-3</c:v>
                </c:pt>
                <c:pt idx="421">
                  <c:v>1.6708046086542554E-3</c:v>
                </c:pt>
                <c:pt idx="422">
                  <c:v>1.6737954258828824E-3</c:v>
                </c:pt>
                <c:pt idx="423">
                  <c:v>1.6767894824248344E-3</c:v>
                </c:pt>
                <c:pt idx="424">
                  <c:v>1.6797867805154803E-3</c:v>
                </c:pt>
                <c:pt idx="425">
                  <c:v>1.6827873223907391E-3</c:v>
                </c:pt>
                <c:pt idx="426">
                  <c:v>1.6857911102870831E-3</c:v>
                </c:pt>
                <c:pt idx="427">
                  <c:v>1.6887981464415425E-3</c:v>
                </c:pt>
                <c:pt idx="428">
                  <c:v>1.6918084330917096E-3</c:v>
                </c:pt>
                <c:pt idx="429">
                  <c:v>1.694821972475731E-3</c:v>
                </c:pt>
                <c:pt idx="430">
                  <c:v>1.6978387668323113E-3</c:v>
                </c:pt>
                <c:pt idx="431">
                  <c:v>1.7008588184007154E-3</c:v>
                </c:pt>
                <c:pt idx="432">
                  <c:v>1.7038821294207752E-3</c:v>
                </c:pt>
                <c:pt idx="433">
                  <c:v>1.7069087021328744E-3</c:v>
                </c:pt>
                <c:pt idx="434">
                  <c:v>1.7099385387779695E-3</c:v>
                </c:pt>
                <c:pt idx="435">
                  <c:v>1.7129716415975693E-3</c:v>
                </c:pt>
                <c:pt idx="436">
                  <c:v>1.7160080128337527E-3</c:v>
                </c:pt>
                <c:pt idx="437">
                  <c:v>1.7190476547291644E-3</c:v>
                </c:pt>
                <c:pt idx="438">
                  <c:v>1.7220905695270164E-3</c:v>
                </c:pt>
                <c:pt idx="439">
                  <c:v>1.7251367594710791E-3</c:v>
                </c:pt>
                <c:pt idx="440">
                  <c:v>1.7281862268056986E-3</c:v>
                </c:pt>
                <c:pt idx="441">
                  <c:v>1.7312389737757835E-3</c:v>
                </c:pt>
                <c:pt idx="442">
                  <c:v>1.7342950026268161E-3</c:v>
                </c:pt>
                <c:pt idx="443">
                  <c:v>1.7373543156048495E-3</c:v>
                </c:pt>
                <c:pt idx="444">
                  <c:v>1.7404169149564911E-3</c:v>
                </c:pt>
                <c:pt idx="445">
                  <c:v>1.7434828029289434E-3</c:v>
                </c:pt>
                <c:pt idx="446">
                  <c:v>1.7465519817699638E-3</c:v>
                </c:pt>
                <c:pt idx="447">
                  <c:v>1.7496244537278985E-3</c:v>
                </c:pt>
                <c:pt idx="448">
                  <c:v>1.7527002210516445E-3</c:v>
                </c:pt>
                <c:pt idx="449">
                  <c:v>1.7557792859906895E-3</c:v>
                </c:pt>
                <c:pt idx="450">
                  <c:v>1.7588616507950971E-3</c:v>
                </c:pt>
                <c:pt idx="451">
                  <c:v>1.7619473177154918E-3</c:v>
                </c:pt>
                <c:pt idx="452">
                  <c:v>1.7650362890030979E-3</c:v>
                </c:pt>
                <c:pt idx="453">
                  <c:v>1.7681285669096966E-3</c:v>
                </c:pt>
                <c:pt idx="454">
                  <c:v>1.7712241536876549E-3</c:v>
                </c:pt>
                <c:pt idx="455">
                  <c:v>1.7743230515899241E-3</c:v>
                </c:pt>
                <c:pt idx="456">
                  <c:v>1.7774252628700146E-3</c:v>
                </c:pt>
                <c:pt idx="457">
                  <c:v>1.7805307897820507E-3</c:v>
                </c:pt>
                <c:pt idx="458">
                  <c:v>1.7836396345807053E-3</c:v>
                </c:pt>
                <c:pt idx="459">
                  <c:v>1.786751799521247E-3</c:v>
                </c:pt>
                <c:pt idx="460">
                  <c:v>1.7898672868595317E-3</c:v>
                </c:pt>
                <c:pt idx="461">
                  <c:v>1.7929860988519894E-3</c:v>
                </c:pt>
                <c:pt idx="462">
                  <c:v>1.7961082377556362E-3</c:v>
                </c:pt>
                <c:pt idx="463">
                  <c:v>1.7992337058280741E-3</c:v>
                </c:pt>
                <c:pt idx="464">
                  <c:v>1.8023625053274915E-3</c:v>
                </c:pt>
                <c:pt idx="465">
                  <c:v>1.8054946385126613E-3</c:v>
                </c:pt>
                <c:pt idx="466">
                  <c:v>1.8086301076429411E-3</c:v>
                </c:pt>
                <c:pt idx="467">
                  <c:v>1.8117689149782779E-3</c:v>
                </c:pt>
                <c:pt idx="468">
                  <c:v>1.8149110627792018E-3</c:v>
                </c:pt>
                <c:pt idx="469">
                  <c:v>1.8180565533068445E-3</c:v>
                </c:pt>
                <c:pt idx="470">
                  <c:v>1.8212053888229101E-3</c:v>
                </c:pt>
                <c:pt idx="471">
                  <c:v>1.8243575715897052E-3</c:v>
                </c:pt>
                <c:pt idx="472">
                  <c:v>1.8275131038701221E-3</c:v>
                </c:pt>
                <c:pt idx="473">
                  <c:v>1.8306719879276445E-3</c:v>
                </c:pt>
                <c:pt idx="474">
                  <c:v>1.8338342260263481E-3</c:v>
                </c:pt>
                <c:pt idx="475">
                  <c:v>1.8369998204309022E-3</c:v>
                </c:pt>
                <c:pt idx="476">
                  <c:v>1.8401687734065702E-3</c:v>
                </c:pt>
                <c:pt idx="477">
                  <c:v>1.8433410872192022E-3</c:v>
                </c:pt>
                <c:pt idx="478">
                  <c:v>1.8465167641352558E-3</c:v>
                </c:pt>
                <c:pt idx="479">
                  <c:v>1.8496958064217739E-3</c:v>
                </c:pt>
                <c:pt idx="480">
                  <c:v>1.8528782163463931E-3</c:v>
                </c:pt>
                <c:pt idx="481">
                  <c:v>1.8560639961773583E-3</c:v>
                </c:pt>
                <c:pt idx="482">
                  <c:v>1.8592531481835025E-3</c:v>
                </c:pt>
                <c:pt idx="483">
                  <c:v>1.8624456746342555E-3</c:v>
                </c:pt>
                <c:pt idx="484">
                  <c:v>1.8656415777996572E-3</c:v>
                </c:pt>
                <c:pt idx="485">
                  <c:v>1.8688408599503213E-3</c:v>
                </c:pt>
                <c:pt idx="486">
                  <c:v>1.8720435233574913E-3</c:v>
                </c:pt>
                <c:pt idx="487">
                  <c:v>1.8752495702929963E-3</c:v>
                </c:pt>
                <c:pt idx="488">
                  <c:v>1.8784590030292609E-3</c:v>
                </c:pt>
                <c:pt idx="489">
                  <c:v>1.8816718238393174E-3</c:v>
                </c:pt>
                <c:pt idx="490">
                  <c:v>1.8848880349968042E-3</c:v>
                </c:pt>
                <c:pt idx="491">
                  <c:v>1.8881076387759536E-3</c:v>
                </c:pt>
                <c:pt idx="492">
                  <c:v>1.8913306374516122E-3</c:v>
                </c:pt>
                <c:pt idx="493">
                  <c:v>1.8945570332992163E-3</c:v>
                </c:pt>
                <c:pt idx="494">
                  <c:v>1.8977868285948139E-3</c:v>
                </c:pt>
                <c:pt idx="495">
                  <c:v>1.9010200256150667E-3</c:v>
                </c:pt>
                <c:pt idx="496">
                  <c:v>1.9042566266372254E-3</c:v>
                </c:pt>
                <c:pt idx="497">
                  <c:v>1.9074966339391586E-3</c:v>
                </c:pt>
                <c:pt idx="498">
                  <c:v>1.9107400497993304E-3</c:v>
                </c:pt>
                <c:pt idx="499">
                  <c:v>1.9139868764968273E-3</c:v>
                </c:pt>
                <c:pt idx="500">
                  <c:v>1.9172371163113354E-3</c:v>
                </c:pt>
                <c:pt idx="501">
                  <c:v>1.9204907715231496E-3</c:v>
                </c:pt>
                <c:pt idx="502">
                  <c:v>1.9237478444131693E-3</c:v>
                </c:pt>
                <c:pt idx="503">
                  <c:v>1.9270083372629101E-3</c:v>
                </c:pt>
                <c:pt idx="504">
                  <c:v>1.9302722523545021E-3</c:v>
                </c:pt>
                <c:pt idx="505">
                  <c:v>1.933539591970673E-3</c:v>
                </c:pt>
                <c:pt idx="506">
                  <c:v>1.9368103583947687E-3</c:v>
                </c:pt>
                <c:pt idx="507">
                  <c:v>1.9400845539107473E-3</c:v>
                </c:pt>
                <c:pt idx="508">
                  <c:v>1.9433621808031822E-3</c:v>
                </c:pt>
                <c:pt idx="509">
                  <c:v>1.946643241357252E-3</c:v>
                </c:pt>
                <c:pt idx="510">
                  <c:v>1.9499277378587539E-3</c:v>
                </c:pt>
                <c:pt idx="511">
                  <c:v>1.9532156725940984E-3</c:v>
                </c:pt>
                <c:pt idx="512">
                  <c:v>1.956507047850308E-3</c:v>
                </c:pt>
                <c:pt idx="513">
                  <c:v>1.959801865915026E-3</c:v>
                </c:pt>
                <c:pt idx="514">
                  <c:v>1.9631001290765031E-3</c:v>
                </c:pt>
                <c:pt idx="515">
                  <c:v>1.9664018396236133E-3</c:v>
                </c:pt>
                <c:pt idx="516">
                  <c:v>1.9697069998458497E-3</c:v>
                </c:pt>
                <c:pt idx="517">
                  <c:v>1.9730156120333054E-3</c:v>
                </c:pt>
                <c:pt idx="518">
                  <c:v>1.9763276784767105E-3</c:v>
                </c:pt>
                <c:pt idx="519">
                  <c:v>1.9796432014674015E-3</c:v>
                </c:pt>
                <c:pt idx="520">
                  <c:v>1.9829621832973396E-3</c:v>
                </c:pt>
                <c:pt idx="521">
                  <c:v>1.9862846262591128E-3</c:v>
                </c:pt>
                <c:pt idx="522">
                  <c:v>1.9896105326459041E-3</c:v>
                </c:pt>
                <c:pt idx="523">
                  <c:v>1.9929399047515363E-3</c:v>
                </c:pt>
                <c:pt idx="524">
                  <c:v>1.9962727448704569E-3</c:v>
                </c:pt>
                <c:pt idx="525">
                  <c:v>1.9996090552977146E-3</c:v>
                </c:pt>
                <c:pt idx="526">
                  <c:v>2.0029488383290009E-3</c:v>
                </c:pt>
                <c:pt idx="527">
                  <c:v>2.006292096260613E-3</c:v>
                </c:pt>
                <c:pt idx="528">
                  <c:v>2.0096388313894831E-3</c:v>
                </c:pt>
                <c:pt idx="529">
                  <c:v>2.0129890460131509E-3</c:v>
                </c:pt>
                <c:pt idx="530">
                  <c:v>2.0163427424298077E-3</c:v>
                </c:pt>
                <c:pt idx="531">
                  <c:v>2.0196999229382356E-3</c:v>
                </c:pt>
                <c:pt idx="532">
                  <c:v>2.0230605898378636E-3</c:v>
                </c:pt>
                <c:pt idx="533">
                  <c:v>2.0264247454287415E-3</c:v>
                </c:pt>
                <c:pt idx="534">
                  <c:v>2.0297923920115321E-3</c:v>
                </c:pt>
                <c:pt idx="535">
                  <c:v>2.0331635318875507E-3</c:v>
                </c:pt>
                <c:pt idx="536">
                  <c:v>2.0365381673587068E-3</c:v>
                </c:pt>
                <c:pt idx="537">
                  <c:v>2.0399163007275628E-3</c:v>
                </c:pt>
                <c:pt idx="538">
                  <c:v>2.0432979342972996E-3</c:v>
                </c:pt>
                <c:pt idx="539">
                  <c:v>2.0466830703717151E-3</c:v>
                </c:pt>
                <c:pt idx="540">
                  <c:v>2.0500717112552562E-3</c:v>
                </c:pt>
                <c:pt idx="541">
                  <c:v>2.0534638592529819E-3</c:v>
                </c:pt>
                <c:pt idx="542">
                  <c:v>2.0568595166705916E-3</c:v>
                </c:pt>
                <c:pt idx="543">
                  <c:v>2.0602586858144024E-3</c:v>
                </c:pt>
                <c:pt idx="544">
                  <c:v>2.0636613689913774E-3</c:v>
                </c:pt>
                <c:pt idx="545">
                  <c:v>2.0670675685090941E-3</c:v>
                </c:pt>
                <c:pt idx="546">
                  <c:v>2.0704772866757684E-3</c:v>
                </c:pt>
                <c:pt idx="547">
                  <c:v>2.0738905258002593E-3</c:v>
                </c:pt>
                <c:pt idx="548">
                  <c:v>2.0773072881920341E-3</c:v>
                </c:pt>
                <c:pt idx="549">
                  <c:v>2.0807275761612113E-3</c:v>
                </c:pt>
                <c:pt idx="550">
                  <c:v>2.0841513920185294E-3</c:v>
                </c:pt>
                <c:pt idx="551">
                  <c:v>2.0875787380753717E-3</c:v>
                </c:pt>
                <c:pt idx="552">
                  <c:v>2.0910096166437543E-3</c:v>
                </c:pt>
                <c:pt idx="553">
                  <c:v>2.094444030036315E-3</c:v>
                </c:pt>
                <c:pt idx="554">
                  <c:v>2.0978819805663371E-3</c:v>
                </c:pt>
                <c:pt idx="555">
                  <c:v>2.1013234705477375E-3</c:v>
                </c:pt>
                <c:pt idx="556">
                  <c:v>2.104768502295067E-3</c:v>
                </c:pt>
                <c:pt idx="557">
                  <c:v>2.1082170781235136E-3</c:v>
                </c:pt>
                <c:pt idx="558">
                  <c:v>2.1116692003488955E-3</c:v>
                </c:pt>
                <c:pt idx="559">
                  <c:v>2.1151248712876786E-3</c:v>
                </c:pt>
                <c:pt idx="560">
                  <c:v>2.1185840932569601E-3</c:v>
                </c:pt>
                <c:pt idx="561">
                  <c:v>2.1220468685744691E-3</c:v>
                </c:pt>
                <c:pt idx="562">
                  <c:v>2.125513199558587E-3</c:v>
                </c:pt>
                <c:pt idx="563">
                  <c:v>2.1289830885283145E-3</c:v>
                </c:pt>
                <c:pt idx="564">
                  <c:v>2.1324565378033032E-3</c:v>
                </c:pt>
                <c:pt idx="565">
                  <c:v>2.1359335497038502E-3</c:v>
                </c:pt>
                <c:pt idx="566">
                  <c:v>2.1394141265508719E-3</c:v>
                </c:pt>
                <c:pt idx="567">
                  <c:v>2.1428982706659448E-3</c:v>
                </c:pt>
                <c:pt idx="568">
                  <c:v>2.1463859843712748E-3</c:v>
                </c:pt>
                <c:pt idx="569">
                  <c:v>2.1498772699897134E-3</c:v>
                </c:pt>
                <c:pt idx="570">
                  <c:v>2.1533721298447515E-3</c:v>
                </c:pt>
                <c:pt idx="571">
                  <c:v>2.1568705662605167E-3</c:v>
                </c:pt>
                <c:pt idx="572">
                  <c:v>2.1603725815617916E-3</c:v>
                </c:pt>
                <c:pt idx="573">
                  <c:v>2.1638781780739785E-3</c:v>
                </c:pt>
                <c:pt idx="574">
                  <c:v>2.1673873581231485E-3</c:v>
                </c:pt>
                <c:pt idx="575">
                  <c:v>2.1709001240360032E-3</c:v>
                </c:pt>
                <c:pt idx="576">
                  <c:v>2.1744164782509989E-3</c:v>
                </c:pt>
                <c:pt idx="577">
                  <c:v>2.1844282935542464E-3</c:v>
                </c:pt>
                <c:pt idx="578">
                  <c:v>3.8893531558301235E-3</c:v>
                </c:pt>
                <c:pt idx="579">
                  <c:v>2.8080441535525854E-2</c:v>
                </c:pt>
                <c:pt idx="580">
                  <c:v>0.13179253495547427</c:v>
                </c:pt>
                <c:pt idx="581">
                  <c:v>0.37819389081345434</c:v>
                </c:pt>
                <c:pt idx="582">
                  <c:v>0.80354967129952326</c:v>
                </c:pt>
                <c:pt idx="583">
                  <c:v>1.4126166819478854</c:v>
                </c:pt>
                <c:pt idx="584">
                  <c:v>2.1887319329846946</c:v>
                </c:pt>
                <c:pt idx="585">
                  <c:v>3.104886488460175</c:v>
                </c:pt>
                <c:pt idx="586">
                  <c:v>4.1313600893083304</c:v>
                </c:pt>
                <c:pt idx="587">
                  <c:v>5.2399460424879987</c:v>
                </c:pt>
                <c:pt idx="588">
                  <c:v>6.4058579551454375</c:v>
                </c:pt>
                <c:pt idx="589">
                  <c:v>7.6082990997656772</c:v>
                </c:pt>
                <c:pt idx="590">
                  <c:v>8.8303474957761061</c:v>
                </c:pt>
                <c:pt idx="591">
                  <c:v>10.058538927462761</c:v>
                </c:pt>
                <c:pt idx="592">
                  <c:v>11.282353582116512</c:v>
                </c:pt>
                <c:pt idx="593">
                  <c:v>12.493708302218479</c:v>
                </c:pt>
                <c:pt idx="594">
                  <c:v>13.68649928683765</c:v>
                </c:pt>
                <c:pt idx="595">
                  <c:v>14.856210215060118</c:v>
                </c:pt>
                <c:pt idx="596">
                  <c:v>15.999586133095171</c:v>
                </c:pt>
                <c:pt idx="597">
                  <c:v>17.114366994275731</c:v>
                </c:pt>
                <c:pt idx="598">
                  <c:v>18.199072508555986</c:v>
                </c:pt>
                <c:pt idx="599">
                  <c:v>19.252829786207084</c:v>
                </c:pt>
                <c:pt idx="600">
                  <c:v>20.275236003081638</c:v>
                </c:pt>
                <c:pt idx="601">
                  <c:v>21.26624938336013</c:v>
                </c:pt>
                <c:pt idx="602">
                  <c:v>22.226102902361323</c:v>
                </c:pt>
                <c:pt idx="603">
                  <c:v>23.155236128113909</c:v>
                </c:pt>
                <c:pt idx="604">
                  <c:v>24.05424149893075</c:v>
                </c:pt>
                <c:pt idx="605">
                  <c:v>24.923822068220986</c:v>
                </c:pt>
                <c:pt idx="606">
                  <c:v>25.764758348283596</c:v>
                </c:pt>
                <c:pt idx="607">
                  <c:v>26.577882369650123</c:v>
                </c:pt>
                <c:pt idx="608">
                  <c:v>27.364057460672555</c:v>
                </c:pt>
                <c:pt idx="609">
                  <c:v>28.124162561111941</c:v>
                </c:pt>
                <c:pt idx="610">
                  <c:v>28.859080128787717</c:v>
                </c:pt>
                <c:pt idx="611">
                  <c:v>29.569686892692019</c:v>
                </c:pt>
                <c:pt idx="612">
                  <c:v>30.256846859851166</c:v>
                </c:pt>
                <c:pt idx="613">
                  <c:v>30.921406105022658</c:v>
                </c:pt>
                <c:pt idx="614">
                  <c:v>31.564188968808981</c:v>
                </c:pt>
                <c:pt idx="615">
                  <c:v>32.18599536624702</c:v>
                </c:pt>
                <c:pt idx="616">
                  <c:v>32.787598968633418</c:v>
                </c:pt>
                <c:pt idx="617">
                  <c:v>33.369746069568365</c:v>
                </c:pt>
                <c:pt idx="618">
                  <c:v>33.933154984568752</c:v>
                </c:pt>
                <c:pt idx="619">
                  <c:v>34.478515864162333</c:v>
                </c:pt>
                <c:pt idx="620">
                  <c:v>35.006490824751914</c:v>
                </c:pt>
                <c:pt idx="621">
                  <c:v>35.517714321009628</c:v>
                </c:pt>
                <c:pt idx="622">
                  <c:v>36.012793699125133</c:v>
                </c:pt>
                <c:pt idx="623">
                  <c:v>36.492309882689007</c:v>
                </c:pt>
                <c:pt idx="624">
                  <c:v>36.956818152973547</c:v>
                </c:pt>
                <c:pt idx="625">
                  <c:v>37.406848993367817</c:v>
                </c:pt>
                <c:pt idx="626">
                  <c:v>37.842908974145551</c:v>
                </c:pt>
                <c:pt idx="627">
                  <c:v>38.265481658880489</c:v>
                </c:pt>
                <c:pt idx="628">
                  <c:v>38.675028517957443</c:v>
                </c:pt>
                <c:pt idx="629">
                  <c:v>39.071989837932726</c:v>
                </c:pt>
                <c:pt idx="630">
                  <c:v>39.456785618148743</c:v>
                </c:pt>
                <c:pt idx="631">
                  <c:v>39.829816448129186</c:v>
                </c:pt>
                <c:pt idx="632">
                  <c:v>40.191464360972674</c:v>
                </c:pt>
                <c:pt idx="633">
                  <c:v>40.542093659316507</c:v>
                </c:pt>
                <c:pt idx="634">
                  <c:v>40.882051711511465</c:v>
                </c:pt>
                <c:pt idx="635">
                  <c:v>41.2116697164995</c:v>
                </c:pt>
                <c:pt idx="636">
                  <c:v>41.531263436551249</c:v>
                </c:pt>
                <c:pt idx="637">
                  <c:v>41.841133897545873</c:v>
                </c:pt>
                <c:pt idx="638">
                  <c:v>42.141568056879159</c:v>
                </c:pt>
                <c:pt idx="639">
                  <c:v>42.432839439394037</c:v>
                </c:pt>
                <c:pt idx="640">
                  <c:v>42.715208741966293</c:v>
                </c:pt>
                <c:pt idx="641">
                  <c:v>42.988924407546925</c:v>
                </c:pt>
                <c:pt idx="642">
                  <c:v>43.254223169591036</c:v>
                </c:pt>
                <c:pt idx="643">
                  <c:v>43.511330567885373</c:v>
                </c:pt>
                <c:pt idx="644">
                  <c:v>43.760461436841744</c:v>
                </c:pt>
                <c:pt idx="645">
                  <c:v>44.001820367356977</c:v>
                </c:pt>
                <c:pt idx="646">
                  <c:v>44.235602143343449</c:v>
                </c:pt>
                <c:pt idx="647">
                  <c:v>44.461992154037873</c:v>
                </c:pt>
                <c:pt idx="648">
                  <c:v>44.681166783173943</c:v>
                </c:pt>
                <c:pt idx="649">
                  <c:v>44.893293776083567</c:v>
                </c:pt>
                <c:pt idx="650">
                  <c:v>45.098532585757383</c:v>
                </c:pt>
                <c:pt idx="651">
                  <c:v>45.297034698861403</c:v>
                </c:pt>
                <c:pt idx="652">
                  <c:v>45.488943942664783</c:v>
                </c:pt>
                <c:pt idx="653">
                  <c:v>45.674396773795131</c:v>
                </c:pt>
                <c:pt idx="654">
                  <c:v>45.853522549689899</c:v>
                </c:pt>
                <c:pt idx="655">
                  <c:v>46.026443783576291</c:v>
                </c:pt>
                <c:pt idx="656">
                  <c:v>46.193276383758544</c:v>
                </c:pt>
                <c:pt idx="657">
                  <c:v>46.35412987795749</c:v>
                </c:pt>
                <c:pt idx="658">
                  <c:v>46.509107623399423</c:v>
                </c:pt>
                <c:pt idx="659">
                  <c:v>46.658307003309545</c:v>
                </c:pt>
                <c:pt idx="660">
                  <c:v>46.801819610426989</c:v>
                </c:pt>
                <c:pt idx="661">
                  <c:v>46.939731418118022</c:v>
                </c:pt>
                <c:pt idx="662">
                  <c:v>47.07212293962381</c:v>
                </c:pt>
                <c:pt idx="663">
                  <c:v>47.199069375946458</c:v>
                </c:pt>
                <c:pt idx="664">
                  <c:v>47.320640752835004</c:v>
                </c:pt>
                <c:pt idx="665">
                  <c:v>47.436902047307399</c:v>
                </c:pt>
                <c:pt idx="666">
                  <c:v>47.547913304101982</c:v>
                </c:pt>
                <c:pt idx="667">
                  <c:v>47.653729742427736</c:v>
                </c:pt>
                <c:pt idx="668">
                  <c:v>47.754401853346451</c:v>
                </c:pt>
                <c:pt idx="669">
                  <c:v>47.849975488094486</c:v>
                </c:pt>
                <c:pt idx="670">
                  <c:v>47.94049193761925</c:v>
                </c:pt>
                <c:pt idx="671">
                  <c:v>48.025988003581645</c:v>
                </c:pt>
                <c:pt idx="672">
                  <c:v>48.106496061043494</c:v>
                </c:pt>
                <c:pt idx="673">
                  <c:v>48.182044113041322</c:v>
                </c:pt>
                <c:pt idx="674">
                  <c:v>48.252655837210241</c:v>
                </c:pt>
                <c:pt idx="675">
                  <c:v>48.31835062461132</c:v>
                </c:pt>
                <c:pt idx="676">
                  <c:v>48.379143610876611</c:v>
                </c:pt>
                <c:pt idx="677">
                  <c:v>48.435045699775117</c:v>
                </c:pt>
                <c:pt idx="678">
                  <c:v>48.486063579268965</c:v>
                </c:pt>
                <c:pt idx="679">
                  <c:v>48.532199730114264</c:v>
                </c:pt>
                <c:pt idx="680">
                  <c:v>48.573452427029665</c:v>
                </c:pt>
                <c:pt idx="681">
                  <c:v>48.609815732440254</c:v>
                </c:pt>
                <c:pt idx="682">
                  <c:v>48.641279482774948</c:v>
                </c:pt>
                <c:pt idx="683">
                  <c:v>48.667829267277028</c:v>
                </c:pt>
                <c:pt idx="684">
                  <c:v>48.68944639925936</c:v>
                </c:pt>
                <c:pt idx="685">
                  <c:v>48.706107879717536</c:v>
                </c:pt>
                <c:pt idx="686">
                  <c:v>48.717786353183797</c:v>
                </c:pt>
                <c:pt idx="687">
                  <c:v>48.724450055685061</c:v>
                </c:pt>
                <c:pt idx="688">
                  <c:v>48.726062754639955</c:v>
                </c:pt>
                <c:pt idx="689">
                  <c:v>48.722583680506098</c:v>
                </c:pt>
                <c:pt idx="690">
                  <c:v>48.713967449958588</c:v>
                </c:pt>
                <c:pt idx="691">
                  <c:v>48.700163980357615</c:v>
                </c:pt>
                <c:pt idx="692">
                  <c:v>48.681118395230122</c:v>
                </c:pt>
                <c:pt idx="693">
                  <c:v>48.656770920463977</c:v>
                </c:pt>
                <c:pt idx="694">
                  <c:v>48.627056770878006</c:v>
                </c:pt>
                <c:pt idx="695">
                  <c:v>48.591906026804665</c:v>
                </c:pt>
                <c:pt idx="696">
                  <c:v>48.551243500282453</c:v>
                </c:pt>
                <c:pt idx="697">
                  <c:v>48.504988590420965</c:v>
                </c:pt>
                <c:pt idx="698">
                  <c:v>48.453055127469327</c:v>
                </c:pt>
                <c:pt idx="699">
                  <c:v>48.395351205070341</c:v>
                </c:pt>
                <c:pt idx="700">
                  <c:v>48.331779000150327</c:v>
                </c:pt>
                <c:pt idx="701">
                  <c:v>48.262234579846009</c:v>
                </c:pt>
                <c:pt idx="702">
                  <c:v>48.186607694826684</c:v>
                </c:pt>
                <c:pt idx="703">
                  <c:v>48.104781558319388</c:v>
                </c:pt>
                <c:pt idx="704">
                  <c:v>48.016632610100565</c:v>
                </c:pt>
                <c:pt idx="705">
                  <c:v>47.922030264654289</c:v>
                </c:pt>
                <c:pt idx="706">
                  <c:v>47.820836642654619</c:v>
                </c:pt>
                <c:pt idx="707">
                  <c:v>47.712906284857965</c:v>
                </c:pt>
                <c:pt idx="708">
                  <c:v>47.598085847442569</c:v>
                </c:pt>
                <c:pt idx="709">
                  <c:v>47.476213777757764</c:v>
                </c:pt>
                <c:pt idx="710">
                  <c:v>47.347119969387471</c:v>
                </c:pt>
                <c:pt idx="711">
                  <c:v>47.210625395357731</c:v>
                </c:pt>
                <c:pt idx="712">
                  <c:v>47.066541718250107</c:v>
                </c:pt>
                <c:pt idx="713">
                  <c:v>46.914670875907206</c:v>
                </c:pt>
                <c:pt idx="714">
                  <c:v>46.754804641342083</c:v>
                </c:pt>
                <c:pt idx="715">
                  <c:v>46.58672415538782</c:v>
                </c:pt>
                <c:pt idx="716">
                  <c:v>46.410199430546434</c:v>
                </c:pt>
                <c:pt idx="717">
                  <c:v>46.224988824422269</c:v>
                </c:pt>
                <c:pt idx="718">
                  <c:v>46.030838481047823</c:v>
                </c:pt>
                <c:pt idx="719">
                  <c:v>45.827481738346407</c:v>
                </c:pt>
                <c:pt idx="720">
                  <c:v>45.614638499909205</c:v>
                </c:pt>
                <c:pt idx="721">
                  <c:v>45.392014569210893</c:v>
                </c:pt>
                <c:pt idx="722">
                  <c:v>45.159300944348111</c:v>
                </c:pt>
                <c:pt idx="723">
                  <c:v>44.91617307135914</c:v>
                </c:pt>
                <c:pt idx="724">
                  <c:v>44.662290054186691</c:v>
                </c:pt>
                <c:pt idx="725">
                  <c:v>44.397293819366098</c:v>
                </c:pt>
                <c:pt idx="726">
                  <c:v>44.120808233600265</c:v>
                </c:pt>
                <c:pt idx="727">
                  <c:v>43.832438172491578</c:v>
                </c:pt>
                <c:pt idx="728">
                  <c:v>43.531768538885579</c:v>
                </c:pt>
                <c:pt idx="729">
                  <c:v>43.21836322954448</c:v>
                </c:pt>
                <c:pt idx="730">
                  <c:v>42.891764049231966</c:v>
                </c:pt>
                <c:pt idx="731">
                  <c:v>42.551489571780138</c:v>
                </c:pt>
                <c:pt idx="732">
                  <c:v>42.197033948366737</c:v>
                </c:pt>
                <c:pt idx="733">
                  <c:v>41.827865664085117</c:v>
                </c:pt>
                <c:pt idx="734">
                  <c:v>41.443426244994903</c:v>
                </c:pt>
                <c:pt idx="735">
                  <c:v>41.043128919269854</c:v>
                </c:pt>
                <c:pt idx="736">
                  <c:v>40.626357237876036</c:v>
                </c:pt>
                <c:pt idx="737">
                  <c:v>40.192463662529008</c:v>
                </c:pt>
                <c:pt idx="738">
                  <c:v>39.740768131608725</c:v>
                </c:pt>
                <c:pt idx="739">
                  <c:v>39.270556618417942</c:v>
                </c:pt>
                <c:pt idx="740">
                  <c:v>38.781079700834461</c:v>
                </c:pt>
                <c:pt idx="741">
                  <c:v>38.271551167293083</c:v>
                </c:pt>
                <c:pt idx="742">
                  <c:v>37.741146691424454</c:v>
                </c:pt>
                <c:pt idx="743">
                  <c:v>37.189002616976794</c:v>
                </c:pt>
                <c:pt idx="744">
                  <c:v>36.614214906331483</c:v>
                </c:pt>
                <c:pt idx="745">
                  <c:v>36.015838320614236</c:v>
                </c:pt>
                <c:pt idx="746">
                  <c:v>35.392885917873969</c:v>
                </c:pt>
                <c:pt idx="747">
                  <c:v>34.744328979048007</c:v>
                </c:pt>
                <c:pt idx="748">
                  <c:v>34.069097500699371</c:v>
                </c:pt>
                <c:pt idx="749">
                  <c:v>33.366081430406624</c:v>
                </c:pt>
                <c:pt idx="750">
                  <c:v>32.634132867236055</c:v>
                </c:pt>
                <c:pt idx="751">
                  <c:v>31.872069508519168</c:v>
                </c:pt>
                <c:pt idx="752">
                  <c:v>31.078679698506487</c:v>
                </c:pt>
                <c:pt idx="753">
                  <c:v>30.252729528579835</c:v>
                </c:pt>
                <c:pt idx="754">
                  <c:v>29.392972557947456</c:v>
                </c:pt>
                <c:pt idx="755">
                  <c:v>28.498162874947461</c:v>
                </c:pt>
                <c:pt idx="756">
                  <c:v>27.567072410895527</c:v>
                </c:pt>
                <c:pt idx="757">
                  <c:v>26.598513661733822</c:v>
                </c:pt>
                <c:pt idx="758">
                  <c:v>25.591369281202741</c:v>
                </c:pt>
                <c:pt idx="759">
                  <c:v>24.544630399659525</c:v>
                </c:pt>
                <c:pt idx="760">
                  <c:v>23.457446015336188</c:v>
                </c:pt>
                <c:pt idx="761">
                  <c:v>22.329186423472187</c:v>
                </c:pt>
                <c:pt idx="762">
                  <c:v>21.159524419589161</c:v>
                </c:pt>
                <c:pt idx="763">
                  <c:v>19.948538962008005</c:v>
                </c:pt>
                <c:pt idx="764">
                  <c:v>18.696847124545521</c:v>
                </c:pt>
                <c:pt idx="765">
                  <c:v>17.405771511843536</c:v>
                </c:pt>
                <c:pt idx="766">
                  <c:v>16.077551798875934</c:v>
                </c:pt>
                <c:pt idx="767">
                  <c:v>14.715610547106611</c:v>
                </c:pt>
                <c:pt idx="768">
                  <c:v>13.324884604173599</c:v>
                </c:pt>
                <c:pt idx="769">
                  <c:v>11.912233505333848</c:v>
                </c:pt>
                <c:pt idx="770">
                  <c:v>10.486933969789771</c:v>
                </c:pt>
                <c:pt idx="771">
                  <c:v>9.061262173776699</c:v>
                </c:pt>
                <c:pt idx="772">
                  <c:v>7.6511480904371512</c:v>
                </c:pt>
                <c:pt idx="773">
                  <c:v>6.2768500381370096</c:v>
                </c:pt>
                <c:pt idx="774">
                  <c:v>4.9635275625248854</c:v>
                </c:pt>
                <c:pt idx="775">
                  <c:v>3.7414626088917822</c:v>
                </c:pt>
                <c:pt idx="776">
                  <c:v>2.6454589419020103</c:v>
                </c:pt>
                <c:pt idx="777">
                  <c:v>1.712609003814181</c:v>
                </c:pt>
                <c:pt idx="778">
                  <c:v>0.97719783510210112</c:v>
                </c:pt>
                <c:pt idx="779">
                  <c:v>0.46134732972898307</c:v>
                </c:pt>
                <c:pt idx="780">
                  <c:v>0.16126986265400267</c:v>
                </c:pt>
                <c:pt idx="781">
                  <c:v>3.4468151931611027E-2</c:v>
                </c:pt>
                <c:pt idx="782">
                  <c:v>4.7889927309946873E-3</c:v>
                </c:pt>
                <c:pt idx="783">
                  <c:v>2.6980972819631655E-3</c:v>
                </c:pt>
                <c:pt idx="784">
                  <c:v>2.6941119875163416E-3</c:v>
                </c:pt>
                <c:pt idx="785">
                  <c:v>2.6981490468169383E-3</c:v>
                </c:pt>
                <c:pt idx="786">
                  <c:v>2.7021900261604026E-3</c:v>
                </c:pt>
                <c:pt idx="787">
                  <c:v>2.7062349278300143E-3</c:v>
                </c:pt>
                <c:pt idx="788">
                  <c:v>2.7102837542474392E-3</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112518848"/>
        <c:axId val="112519424"/>
      </c:scatterChart>
      <c:valAx>
        <c:axId val="112518848"/>
        <c:scaling>
          <c:orientation val="minMax"/>
        </c:scaling>
        <c:delete val="0"/>
        <c:axPos val="b"/>
        <c:minorGridlines/>
        <c:numFmt formatCode="General" sourceLinked="1"/>
        <c:majorTickMark val="out"/>
        <c:minorTickMark val="none"/>
        <c:tickLblPos val="nextTo"/>
        <c:crossAx val="112519424"/>
        <c:crosses val="autoZero"/>
        <c:crossBetween val="midCat"/>
      </c:valAx>
      <c:valAx>
        <c:axId val="112519424"/>
        <c:scaling>
          <c:orientation val="minMax"/>
          <c:max val="100"/>
          <c:min val="0"/>
        </c:scaling>
        <c:delete val="0"/>
        <c:axPos val="l"/>
        <c:majorGridlines/>
        <c:minorGridlines>
          <c:spPr>
            <a:ln>
              <a:noFill/>
            </a:ln>
          </c:spPr>
        </c:minorGridlines>
        <c:numFmt formatCode="General" sourceLinked="1"/>
        <c:majorTickMark val="out"/>
        <c:minorTickMark val="none"/>
        <c:tickLblPos val="nextTo"/>
        <c:spPr>
          <a:effectLst/>
        </c:spPr>
        <c:crossAx val="112518848"/>
        <c:crosses val="autoZero"/>
        <c:crossBetween val="midCat"/>
      </c:valAx>
    </c:plotArea>
    <c:legend>
      <c:legendPos val="t"/>
      <c:layout>
        <c:manualLayout>
          <c:xMode val="edge"/>
          <c:yMode val="edge"/>
          <c:x val="6.5440294072534951E-4"/>
          <c:y val="2.6315798561886504E-2"/>
          <c:w val="0.99435279981863012"/>
          <c:h val="0.36394024172545991"/>
        </c:manualLayout>
      </c:layout>
      <c:overlay val="0"/>
      <c:txPr>
        <a:bodyPr/>
        <a:lstStyle/>
        <a:p>
          <a:pPr>
            <a:defRPr sz="1200" b="1"/>
          </a:pPr>
          <a:endParaRPr lang="ru-RU"/>
        </a:p>
      </c:txPr>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a:pPr>
          <a:endParaRPr lang="ru-RU"/>
        </a:p>
      </c:txPr>
    </c:title>
    <c:autoTitleDeleted val="0"/>
    <c:plotArea>
      <c:layout/>
      <c:scatterChart>
        <c:scatterStyle val="lineMarker"/>
        <c:varyColors val="0"/>
        <c:ser>
          <c:idx val="0"/>
          <c:order val="0"/>
          <c:tx>
            <c:strRef>
              <c:f>Calculations!$AG$1</c:f>
              <c:strCache>
                <c:ptCount val="1"/>
                <c:pt idx="0">
                  <c:v>Вероятность образования льда внутри оболочки / The likelihood of ice formation inside the envelope</c:v>
                </c:pt>
              </c:strCache>
            </c:strRef>
          </c:tx>
          <c:marker>
            <c:symbol val="none"/>
          </c:marker>
          <c:xVal>
            <c:numRef>
              <c:f>Calculations!$B$2:$B$1302</c:f>
              <c:numCache>
                <c:formatCode>General</c:formatCode>
                <c:ptCount val="13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0.54999999999999993</c:v>
                </c:pt>
                <c:pt idx="12">
                  <c:v>0.6</c:v>
                </c:pt>
                <c:pt idx="13">
                  <c:v>0.65</c:v>
                </c:pt>
                <c:pt idx="14">
                  <c:v>0.70000000000000007</c:v>
                </c:pt>
                <c:pt idx="15">
                  <c:v>0.75000000000000011</c:v>
                </c:pt>
                <c:pt idx="16">
                  <c:v>0.80000000000000016</c:v>
                </c:pt>
                <c:pt idx="17">
                  <c:v>0.8500000000000002</c:v>
                </c:pt>
                <c:pt idx="18">
                  <c:v>0.90000000000000024</c:v>
                </c:pt>
                <c:pt idx="19">
                  <c:v>0.95000000000000029</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1.8000000000000009</c:v>
                </c:pt>
                <c:pt idx="37">
                  <c:v>1.850000000000001</c:v>
                </c:pt>
                <c:pt idx="38">
                  <c:v>1.900000000000001</c:v>
                </c:pt>
                <c:pt idx="39">
                  <c:v>1.9500000000000011</c:v>
                </c:pt>
                <c:pt idx="40">
                  <c:v>2.0000000000000009</c:v>
                </c:pt>
                <c:pt idx="41">
                  <c:v>2.0500000000000007</c:v>
                </c:pt>
                <c:pt idx="42">
                  <c:v>2.1000000000000005</c:v>
                </c:pt>
                <c:pt idx="43">
                  <c:v>2.1500000000000004</c:v>
                </c:pt>
                <c:pt idx="44">
                  <c:v>2.2000000000000002</c:v>
                </c:pt>
                <c:pt idx="45">
                  <c:v>2.25</c:v>
                </c:pt>
                <c:pt idx="46">
                  <c:v>2.2999999999999998</c:v>
                </c:pt>
                <c:pt idx="47">
                  <c:v>2.3499999999999996</c:v>
                </c:pt>
                <c:pt idx="48">
                  <c:v>2.3999999999999995</c:v>
                </c:pt>
                <c:pt idx="49">
                  <c:v>2.4499999999999993</c:v>
                </c:pt>
                <c:pt idx="50">
                  <c:v>2.4999999999999991</c:v>
                </c:pt>
                <c:pt idx="51">
                  <c:v>2.5499999999999989</c:v>
                </c:pt>
                <c:pt idx="52">
                  <c:v>2.5999999999999988</c:v>
                </c:pt>
                <c:pt idx="53">
                  <c:v>2.6499999999999986</c:v>
                </c:pt>
                <c:pt idx="54">
                  <c:v>2.6999999999999984</c:v>
                </c:pt>
                <c:pt idx="55">
                  <c:v>2.7499999999999982</c:v>
                </c:pt>
                <c:pt idx="56">
                  <c:v>2.799999999999998</c:v>
                </c:pt>
                <c:pt idx="57">
                  <c:v>2.8499999999999979</c:v>
                </c:pt>
                <c:pt idx="58">
                  <c:v>2.8999999999999977</c:v>
                </c:pt>
                <c:pt idx="59">
                  <c:v>2.9499999999999975</c:v>
                </c:pt>
                <c:pt idx="60">
                  <c:v>2.9999999999999973</c:v>
                </c:pt>
                <c:pt idx="61">
                  <c:v>3.0499999999999972</c:v>
                </c:pt>
                <c:pt idx="62">
                  <c:v>3.099999999999997</c:v>
                </c:pt>
                <c:pt idx="63">
                  <c:v>3.1499999999999968</c:v>
                </c:pt>
                <c:pt idx="64">
                  <c:v>3.1999999999999966</c:v>
                </c:pt>
                <c:pt idx="65">
                  <c:v>3.2499999999999964</c:v>
                </c:pt>
                <c:pt idx="66">
                  <c:v>3.2999999999999963</c:v>
                </c:pt>
                <c:pt idx="67">
                  <c:v>3.3499999999999961</c:v>
                </c:pt>
                <c:pt idx="68">
                  <c:v>3.3999999999999959</c:v>
                </c:pt>
                <c:pt idx="69">
                  <c:v>3.4499999999999957</c:v>
                </c:pt>
                <c:pt idx="70">
                  <c:v>3.4999999999999956</c:v>
                </c:pt>
                <c:pt idx="71">
                  <c:v>3.5499999999999954</c:v>
                </c:pt>
                <c:pt idx="72">
                  <c:v>3.5999999999999952</c:v>
                </c:pt>
                <c:pt idx="73">
                  <c:v>3.649999999999995</c:v>
                </c:pt>
                <c:pt idx="74">
                  <c:v>3.6999999999999948</c:v>
                </c:pt>
                <c:pt idx="75">
                  <c:v>3.7499999999999947</c:v>
                </c:pt>
                <c:pt idx="76">
                  <c:v>3.7999999999999945</c:v>
                </c:pt>
                <c:pt idx="77">
                  <c:v>3.8499999999999943</c:v>
                </c:pt>
                <c:pt idx="78">
                  <c:v>3.8999999999999941</c:v>
                </c:pt>
                <c:pt idx="79">
                  <c:v>3.949999999999994</c:v>
                </c:pt>
                <c:pt idx="80">
                  <c:v>3.9999999999999938</c:v>
                </c:pt>
                <c:pt idx="81">
                  <c:v>4.0499999999999936</c:v>
                </c:pt>
                <c:pt idx="82">
                  <c:v>4.0999999999999934</c:v>
                </c:pt>
                <c:pt idx="83">
                  <c:v>4.1499999999999932</c:v>
                </c:pt>
                <c:pt idx="84">
                  <c:v>4.1999999999999931</c:v>
                </c:pt>
                <c:pt idx="85">
                  <c:v>4.2499999999999929</c:v>
                </c:pt>
                <c:pt idx="86">
                  <c:v>4.2999999999999927</c:v>
                </c:pt>
                <c:pt idx="87">
                  <c:v>4.3499999999999925</c:v>
                </c:pt>
                <c:pt idx="88">
                  <c:v>4.3999999999999924</c:v>
                </c:pt>
                <c:pt idx="89">
                  <c:v>4.4499999999999922</c:v>
                </c:pt>
                <c:pt idx="90">
                  <c:v>4.499999999999992</c:v>
                </c:pt>
                <c:pt idx="91">
                  <c:v>4.5499999999999918</c:v>
                </c:pt>
                <c:pt idx="92">
                  <c:v>4.5999999999999917</c:v>
                </c:pt>
                <c:pt idx="93">
                  <c:v>4.6499999999999915</c:v>
                </c:pt>
                <c:pt idx="94">
                  <c:v>4.6999999999999913</c:v>
                </c:pt>
                <c:pt idx="95">
                  <c:v>4.7499999999999911</c:v>
                </c:pt>
                <c:pt idx="96">
                  <c:v>4.7999999999999909</c:v>
                </c:pt>
                <c:pt idx="97">
                  <c:v>4.8499999999999908</c:v>
                </c:pt>
                <c:pt idx="98">
                  <c:v>4.8999999999999906</c:v>
                </c:pt>
                <c:pt idx="99">
                  <c:v>4.9499999999999904</c:v>
                </c:pt>
                <c:pt idx="100">
                  <c:v>4.9999999999999902</c:v>
                </c:pt>
                <c:pt idx="101">
                  <c:v>5.0499999999999901</c:v>
                </c:pt>
                <c:pt idx="102">
                  <c:v>5.0999999999999899</c:v>
                </c:pt>
                <c:pt idx="103">
                  <c:v>5.1499999999999897</c:v>
                </c:pt>
                <c:pt idx="104">
                  <c:v>5.1999999999999895</c:v>
                </c:pt>
                <c:pt idx="105">
                  <c:v>5.2499999999999893</c:v>
                </c:pt>
                <c:pt idx="106">
                  <c:v>5.2999999999999892</c:v>
                </c:pt>
                <c:pt idx="107">
                  <c:v>5.349999999999989</c:v>
                </c:pt>
                <c:pt idx="108">
                  <c:v>5.3999999999999888</c:v>
                </c:pt>
                <c:pt idx="109">
                  <c:v>5.4499999999999886</c:v>
                </c:pt>
                <c:pt idx="110">
                  <c:v>5.4999999999999885</c:v>
                </c:pt>
                <c:pt idx="111">
                  <c:v>5.5499999999999883</c:v>
                </c:pt>
                <c:pt idx="112">
                  <c:v>5.5999999999999881</c:v>
                </c:pt>
                <c:pt idx="113">
                  <c:v>5.6499999999999879</c:v>
                </c:pt>
                <c:pt idx="114">
                  <c:v>5.6999999999999877</c:v>
                </c:pt>
                <c:pt idx="115">
                  <c:v>5.7499999999999876</c:v>
                </c:pt>
                <c:pt idx="116">
                  <c:v>5.7999999999999874</c:v>
                </c:pt>
                <c:pt idx="117">
                  <c:v>5.8499999999999872</c:v>
                </c:pt>
                <c:pt idx="118">
                  <c:v>5.899999999999987</c:v>
                </c:pt>
                <c:pt idx="119">
                  <c:v>5.9499999999999869</c:v>
                </c:pt>
                <c:pt idx="120">
                  <c:v>5.9999999999999867</c:v>
                </c:pt>
                <c:pt idx="121">
                  <c:v>6.0499999999999865</c:v>
                </c:pt>
                <c:pt idx="122">
                  <c:v>6.0999999999999863</c:v>
                </c:pt>
                <c:pt idx="123">
                  <c:v>6.1499999999999861</c:v>
                </c:pt>
                <c:pt idx="124">
                  <c:v>6.199999999999986</c:v>
                </c:pt>
                <c:pt idx="125">
                  <c:v>6.2499999999999858</c:v>
                </c:pt>
                <c:pt idx="126">
                  <c:v>6.2999999999999856</c:v>
                </c:pt>
                <c:pt idx="127">
                  <c:v>6.3499999999999854</c:v>
                </c:pt>
                <c:pt idx="128">
                  <c:v>6.3999999999999853</c:v>
                </c:pt>
                <c:pt idx="129">
                  <c:v>6.4499999999999851</c:v>
                </c:pt>
                <c:pt idx="130">
                  <c:v>6.4999999999999849</c:v>
                </c:pt>
                <c:pt idx="131">
                  <c:v>6.5499999999999847</c:v>
                </c:pt>
                <c:pt idx="132">
                  <c:v>6.5999999999999845</c:v>
                </c:pt>
                <c:pt idx="133">
                  <c:v>6.6499999999999844</c:v>
                </c:pt>
                <c:pt idx="134">
                  <c:v>6.6999999999999842</c:v>
                </c:pt>
                <c:pt idx="135">
                  <c:v>6.749999999999984</c:v>
                </c:pt>
                <c:pt idx="136">
                  <c:v>6.7999999999999838</c:v>
                </c:pt>
                <c:pt idx="137">
                  <c:v>6.8499999999999837</c:v>
                </c:pt>
                <c:pt idx="138">
                  <c:v>6.8999999999999835</c:v>
                </c:pt>
                <c:pt idx="139">
                  <c:v>6.9499999999999833</c:v>
                </c:pt>
                <c:pt idx="140">
                  <c:v>6.9999999999999831</c:v>
                </c:pt>
                <c:pt idx="141">
                  <c:v>7.0499999999999829</c:v>
                </c:pt>
                <c:pt idx="142">
                  <c:v>7.0999999999999828</c:v>
                </c:pt>
                <c:pt idx="143">
                  <c:v>7.1499999999999826</c:v>
                </c:pt>
                <c:pt idx="144">
                  <c:v>7.1999999999999824</c:v>
                </c:pt>
                <c:pt idx="145">
                  <c:v>7.2499999999999822</c:v>
                </c:pt>
                <c:pt idx="146">
                  <c:v>7.2999999999999821</c:v>
                </c:pt>
                <c:pt idx="147">
                  <c:v>7.3499999999999819</c:v>
                </c:pt>
                <c:pt idx="148">
                  <c:v>7.3999999999999817</c:v>
                </c:pt>
                <c:pt idx="149">
                  <c:v>7.4499999999999815</c:v>
                </c:pt>
                <c:pt idx="150">
                  <c:v>7.4999999999999813</c:v>
                </c:pt>
                <c:pt idx="151">
                  <c:v>7.5499999999999812</c:v>
                </c:pt>
                <c:pt idx="152">
                  <c:v>7.599999999999981</c:v>
                </c:pt>
                <c:pt idx="153">
                  <c:v>7.6499999999999808</c:v>
                </c:pt>
                <c:pt idx="154">
                  <c:v>7.6999999999999806</c:v>
                </c:pt>
                <c:pt idx="155">
                  <c:v>7.7499999999999805</c:v>
                </c:pt>
                <c:pt idx="156">
                  <c:v>7.7999999999999803</c:v>
                </c:pt>
                <c:pt idx="157">
                  <c:v>7.8499999999999801</c:v>
                </c:pt>
                <c:pt idx="158">
                  <c:v>7.8999999999999799</c:v>
                </c:pt>
                <c:pt idx="159">
                  <c:v>7.9499999999999797</c:v>
                </c:pt>
                <c:pt idx="160">
                  <c:v>7.9999999999999796</c:v>
                </c:pt>
                <c:pt idx="161">
                  <c:v>8.0499999999999794</c:v>
                </c:pt>
                <c:pt idx="162">
                  <c:v>8.0999999999999801</c:v>
                </c:pt>
                <c:pt idx="163">
                  <c:v>8.1499999999999808</c:v>
                </c:pt>
                <c:pt idx="164">
                  <c:v>8.1999999999999815</c:v>
                </c:pt>
                <c:pt idx="165">
                  <c:v>8.2499999999999822</c:v>
                </c:pt>
                <c:pt idx="166">
                  <c:v>8.2999999999999829</c:v>
                </c:pt>
                <c:pt idx="167">
                  <c:v>8.3499999999999837</c:v>
                </c:pt>
                <c:pt idx="168">
                  <c:v>8.3999999999999844</c:v>
                </c:pt>
                <c:pt idx="169">
                  <c:v>8.4499999999999851</c:v>
                </c:pt>
                <c:pt idx="170">
                  <c:v>8.4999999999999858</c:v>
                </c:pt>
                <c:pt idx="171">
                  <c:v>8.5499999999999865</c:v>
                </c:pt>
                <c:pt idx="172">
                  <c:v>8.5999999999999872</c:v>
                </c:pt>
                <c:pt idx="173">
                  <c:v>8.6499999999999879</c:v>
                </c:pt>
                <c:pt idx="174">
                  <c:v>8.6999999999999886</c:v>
                </c:pt>
                <c:pt idx="175">
                  <c:v>8.7499999999999893</c:v>
                </c:pt>
                <c:pt idx="176">
                  <c:v>8.7999999999999901</c:v>
                </c:pt>
                <c:pt idx="177">
                  <c:v>8.8499999999999908</c:v>
                </c:pt>
                <c:pt idx="178">
                  <c:v>8.8999999999999915</c:v>
                </c:pt>
                <c:pt idx="179">
                  <c:v>8.9499999999999922</c:v>
                </c:pt>
                <c:pt idx="180">
                  <c:v>8.9999999999999929</c:v>
                </c:pt>
                <c:pt idx="181">
                  <c:v>9.0499999999999936</c:v>
                </c:pt>
                <c:pt idx="182">
                  <c:v>9.0999999999999943</c:v>
                </c:pt>
                <c:pt idx="183">
                  <c:v>9.149999999999995</c:v>
                </c:pt>
                <c:pt idx="184">
                  <c:v>9.1999999999999957</c:v>
                </c:pt>
                <c:pt idx="185">
                  <c:v>9.2499999999999964</c:v>
                </c:pt>
                <c:pt idx="186">
                  <c:v>9.2999999999999972</c:v>
                </c:pt>
                <c:pt idx="187">
                  <c:v>9.3499999999999979</c:v>
                </c:pt>
                <c:pt idx="188">
                  <c:v>9.3999999999999986</c:v>
                </c:pt>
                <c:pt idx="189">
                  <c:v>9.4499999999999993</c:v>
                </c:pt>
                <c:pt idx="190">
                  <c:v>9.5</c:v>
                </c:pt>
                <c:pt idx="191">
                  <c:v>9.5500000000000007</c:v>
                </c:pt>
                <c:pt idx="192">
                  <c:v>9.6000000000000014</c:v>
                </c:pt>
                <c:pt idx="193">
                  <c:v>9.6500000000000021</c:v>
                </c:pt>
                <c:pt idx="194">
                  <c:v>9.7000000000000028</c:v>
                </c:pt>
                <c:pt idx="195">
                  <c:v>9.7500000000000036</c:v>
                </c:pt>
                <c:pt idx="196">
                  <c:v>9.8000000000000043</c:v>
                </c:pt>
                <c:pt idx="197">
                  <c:v>9.850000000000005</c:v>
                </c:pt>
                <c:pt idx="198">
                  <c:v>9.9000000000000057</c:v>
                </c:pt>
                <c:pt idx="199">
                  <c:v>9.9500000000000064</c:v>
                </c:pt>
                <c:pt idx="200">
                  <c:v>10.000000000000007</c:v>
                </c:pt>
                <c:pt idx="201">
                  <c:v>10.050000000000008</c:v>
                </c:pt>
                <c:pt idx="202">
                  <c:v>10.100000000000009</c:v>
                </c:pt>
                <c:pt idx="203">
                  <c:v>10.150000000000009</c:v>
                </c:pt>
                <c:pt idx="204">
                  <c:v>10.20000000000001</c:v>
                </c:pt>
                <c:pt idx="205">
                  <c:v>10.250000000000011</c:v>
                </c:pt>
                <c:pt idx="206">
                  <c:v>10.300000000000011</c:v>
                </c:pt>
                <c:pt idx="207">
                  <c:v>10.350000000000012</c:v>
                </c:pt>
                <c:pt idx="208">
                  <c:v>10.400000000000013</c:v>
                </c:pt>
                <c:pt idx="209">
                  <c:v>10.450000000000014</c:v>
                </c:pt>
                <c:pt idx="210">
                  <c:v>10.500000000000014</c:v>
                </c:pt>
                <c:pt idx="211">
                  <c:v>10.550000000000015</c:v>
                </c:pt>
                <c:pt idx="212">
                  <c:v>10.600000000000016</c:v>
                </c:pt>
                <c:pt idx="213">
                  <c:v>10.650000000000016</c:v>
                </c:pt>
                <c:pt idx="214">
                  <c:v>10.700000000000017</c:v>
                </c:pt>
                <c:pt idx="215">
                  <c:v>10.750000000000018</c:v>
                </c:pt>
                <c:pt idx="216">
                  <c:v>10.800000000000018</c:v>
                </c:pt>
                <c:pt idx="217">
                  <c:v>10.850000000000019</c:v>
                </c:pt>
                <c:pt idx="218">
                  <c:v>10.90000000000002</c:v>
                </c:pt>
                <c:pt idx="219">
                  <c:v>10.950000000000021</c:v>
                </c:pt>
                <c:pt idx="220">
                  <c:v>11.000000000000021</c:v>
                </c:pt>
                <c:pt idx="221">
                  <c:v>11.050000000000022</c:v>
                </c:pt>
                <c:pt idx="222">
                  <c:v>11.100000000000023</c:v>
                </c:pt>
                <c:pt idx="223">
                  <c:v>11.150000000000023</c:v>
                </c:pt>
                <c:pt idx="224">
                  <c:v>11.200000000000024</c:v>
                </c:pt>
                <c:pt idx="225">
                  <c:v>11.250000000000025</c:v>
                </c:pt>
                <c:pt idx="226">
                  <c:v>11.300000000000026</c:v>
                </c:pt>
                <c:pt idx="227">
                  <c:v>11.350000000000026</c:v>
                </c:pt>
                <c:pt idx="228">
                  <c:v>11.400000000000027</c:v>
                </c:pt>
                <c:pt idx="229">
                  <c:v>11.450000000000028</c:v>
                </c:pt>
                <c:pt idx="230">
                  <c:v>11.500000000000028</c:v>
                </c:pt>
                <c:pt idx="231">
                  <c:v>11.550000000000029</c:v>
                </c:pt>
                <c:pt idx="232">
                  <c:v>11.60000000000003</c:v>
                </c:pt>
                <c:pt idx="233">
                  <c:v>11.650000000000031</c:v>
                </c:pt>
                <c:pt idx="234">
                  <c:v>11.700000000000031</c:v>
                </c:pt>
                <c:pt idx="235">
                  <c:v>11.750000000000032</c:v>
                </c:pt>
                <c:pt idx="236">
                  <c:v>11.800000000000033</c:v>
                </c:pt>
                <c:pt idx="237">
                  <c:v>11.850000000000033</c:v>
                </c:pt>
                <c:pt idx="238">
                  <c:v>11.900000000000034</c:v>
                </c:pt>
                <c:pt idx="239">
                  <c:v>11.950000000000035</c:v>
                </c:pt>
                <c:pt idx="240">
                  <c:v>12.000000000000036</c:v>
                </c:pt>
                <c:pt idx="241">
                  <c:v>12.050000000000036</c:v>
                </c:pt>
                <c:pt idx="242">
                  <c:v>12.100000000000037</c:v>
                </c:pt>
                <c:pt idx="243">
                  <c:v>12.150000000000038</c:v>
                </c:pt>
                <c:pt idx="244">
                  <c:v>12.200000000000038</c:v>
                </c:pt>
                <c:pt idx="245">
                  <c:v>12.250000000000039</c:v>
                </c:pt>
                <c:pt idx="246">
                  <c:v>12.30000000000004</c:v>
                </c:pt>
                <c:pt idx="247">
                  <c:v>12.350000000000041</c:v>
                </c:pt>
                <c:pt idx="248">
                  <c:v>12.400000000000041</c:v>
                </c:pt>
                <c:pt idx="249">
                  <c:v>12.450000000000042</c:v>
                </c:pt>
                <c:pt idx="250">
                  <c:v>12.500000000000043</c:v>
                </c:pt>
                <c:pt idx="251">
                  <c:v>12.550000000000043</c:v>
                </c:pt>
                <c:pt idx="252">
                  <c:v>12.600000000000044</c:v>
                </c:pt>
                <c:pt idx="253">
                  <c:v>12.650000000000045</c:v>
                </c:pt>
                <c:pt idx="254">
                  <c:v>12.700000000000045</c:v>
                </c:pt>
                <c:pt idx="255">
                  <c:v>12.750000000000046</c:v>
                </c:pt>
                <c:pt idx="256">
                  <c:v>12.800000000000047</c:v>
                </c:pt>
                <c:pt idx="257">
                  <c:v>12.850000000000048</c:v>
                </c:pt>
                <c:pt idx="258">
                  <c:v>12.900000000000048</c:v>
                </c:pt>
                <c:pt idx="259">
                  <c:v>12.950000000000049</c:v>
                </c:pt>
                <c:pt idx="260">
                  <c:v>13.00000000000005</c:v>
                </c:pt>
                <c:pt idx="261">
                  <c:v>13.05000000000005</c:v>
                </c:pt>
                <c:pt idx="262">
                  <c:v>13.100000000000051</c:v>
                </c:pt>
                <c:pt idx="263">
                  <c:v>13.150000000000052</c:v>
                </c:pt>
                <c:pt idx="264">
                  <c:v>13.200000000000053</c:v>
                </c:pt>
                <c:pt idx="265">
                  <c:v>13.250000000000053</c:v>
                </c:pt>
                <c:pt idx="266">
                  <c:v>13.300000000000054</c:v>
                </c:pt>
                <c:pt idx="267">
                  <c:v>13.350000000000055</c:v>
                </c:pt>
                <c:pt idx="268">
                  <c:v>13.400000000000055</c:v>
                </c:pt>
                <c:pt idx="269">
                  <c:v>13.450000000000056</c:v>
                </c:pt>
                <c:pt idx="270">
                  <c:v>13.500000000000057</c:v>
                </c:pt>
                <c:pt idx="271">
                  <c:v>13.550000000000058</c:v>
                </c:pt>
                <c:pt idx="272">
                  <c:v>13.600000000000058</c:v>
                </c:pt>
                <c:pt idx="273">
                  <c:v>13.650000000000059</c:v>
                </c:pt>
                <c:pt idx="274">
                  <c:v>13.70000000000006</c:v>
                </c:pt>
                <c:pt idx="275">
                  <c:v>13.75000000000006</c:v>
                </c:pt>
                <c:pt idx="276">
                  <c:v>13.800000000000061</c:v>
                </c:pt>
                <c:pt idx="277">
                  <c:v>13.850000000000062</c:v>
                </c:pt>
                <c:pt idx="278">
                  <c:v>13.900000000000063</c:v>
                </c:pt>
                <c:pt idx="279">
                  <c:v>13.950000000000063</c:v>
                </c:pt>
                <c:pt idx="280">
                  <c:v>14.000000000000064</c:v>
                </c:pt>
                <c:pt idx="281">
                  <c:v>14.050000000000065</c:v>
                </c:pt>
                <c:pt idx="282">
                  <c:v>14.100000000000065</c:v>
                </c:pt>
                <c:pt idx="283">
                  <c:v>14.150000000000066</c:v>
                </c:pt>
                <c:pt idx="284">
                  <c:v>14.200000000000067</c:v>
                </c:pt>
                <c:pt idx="285">
                  <c:v>14.250000000000068</c:v>
                </c:pt>
                <c:pt idx="286">
                  <c:v>14.300000000000068</c:v>
                </c:pt>
                <c:pt idx="287">
                  <c:v>14.350000000000069</c:v>
                </c:pt>
                <c:pt idx="288">
                  <c:v>14.40000000000007</c:v>
                </c:pt>
                <c:pt idx="289">
                  <c:v>14.45000000000007</c:v>
                </c:pt>
                <c:pt idx="290">
                  <c:v>14.500000000000071</c:v>
                </c:pt>
                <c:pt idx="291">
                  <c:v>14.550000000000072</c:v>
                </c:pt>
                <c:pt idx="292">
                  <c:v>14.600000000000072</c:v>
                </c:pt>
                <c:pt idx="293">
                  <c:v>14.650000000000073</c:v>
                </c:pt>
                <c:pt idx="294">
                  <c:v>14.700000000000074</c:v>
                </c:pt>
                <c:pt idx="295">
                  <c:v>14.750000000000075</c:v>
                </c:pt>
                <c:pt idx="296">
                  <c:v>14.800000000000075</c:v>
                </c:pt>
                <c:pt idx="297">
                  <c:v>14.850000000000076</c:v>
                </c:pt>
                <c:pt idx="298">
                  <c:v>14.900000000000077</c:v>
                </c:pt>
                <c:pt idx="299">
                  <c:v>14.950000000000077</c:v>
                </c:pt>
                <c:pt idx="300">
                  <c:v>15.000000000000078</c:v>
                </c:pt>
                <c:pt idx="301">
                  <c:v>15.050000000000079</c:v>
                </c:pt>
                <c:pt idx="302">
                  <c:v>15.10000000000008</c:v>
                </c:pt>
                <c:pt idx="303">
                  <c:v>15.15000000000008</c:v>
                </c:pt>
                <c:pt idx="304">
                  <c:v>15.200000000000081</c:v>
                </c:pt>
                <c:pt idx="305">
                  <c:v>15.250000000000082</c:v>
                </c:pt>
                <c:pt idx="306">
                  <c:v>15.300000000000082</c:v>
                </c:pt>
                <c:pt idx="307">
                  <c:v>15.350000000000083</c:v>
                </c:pt>
                <c:pt idx="308">
                  <c:v>15.400000000000084</c:v>
                </c:pt>
                <c:pt idx="309">
                  <c:v>15.450000000000085</c:v>
                </c:pt>
                <c:pt idx="310">
                  <c:v>15.500000000000085</c:v>
                </c:pt>
                <c:pt idx="311">
                  <c:v>15.550000000000086</c:v>
                </c:pt>
                <c:pt idx="312">
                  <c:v>15.600000000000087</c:v>
                </c:pt>
                <c:pt idx="313">
                  <c:v>15.650000000000087</c:v>
                </c:pt>
                <c:pt idx="314">
                  <c:v>15.700000000000088</c:v>
                </c:pt>
                <c:pt idx="315">
                  <c:v>15.750000000000089</c:v>
                </c:pt>
                <c:pt idx="316">
                  <c:v>15.80000000000009</c:v>
                </c:pt>
                <c:pt idx="317">
                  <c:v>15.85000000000009</c:v>
                </c:pt>
                <c:pt idx="318">
                  <c:v>15.900000000000091</c:v>
                </c:pt>
                <c:pt idx="319">
                  <c:v>15.950000000000092</c:v>
                </c:pt>
                <c:pt idx="320">
                  <c:v>16.000000000000092</c:v>
                </c:pt>
                <c:pt idx="321">
                  <c:v>16.050000000000093</c:v>
                </c:pt>
                <c:pt idx="322">
                  <c:v>16.100000000000094</c:v>
                </c:pt>
                <c:pt idx="323">
                  <c:v>16.150000000000095</c:v>
                </c:pt>
                <c:pt idx="324">
                  <c:v>16.200000000000095</c:v>
                </c:pt>
                <c:pt idx="325">
                  <c:v>16.250000000000096</c:v>
                </c:pt>
                <c:pt idx="326">
                  <c:v>16.300000000000097</c:v>
                </c:pt>
                <c:pt idx="327">
                  <c:v>16.350000000000097</c:v>
                </c:pt>
                <c:pt idx="328">
                  <c:v>16.400000000000098</c:v>
                </c:pt>
                <c:pt idx="329">
                  <c:v>16.450000000000099</c:v>
                </c:pt>
                <c:pt idx="330">
                  <c:v>16.500000000000099</c:v>
                </c:pt>
                <c:pt idx="331">
                  <c:v>16.5500000000001</c:v>
                </c:pt>
                <c:pt idx="332">
                  <c:v>16.600000000000101</c:v>
                </c:pt>
                <c:pt idx="333">
                  <c:v>16.650000000000102</c:v>
                </c:pt>
                <c:pt idx="334">
                  <c:v>16.700000000000102</c:v>
                </c:pt>
                <c:pt idx="335">
                  <c:v>16.750000000000103</c:v>
                </c:pt>
                <c:pt idx="336">
                  <c:v>16.800000000000104</c:v>
                </c:pt>
                <c:pt idx="337">
                  <c:v>16.850000000000104</c:v>
                </c:pt>
                <c:pt idx="338">
                  <c:v>16.900000000000105</c:v>
                </c:pt>
                <c:pt idx="339">
                  <c:v>16.950000000000106</c:v>
                </c:pt>
                <c:pt idx="340">
                  <c:v>17.000000000000107</c:v>
                </c:pt>
                <c:pt idx="341">
                  <c:v>17.050000000000107</c:v>
                </c:pt>
                <c:pt idx="342">
                  <c:v>17.100000000000108</c:v>
                </c:pt>
                <c:pt idx="343">
                  <c:v>17.150000000000109</c:v>
                </c:pt>
                <c:pt idx="344">
                  <c:v>17.200000000000109</c:v>
                </c:pt>
                <c:pt idx="345">
                  <c:v>17.25000000000011</c:v>
                </c:pt>
                <c:pt idx="346">
                  <c:v>17.300000000000111</c:v>
                </c:pt>
                <c:pt idx="347">
                  <c:v>17.350000000000112</c:v>
                </c:pt>
                <c:pt idx="348">
                  <c:v>17.400000000000112</c:v>
                </c:pt>
                <c:pt idx="349">
                  <c:v>17.450000000000113</c:v>
                </c:pt>
                <c:pt idx="350">
                  <c:v>17.500000000000114</c:v>
                </c:pt>
                <c:pt idx="351">
                  <c:v>17.550000000000114</c:v>
                </c:pt>
                <c:pt idx="352">
                  <c:v>17.600000000000115</c:v>
                </c:pt>
                <c:pt idx="353">
                  <c:v>17.650000000000116</c:v>
                </c:pt>
                <c:pt idx="354">
                  <c:v>17.700000000000117</c:v>
                </c:pt>
                <c:pt idx="355">
                  <c:v>17.750000000000117</c:v>
                </c:pt>
                <c:pt idx="356">
                  <c:v>17.800000000000118</c:v>
                </c:pt>
                <c:pt idx="357">
                  <c:v>17.850000000000119</c:v>
                </c:pt>
                <c:pt idx="358">
                  <c:v>17.900000000000119</c:v>
                </c:pt>
                <c:pt idx="359">
                  <c:v>17.95000000000012</c:v>
                </c:pt>
                <c:pt idx="360">
                  <c:v>18.000000000000121</c:v>
                </c:pt>
                <c:pt idx="361">
                  <c:v>18.050000000000122</c:v>
                </c:pt>
                <c:pt idx="362">
                  <c:v>18.100000000000122</c:v>
                </c:pt>
                <c:pt idx="363">
                  <c:v>18.150000000000123</c:v>
                </c:pt>
                <c:pt idx="364">
                  <c:v>18.200000000000124</c:v>
                </c:pt>
                <c:pt idx="365">
                  <c:v>18.250000000000124</c:v>
                </c:pt>
                <c:pt idx="366">
                  <c:v>18.300000000000125</c:v>
                </c:pt>
                <c:pt idx="367">
                  <c:v>18.350000000000126</c:v>
                </c:pt>
                <c:pt idx="368">
                  <c:v>18.400000000000126</c:v>
                </c:pt>
                <c:pt idx="369">
                  <c:v>18.450000000000127</c:v>
                </c:pt>
                <c:pt idx="370">
                  <c:v>18.500000000000128</c:v>
                </c:pt>
                <c:pt idx="371">
                  <c:v>18.550000000000129</c:v>
                </c:pt>
                <c:pt idx="372">
                  <c:v>18.600000000000129</c:v>
                </c:pt>
                <c:pt idx="373">
                  <c:v>18.65000000000013</c:v>
                </c:pt>
                <c:pt idx="374">
                  <c:v>18.700000000000131</c:v>
                </c:pt>
                <c:pt idx="375">
                  <c:v>18.750000000000131</c:v>
                </c:pt>
                <c:pt idx="376">
                  <c:v>18.800000000000132</c:v>
                </c:pt>
                <c:pt idx="377">
                  <c:v>18.850000000000133</c:v>
                </c:pt>
                <c:pt idx="378">
                  <c:v>18.900000000000134</c:v>
                </c:pt>
                <c:pt idx="379">
                  <c:v>18.950000000000134</c:v>
                </c:pt>
                <c:pt idx="380">
                  <c:v>19.000000000000135</c:v>
                </c:pt>
                <c:pt idx="381">
                  <c:v>19.050000000000136</c:v>
                </c:pt>
                <c:pt idx="382">
                  <c:v>19.100000000000136</c:v>
                </c:pt>
                <c:pt idx="383">
                  <c:v>19.150000000000137</c:v>
                </c:pt>
                <c:pt idx="384">
                  <c:v>19.200000000000138</c:v>
                </c:pt>
                <c:pt idx="385">
                  <c:v>19.250000000000139</c:v>
                </c:pt>
                <c:pt idx="386">
                  <c:v>19.300000000000139</c:v>
                </c:pt>
                <c:pt idx="387">
                  <c:v>19.35000000000014</c:v>
                </c:pt>
                <c:pt idx="388">
                  <c:v>19.400000000000141</c:v>
                </c:pt>
                <c:pt idx="389">
                  <c:v>19.450000000000141</c:v>
                </c:pt>
                <c:pt idx="390">
                  <c:v>19.500000000000142</c:v>
                </c:pt>
                <c:pt idx="391">
                  <c:v>19.550000000000143</c:v>
                </c:pt>
                <c:pt idx="392">
                  <c:v>19.600000000000144</c:v>
                </c:pt>
                <c:pt idx="393">
                  <c:v>19.650000000000144</c:v>
                </c:pt>
                <c:pt idx="394">
                  <c:v>19.700000000000145</c:v>
                </c:pt>
                <c:pt idx="395">
                  <c:v>19.750000000000146</c:v>
                </c:pt>
                <c:pt idx="396">
                  <c:v>19.800000000000146</c:v>
                </c:pt>
                <c:pt idx="397">
                  <c:v>19.850000000000147</c:v>
                </c:pt>
                <c:pt idx="398">
                  <c:v>19.900000000000148</c:v>
                </c:pt>
                <c:pt idx="399">
                  <c:v>19.950000000000149</c:v>
                </c:pt>
                <c:pt idx="400">
                  <c:v>20.000000000000149</c:v>
                </c:pt>
                <c:pt idx="401">
                  <c:v>20.05000000000015</c:v>
                </c:pt>
                <c:pt idx="402">
                  <c:v>20.100000000000151</c:v>
                </c:pt>
                <c:pt idx="403">
                  <c:v>20.150000000000151</c:v>
                </c:pt>
                <c:pt idx="404">
                  <c:v>20.200000000000152</c:v>
                </c:pt>
                <c:pt idx="405">
                  <c:v>20.250000000000153</c:v>
                </c:pt>
                <c:pt idx="406">
                  <c:v>20.300000000000153</c:v>
                </c:pt>
                <c:pt idx="407">
                  <c:v>20.350000000000154</c:v>
                </c:pt>
                <c:pt idx="408">
                  <c:v>20.400000000000155</c:v>
                </c:pt>
                <c:pt idx="409">
                  <c:v>20.450000000000156</c:v>
                </c:pt>
                <c:pt idx="410">
                  <c:v>20.500000000000156</c:v>
                </c:pt>
                <c:pt idx="411">
                  <c:v>20.550000000000157</c:v>
                </c:pt>
                <c:pt idx="412">
                  <c:v>20.600000000000158</c:v>
                </c:pt>
                <c:pt idx="413">
                  <c:v>20.650000000000158</c:v>
                </c:pt>
                <c:pt idx="414">
                  <c:v>20.700000000000159</c:v>
                </c:pt>
                <c:pt idx="415">
                  <c:v>20.75000000000016</c:v>
                </c:pt>
                <c:pt idx="416">
                  <c:v>20.800000000000161</c:v>
                </c:pt>
                <c:pt idx="417">
                  <c:v>20.850000000000161</c:v>
                </c:pt>
                <c:pt idx="418">
                  <c:v>20.900000000000162</c:v>
                </c:pt>
                <c:pt idx="419">
                  <c:v>20.950000000000163</c:v>
                </c:pt>
                <c:pt idx="420">
                  <c:v>21.000000000000163</c:v>
                </c:pt>
                <c:pt idx="421">
                  <c:v>21.050000000000164</c:v>
                </c:pt>
                <c:pt idx="422">
                  <c:v>21.100000000000165</c:v>
                </c:pt>
                <c:pt idx="423">
                  <c:v>21.150000000000166</c:v>
                </c:pt>
                <c:pt idx="424">
                  <c:v>21.200000000000166</c:v>
                </c:pt>
                <c:pt idx="425">
                  <c:v>21.250000000000167</c:v>
                </c:pt>
                <c:pt idx="426">
                  <c:v>21.300000000000168</c:v>
                </c:pt>
                <c:pt idx="427">
                  <c:v>21.350000000000168</c:v>
                </c:pt>
                <c:pt idx="428">
                  <c:v>21.400000000000169</c:v>
                </c:pt>
                <c:pt idx="429">
                  <c:v>21.45000000000017</c:v>
                </c:pt>
                <c:pt idx="430">
                  <c:v>21.500000000000171</c:v>
                </c:pt>
                <c:pt idx="431">
                  <c:v>21.550000000000171</c:v>
                </c:pt>
                <c:pt idx="432">
                  <c:v>21.600000000000172</c:v>
                </c:pt>
                <c:pt idx="433">
                  <c:v>21.650000000000173</c:v>
                </c:pt>
                <c:pt idx="434">
                  <c:v>21.700000000000173</c:v>
                </c:pt>
                <c:pt idx="435">
                  <c:v>21.750000000000174</c:v>
                </c:pt>
                <c:pt idx="436">
                  <c:v>21.800000000000175</c:v>
                </c:pt>
                <c:pt idx="437">
                  <c:v>21.850000000000176</c:v>
                </c:pt>
                <c:pt idx="438">
                  <c:v>21.900000000000176</c:v>
                </c:pt>
                <c:pt idx="439">
                  <c:v>21.950000000000177</c:v>
                </c:pt>
                <c:pt idx="440">
                  <c:v>22.000000000000178</c:v>
                </c:pt>
                <c:pt idx="441">
                  <c:v>22.050000000000178</c:v>
                </c:pt>
                <c:pt idx="442">
                  <c:v>22.100000000000179</c:v>
                </c:pt>
                <c:pt idx="443">
                  <c:v>22.15000000000018</c:v>
                </c:pt>
                <c:pt idx="444">
                  <c:v>22.20000000000018</c:v>
                </c:pt>
                <c:pt idx="445">
                  <c:v>22.250000000000181</c:v>
                </c:pt>
                <c:pt idx="446">
                  <c:v>22.300000000000182</c:v>
                </c:pt>
                <c:pt idx="447">
                  <c:v>22.350000000000183</c:v>
                </c:pt>
                <c:pt idx="448">
                  <c:v>22.400000000000183</c:v>
                </c:pt>
                <c:pt idx="449">
                  <c:v>22.450000000000184</c:v>
                </c:pt>
                <c:pt idx="450">
                  <c:v>22.500000000000185</c:v>
                </c:pt>
                <c:pt idx="451">
                  <c:v>22.550000000000185</c:v>
                </c:pt>
                <c:pt idx="452">
                  <c:v>22.600000000000186</c:v>
                </c:pt>
                <c:pt idx="453">
                  <c:v>22.650000000000187</c:v>
                </c:pt>
                <c:pt idx="454">
                  <c:v>22.700000000000188</c:v>
                </c:pt>
                <c:pt idx="455">
                  <c:v>22.750000000000188</c:v>
                </c:pt>
                <c:pt idx="456">
                  <c:v>22.800000000000189</c:v>
                </c:pt>
                <c:pt idx="457">
                  <c:v>22.85000000000019</c:v>
                </c:pt>
                <c:pt idx="458">
                  <c:v>22.90000000000019</c:v>
                </c:pt>
                <c:pt idx="459">
                  <c:v>22.950000000000191</c:v>
                </c:pt>
                <c:pt idx="460">
                  <c:v>23.000000000000192</c:v>
                </c:pt>
                <c:pt idx="461">
                  <c:v>23.050000000000193</c:v>
                </c:pt>
                <c:pt idx="462">
                  <c:v>23.100000000000193</c:v>
                </c:pt>
                <c:pt idx="463">
                  <c:v>23.150000000000194</c:v>
                </c:pt>
                <c:pt idx="464">
                  <c:v>23.200000000000195</c:v>
                </c:pt>
                <c:pt idx="465">
                  <c:v>23.250000000000195</c:v>
                </c:pt>
                <c:pt idx="466">
                  <c:v>23.300000000000196</c:v>
                </c:pt>
                <c:pt idx="467">
                  <c:v>23.350000000000197</c:v>
                </c:pt>
                <c:pt idx="468">
                  <c:v>23.400000000000198</c:v>
                </c:pt>
                <c:pt idx="469">
                  <c:v>23.450000000000198</c:v>
                </c:pt>
                <c:pt idx="470">
                  <c:v>23.500000000000199</c:v>
                </c:pt>
                <c:pt idx="471">
                  <c:v>23.5500000000002</c:v>
                </c:pt>
                <c:pt idx="472">
                  <c:v>23.6000000000002</c:v>
                </c:pt>
                <c:pt idx="473">
                  <c:v>23.650000000000201</c:v>
                </c:pt>
                <c:pt idx="474">
                  <c:v>23.700000000000202</c:v>
                </c:pt>
                <c:pt idx="475">
                  <c:v>23.750000000000203</c:v>
                </c:pt>
                <c:pt idx="476">
                  <c:v>23.800000000000203</c:v>
                </c:pt>
                <c:pt idx="477">
                  <c:v>23.850000000000204</c:v>
                </c:pt>
                <c:pt idx="478">
                  <c:v>23.900000000000205</c:v>
                </c:pt>
                <c:pt idx="479">
                  <c:v>23.950000000000205</c:v>
                </c:pt>
                <c:pt idx="480">
                  <c:v>24.000000000000206</c:v>
                </c:pt>
                <c:pt idx="481">
                  <c:v>24.050000000000207</c:v>
                </c:pt>
                <c:pt idx="482">
                  <c:v>24.100000000000207</c:v>
                </c:pt>
                <c:pt idx="483">
                  <c:v>24.150000000000208</c:v>
                </c:pt>
                <c:pt idx="484">
                  <c:v>24.200000000000209</c:v>
                </c:pt>
                <c:pt idx="485">
                  <c:v>24.25000000000021</c:v>
                </c:pt>
                <c:pt idx="486">
                  <c:v>24.30000000000021</c:v>
                </c:pt>
                <c:pt idx="487">
                  <c:v>24.350000000000211</c:v>
                </c:pt>
                <c:pt idx="488">
                  <c:v>24.400000000000212</c:v>
                </c:pt>
                <c:pt idx="489">
                  <c:v>24.450000000000212</c:v>
                </c:pt>
                <c:pt idx="490">
                  <c:v>24.500000000000213</c:v>
                </c:pt>
                <c:pt idx="491">
                  <c:v>24.550000000000214</c:v>
                </c:pt>
                <c:pt idx="492">
                  <c:v>24.600000000000215</c:v>
                </c:pt>
                <c:pt idx="493">
                  <c:v>24.650000000000215</c:v>
                </c:pt>
                <c:pt idx="494">
                  <c:v>24.700000000000216</c:v>
                </c:pt>
                <c:pt idx="495">
                  <c:v>24.750000000000217</c:v>
                </c:pt>
                <c:pt idx="496">
                  <c:v>24.800000000000217</c:v>
                </c:pt>
                <c:pt idx="497">
                  <c:v>24.850000000000218</c:v>
                </c:pt>
                <c:pt idx="498">
                  <c:v>24.900000000000219</c:v>
                </c:pt>
                <c:pt idx="499">
                  <c:v>24.95000000000022</c:v>
                </c:pt>
                <c:pt idx="500">
                  <c:v>25.00000000000022</c:v>
                </c:pt>
                <c:pt idx="501">
                  <c:v>25.050000000000221</c:v>
                </c:pt>
                <c:pt idx="502">
                  <c:v>25.100000000000222</c:v>
                </c:pt>
                <c:pt idx="503">
                  <c:v>25.150000000000222</c:v>
                </c:pt>
                <c:pt idx="504">
                  <c:v>25.200000000000223</c:v>
                </c:pt>
                <c:pt idx="505">
                  <c:v>25.250000000000224</c:v>
                </c:pt>
                <c:pt idx="506">
                  <c:v>25.300000000000225</c:v>
                </c:pt>
                <c:pt idx="507">
                  <c:v>25.350000000000225</c:v>
                </c:pt>
                <c:pt idx="508">
                  <c:v>25.400000000000226</c:v>
                </c:pt>
                <c:pt idx="509">
                  <c:v>25.450000000000227</c:v>
                </c:pt>
                <c:pt idx="510">
                  <c:v>25.500000000000227</c:v>
                </c:pt>
                <c:pt idx="511">
                  <c:v>25.550000000000228</c:v>
                </c:pt>
                <c:pt idx="512">
                  <c:v>25.600000000000229</c:v>
                </c:pt>
                <c:pt idx="513">
                  <c:v>25.65000000000023</c:v>
                </c:pt>
                <c:pt idx="514">
                  <c:v>25.70000000000023</c:v>
                </c:pt>
                <c:pt idx="515">
                  <c:v>25.750000000000231</c:v>
                </c:pt>
                <c:pt idx="516">
                  <c:v>25.800000000000232</c:v>
                </c:pt>
                <c:pt idx="517">
                  <c:v>25.850000000000232</c:v>
                </c:pt>
                <c:pt idx="518">
                  <c:v>25.900000000000233</c:v>
                </c:pt>
                <c:pt idx="519">
                  <c:v>25.950000000000234</c:v>
                </c:pt>
                <c:pt idx="520">
                  <c:v>26.000000000000234</c:v>
                </c:pt>
                <c:pt idx="521">
                  <c:v>26.050000000000235</c:v>
                </c:pt>
                <c:pt idx="522">
                  <c:v>26.100000000000236</c:v>
                </c:pt>
                <c:pt idx="523">
                  <c:v>26.150000000000237</c:v>
                </c:pt>
                <c:pt idx="524">
                  <c:v>26.200000000000237</c:v>
                </c:pt>
                <c:pt idx="525">
                  <c:v>26.250000000000238</c:v>
                </c:pt>
                <c:pt idx="526">
                  <c:v>26.300000000000239</c:v>
                </c:pt>
                <c:pt idx="527">
                  <c:v>26.350000000000239</c:v>
                </c:pt>
                <c:pt idx="528">
                  <c:v>26.40000000000024</c:v>
                </c:pt>
                <c:pt idx="529">
                  <c:v>26.450000000000241</c:v>
                </c:pt>
                <c:pt idx="530">
                  <c:v>26.500000000000242</c:v>
                </c:pt>
                <c:pt idx="531">
                  <c:v>26.550000000000242</c:v>
                </c:pt>
                <c:pt idx="532">
                  <c:v>26.600000000000243</c:v>
                </c:pt>
                <c:pt idx="533">
                  <c:v>26.650000000000244</c:v>
                </c:pt>
                <c:pt idx="534">
                  <c:v>26.700000000000244</c:v>
                </c:pt>
                <c:pt idx="535">
                  <c:v>26.750000000000245</c:v>
                </c:pt>
                <c:pt idx="536">
                  <c:v>26.800000000000246</c:v>
                </c:pt>
                <c:pt idx="537">
                  <c:v>26.850000000000247</c:v>
                </c:pt>
                <c:pt idx="538">
                  <c:v>26.900000000000247</c:v>
                </c:pt>
                <c:pt idx="539">
                  <c:v>26.950000000000248</c:v>
                </c:pt>
                <c:pt idx="540">
                  <c:v>27.000000000000249</c:v>
                </c:pt>
                <c:pt idx="541">
                  <c:v>27.050000000000249</c:v>
                </c:pt>
                <c:pt idx="542">
                  <c:v>27.10000000000025</c:v>
                </c:pt>
                <c:pt idx="543">
                  <c:v>27.150000000000251</c:v>
                </c:pt>
                <c:pt idx="544">
                  <c:v>27.200000000000252</c:v>
                </c:pt>
                <c:pt idx="545">
                  <c:v>27.250000000000252</c:v>
                </c:pt>
                <c:pt idx="546">
                  <c:v>27.300000000000253</c:v>
                </c:pt>
                <c:pt idx="547">
                  <c:v>27.350000000000254</c:v>
                </c:pt>
                <c:pt idx="548">
                  <c:v>27.400000000000254</c:v>
                </c:pt>
                <c:pt idx="549">
                  <c:v>27.450000000000255</c:v>
                </c:pt>
                <c:pt idx="550">
                  <c:v>27.500000000000256</c:v>
                </c:pt>
                <c:pt idx="551">
                  <c:v>27.550000000000257</c:v>
                </c:pt>
                <c:pt idx="552">
                  <c:v>27.600000000000257</c:v>
                </c:pt>
                <c:pt idx="553">
                  <c:v>27.650000000000258</c:v>
                </c:pt>
                <c:pt idx="554">
                  <c:v>27.700000000000259</c:v>
                </c:pt>
                <c:pt idx="555">
                  <c:v>27.750000000000259</c:v>
                </c:pt>
                <c:pt idx="556">
                  <c:v>27.80000000000026</c:v>
                </c:pt>
                <c:pt idx="557">
                  <c:v>27.850000000000261</c:v>
                </c:pt>
                <c:pt idx="558">
                  <c:v>27.900000000000261</c:v>
                </c:pt>
                <c:pt idx="559">
                  <c:v>27.950000000000262</c:v>
                </c:pt>
                <c:pt idx="560">
                  <c:v>28.000000000000263</c:v>
                </c:pt>
                <c:pt idx="561">
                  <c:v>28.050000000000264</c:v>
                </c:pt>
                <c:pt idx="562">
                  <c:v>28.100000000000264</c:v>
                </c:pt>
                <c:pt idx="563">
                  <c:v>28.150000000000265</c:v>
                </c:pt>
                <c:pt idx="564">
                  <c:v>28.200000000000266</c:v>
                </c:pt>
                <c:pt idx="565">
                  <c:v>28.250000000000266</c:v>
                </c:pt>
                <c:pt idx="566">
                  <c:v>28.300000000000267</c:v>
                </c:pt>
                <c:pt idx="567">
                  <c:v>28.350000000000268</c:v>
                </c:pt>
                <c:pt idx="568">
                  <c:v>28.400000000000269</c:v>
                </c:pt>
                <c:pt idx="569">
                  <c:v>28.450000000000269</c:v>
                </c:pt>
                <c:pt idx="570">
                  <c:v>28.50000000000027</c:v>
                </c:pt>
                <c:pt idx="571">
                  <c:v>28.550000000000271</c:v>
                </c:pt>
                <c:pt idx="572">
                  <c:v>28.600000000000271</c:v>
                </c:pt>
                <c:pt idx="573">
                  <c:v>28.650000000000272</c:v>
                </c:pt>
                <c:pt idx="574">
                  <c:v>28.700000000000273</c:v>
                </c:pt>
                <c:pt idx="575">
                  <c:v>28.750000000000274</c:v>
                </c:pt>
                <c:pt idx="576">
                  <c:v>28.800000000000274</c:v>
                </c:pt>
                <c:pt idx="577">
                  <c:v>28.850000000000275</c:v>
                </c:pt>
                <c:pt idx="578">
                  <c:v>28.900000000000276</c:v>
                </c:pt>
                <c:pt idx="579">
                  <c:v>28.950000000000276</c:v>
                </c:pt>
                <c:pt idx="580">
                  <c:v>29.000000000000277</c:v>
                </c:pt>
                <c:pt idx="581">
                  <c:v>29.050000000000278</c:v>
                </c:pt>
                <c:pt idx="582">
                  <c:v>29.100000000000279</c:v>
                </c:pt>
                <c:pt idx="583">
                  <c:v>29.150000000000279</c:v>
                </c:pt>
                <c:pt idx="584">
                  <c:v>29.20000000000028</c:v>
                </c:pt>
                <c:pt idx="585">
                  <c:v>29.250000000000281</c:v>
                </c:pt>
                <c:pt idx="586">
                  <c:v>29.300000000000281</c:v>
                </c:pt>
                <c:pt idx="587">
                  <c:v>29.350000000000282</c:v>
                </c:pt>
                <c:pt idx="588">
                  <c:v>29.400000000000283</c:v>
                </c:pt>
                <c:pt idx="589">
                  <c:v>29.450000000000284</c:v>
                </c:pt>
                <c:pt idx="590">
                  <c:v>29.500000000000284</c:v>
                </c:pt>
                <c:pt idx="591">
                  <c:v>29.550000000000285</c:v>
                </c:pt>
                <c:pt idx="592">
                  <c:v>29.600000000000286</c:v>
                </c:pt>
                <c:pt idx="593">
                  <c:v>29.650000000000286</c:v>
                </c:pt>
                <c:pt idx="594">
                  <c:v>29.700000000000287</c:v>
                </c:pt>
                <c:pt idx="595">
                  <c:v>29.750000000000288</c:v>
                </c:pt>
                <c:pt idx="596">
                  <c:v>29.800000000000288</c:v>
                </c:pt>
                <c:pt idx="597">
                  <c:v>29.850000000000289</c:v>
                </c:pt>
                <c:pt idx="598">
                  <c:v>29.90000000000029</c:v>
                </c:pt>
                <c:pt idx="599">
                  <c:v>29.950000000000291</c:v>
                </c:pt>
                <c:pt idx="600">
                  <c:v>30.000000000000291</c:v>
                </c:pt>
                <c:pt idx="601">
                  <c:v>30.050000000000292</c:v>
                </c:pt>
                <c:pt idx="602">
                  <c:v>30.100000000000293</c:v>
                </c:pt>
                <c:pt idx="603">
                  <c:v>30.150000000000293</c:v>
                </c:pt>
                <c:pt idx="604">
                  <c:v>30.200000000000294</c:v>
                </c:pt>
                <c:pt idx="605">
                  <c:v>30.250000000000295</c:v>
                </c:pt>
                <c:pt idx="606">
                  <c:v>30.300000000000296</c:v>
                </c:pt>
                <c:pt idx="607">
                  <c:v>30.350000000000296</c:v>
                </c:pt>
                <c:pt idx="608">
                  <c:v>30.400000000000297</c:v>
                </c:pt>
                <c:pt idx="609">
                  <c:v>30.450000000000298</c:v>
                </c:pt>
                <c:pt idx="610">
                  <c:v>30.500000000000298</c:v>
                </c:pt>
                <c:pt idx="611">
                  <c:v>30.550000000000299</c:v>
                </c:pt>
                <c:pt idx="612">
                  <c:v>30.6000000000003</c:v>
                </c:pt>
                <c:pt idx="613">
                  <c:v>30.650000000000301</c:v>
                </c:pt>
                <c:pt idx="614">
                  <c:v>30.700000000000301</c:v>
                </c:pt>
                <c:pt idx="615">
                  <c:v>30.750000000000302</c:v>
                </c:pt>
                <c:pt idx="616">
                  <c:v>30.800000000000303</c:v>
                </c:pt>
                <c:pt idx="617">
                  <c:v>30.850000000000303</c:v>
                </c:pt>
                <c:pt idx="618">
                  <c:v>30.900000000000304</c:v>
                </c:pt>
                <c:pt idx="619">
                  <c:v>30.950000000000305</c:v>
                </c:pt>
                <c:pt idx="620">
                  <c:v>31.000000000000306</c:v>
                </c:pt>
                <c:pt idx="621">
                  <c:v>31.050000000000306</c:v>
                </c:pt>
                <c:pt idx="622">
                  <c:v>31.100000000000307</c:v>
                </c:pt>
                <c:pt idx="623">
                  <c:v>31.150000000000308</c:v>
                </c:pt>
                <c:pt idx="624">
                  <c:v>31.200000000000308</c:v>
                </c:pt>
                <c:pt idx="625">
                  <c:v>31.250000000000309</c:v>
                </c:pt>
                <c:pt idx="626">
                  <c:v>31.30000000000031</c:v>
                </c:pt>
                <c:pt idx="627">
                  <c:v>31.350000000000311</c:v>
                </c:pt>
                <c:pt idx="628">
                  <c:v>31.400000000000311</c:v>
                </c:pt>
                <c:pt idx="629">
                  <c:v>31.450000000000312</c:v>
                </c:pt>
                <c:pt idx="630">
                  <c:v>31.500000000000313</c:v>
                </c:pt>
                <c:pt idx="631">
                  <c:v>31.550000000000313</c:v>
                </c:pt>
                <c:pt idx="632">
                  <c:v>31.600000000000314</c:v>
                </c:pt>
                <c:pt idx="633">
                  <c:v>31.650000000000315</c:v>
                </c:pt>
                <c:pt idx="634">
                  <c:v>31.700000000000315</c:v>
                </c:pt>
                <c:pt idx="635">
                  <c:v>31.750000000000316</c:v>
                </c:pt>
                <c:pt idx="636">
                  <c:v>31.800000000000317</c:v>
                </c:pt>
                <c:pt idx="637">
                  <c:v>31.850000000000318</c:v>
                </c:pt>
                <c:pt idx="638">
                  <c:v>31.900000000000318</c:v>
                </c:pt>
                <c:pt idx="639">
                  <c:v>31.950000000000319</c:v>
                </c:pt>
                <c:pt idx="640">
                  <c:v>32.00000000000032</c:v>
                </c:pt>
                <c:pt idx="641">
                  <c:v>32.050000000000317</c:v>
                </c:pt>
                <c:pt idx="642">
                  <c:v>32.100000000000314</c:v>
                </c:pt>
                <c:pt idx="643">
                  <c:v>32.150000000000311</c:v>
                </c:pt>
                <c:pt idx="644">
                  <c:v>32.200000000000308</c:v>
                </c:pt>
                <c:pt idx="645">
                  <c:v>32.250000000000306</c:v>
                </c:pt>
                <c:pt idx="646">
                  <c:v>32.300000000000303</c:v>
                </c:pt>
                <c:pt idx="647">
                  <c:v>32.3500000000003</c:v>
                </c:pt>
                <c:pt idx="648">
                  <c:v>32.400000000000297</c:v>
                </c:pt>
                <c:pt idx="649">
                  <c:v>32.450000000000294</c:v>
                </c:pt>
                <c:pt idx="650">
                  <c:v>32.500000000000291</c:v>
                </c:pt>
                <c:pt idx="651">
                  <c:v>32.550000000000288</c:v>
                </c:pt>
                <c:pt idx="652">
                  <c:v>32.600000000000286</c:v>
                </c:pt>
                <c:pt idx="653">
                  <c:v>32.650000000000283</c:v>
                </c:pt>
                <c:pt idx="654">
                  <c:v>32.70000000000028</c:v>
                </c:pt>
                <c:pt idx="655">
                  <c:v>32.750000000000277</c:v>
                </c:pt>
                <c:pt idx="656">
                  <c:v>32.800000000000274</c:v>
                </c:pt>
                <c:pt idx="657">
                  <c:v>32.850000000000271</c:v>
                </c:pt>
                <c:pt idx="658">
                  <c:v>32.900000000000269</c:v>
                </c:pt>
                <c:pt idx="659">
                  <c:v>32.950000000000266</c:v>
                </c:pt>
                <c:pt idx="660">
                  <c:v>33.000000000000263</c:v>
                </c:pt>
                <c:pt idx="661">
                  <c:v>33.05000000000026</c:v>
                </c:pt>
                <c:pt idx="662">
                  <c:v>33.100000000000257</c:v>
                </c:pt>
                <c:pt idx="663">
                  <c:v>33.150000000000254</c:v>
                </c:pt>
                <c:pt idx="664">
                  <c:v>33.200000000000252</c:v>
                </c:pt>
                <c:pt idx="665">
                  <c:v>33.250000000000249</c:v>
                </c:pt>
                <c:pt idx="666">
                  <c:v>33.300000000000246</c:v>
                </c:pt>
                <c:pt idx="667">
                  <c:v>33.350000000000243</c:v>
                </c:pt>
                <c:pt idx="668">
                  <c:v>33.40000000000024</c:v>
                </c:pt>
                <c:pt idx="669">
                  <c:v>33.450000000000237</c:v>
                </c:pt>
                <c:pt idx="670">
                  <c:v>33.500000000000234</c:v>
                </c:pt>
                <c:pt idx="671">
                  <c:v>33.550000000000232</c:v>
                </c:pt>
                <c:pt idx="672">
                  <c:v>33.600000000000229</c:v>
                </c:pt>
                <c:pt idx="673">
                  <c:v>33.650000000000226</c:v>
                </c:pt>
                <c:pt idx="674">
                  <c:v>33.700000000000223</c:v>
                </c:pt>
                <c:pt idx="675">
                  <c:v>33.75000000000022</c:v>
                </c:pt>
                <c:pt idx="676">
                  <c:v>33.800000000000217</c:v>
                </c:pt>
                <c:pt idx="677">
                  <c:v>33.850000000000215</c:v>
                </c:pt>
                <c:pt idx="678">
                  <c:v>33.900000000000212</c:v>
                </c:pt>
                <c:pt idx="679">
                  <c:v>33.950000000000209</c:v>
                </c:pt>
                <c:pt idx="680">
                  <c:v>34.000000000000206</c:v>
                </c:pt>
                <c:pt idx="681">
                  <c:v>34.050000000000203</c:v>
                </c:pt>
                <c:pt idx="682">
                  <c:v>34.1000000000002</c:v>
                </c:pt>
                <c:pt idx="683">
                  <c:v>34.150000000000198</c:v>
                </c:pt>
                <c:pt idx="684">
                  <c:v>34.200000000000195</c:v>
                </c:pt>
                <c:pt idx="685">
                  <c:v>34.250000000000192</c:v>
                </c:pt>
                <c:pt idx="686">
                  <c:v>34.300000000000189</c:v>
                </c:pt>
                <c:pt idx="687">
                  <c:v>34.350000000000186</c:v>
                </c:pt>
                <c:pt idx="688">
                  <c:v>34.400000000000183</c:v>
                </c:pt>
                <c:pt idx="689">
                  <c:v>34.45000000000018</c:v>
                </c:pt>
                <c:pt idx="690">
                  <c:v>34.500000000000178</c:v>
                </c:pt>
                <c:pt idx="691">
                  <c:v>34.550000000000175</c:v>
                </c:pt>
                <c:pt idx="692">
                  <c:v>34.600000000000172</c:v>
                </c:pt>
                <c:pt idx="693">
                  <c:v>34.650000000000169</c:v>
                </c:pt>
                <c:pt idx="694">
                  <c:v>34.700000000000166</c:v>
                </c:pt>
                <c:pt idx="695">
                  <c:v>34.750000000000163</c:v>
                </c:pt>
                <c:pt idx="696">
                  <c:v>34.800000000000161</c:v>
                </c:pt>
                <c:pt idx="697">
                  <c:v>34.850000000000158</c:v>
                </c:pt>
                <c:pt idx="698">
                  <c:v>34.900000000000155</c:v>
                </c:pt>
                <c:pt idx="699">
                  <c:v>34.950000000000152</c:v>
                </c:pt>
                <c:pt idx="700">
                  <c:v>35.000000000000149</c:v>
                </c:pt>
                <c:pt idx="701">
                  <c:v>35.050000000000146</c:v>
                </c:pt>
                <c:pt idx="702">
                  <c:v>35.100000000000144</c:v>
                </c:pt>
                <c:pt idx="703">
                  <c:v>35.150000000000141</c:v>
                </c:pt>
                <c:pt idx="704">
                  <c:v>35.200000000000138</c:v>
                </c:pt>
                <c:pt idx="705">
                  <c:v>35.250000000000135</c:v>
                </c:pt>
                <c:pt idx="706">
                  <c:v>35.300000000000132</c:v>
                </c:pt>
                <c:pt idx="707">
                  <c:v>35.350000000000129</c:v>
                </c:pt>
                <c:pt idx="708">
                  <c:v>35.400000000000126</c:v>
                </c:pt>
                <c:pt idx="709">
                  <c:v>35.450000000000124</c:v>
                </c:pt>
                <c:pt idx="710">
                  <c:v>35.500000000000121</c:v>
                </c:pt>
                <c:pt idx="711">
                  <c:v>35.550000000000118</c:v>
                </c:pt>
                <c:pt idx="712">
                  <c:v>35.600000000000115</c:v>
                </c:pt>
                <c:pt idx="713">
                  <c:v>35.650000000000112</c:v>
                </c:pt>
                <c:pt idx="714">
                  <c:v>35.700000000000109</c:v>
                </c:pt>
                <c:pt idx="715">
                  <c:v>35.750000000000107</c:v>
                </c:pt>
                <c:pt idx="716">
                  <c:v>35.800000000000104</c:v>
                </c:pt>
                <c:pt idx="717">
                  <c:v>35.850000000000101</c:v>
                </c:pt>
                <c:pt idx="718">
                  <c:v>35.900000000000098</c:v>
                </c:pt>
                <c:pt idx="719">
                  <c:v>35.950000000000095</c:v>
                </c:pt>
                <c:pt idx="720">
                  <c:v>36.000000000000092</c:v>
                </c:pt>
                <c:pt idx="721">
                  <c:v>36.05000000000009</c:v>
                </c:pt>
                <c:pt idx="722">
                  <c:v>36.100000000000087</c:v>
                </c:pt>
                <c:pt idx="723">
                  <c:v>36.150000000000084</c:v>
                </c:pt>
                <c:pt idx="724">
                  <c:v>36.200000000000081</c:v>
                </c:pt>
                <c:pt idx="725">
                  <c:v>36.250000000000078</c:v>
                </c:pt>
                <c:pt idx="726">
                  <c:v>36.300000000000075</c:v>
                </c:pt>
                <c:pt idx="727">
                  <c:v>36.350000000000072</c:v>
                </c:pt>
                <c:pt idx="728">
                  <c:v>36.40000000000007</c:v>
                </c:pt>
                <c:pt idx="729">
                  <c:v>36.450000000000067</c:v>
                </c:pt>
                <c:pt idx="730">
                  <c:v>36.500000000000064</c:v>
                </c:pt>
                <c:pt idx="731">
                  <c:v>36.550000000000061</c:v>
                </c:pt>
                <c:pt idx="732">
                  <c:v>36.600000000000058</c:v>
                </c:pt>
                <c:pt idx="733">
                  <c:v>36.650000000000055</c:v>
                </c:pt>
                <c:pt idx="734">
                  <c:v>36.700000000000053</c:v>
                </c:pt>
                <c:pt idx="735">
                  <c:v>36.75000000000005</c:v>
                </c:pt>
                <c:pt idx="736">
                  <c:v>36.800000000000047</c:v>
                </c:pt>
                <c:pt idx="737">
                  <c:v>36.850000000000044</c:v>
                </c:pt>
                <c:pt idx="738">
                  <c:v>36.900000000000041</c:v>
                </c:pt>
                <c:pt idx="739">
                  <c:v>36.950000000000038</c:v>
                </c:pt>
                <c:pt idx="740">
                  <c:v>37.000000000000036</c:v>
                </c:pt>
                <c:pt idx="741">
                  <c:v>37.050000000000033</c:v>
                </c:pt>
                <c:pt idx="742">
                  <c:v>37.10000000000003</c:v>
                </c:pt>
                <c:pt idx="743">
                  <c:v>37.150000000000027</c:v>
                </c:pt>
                <c:pt idx="744">
                  <c:v>37.200000000000024</c:v>
                </c:pt>
                <c:pt idx="745">
                  <c:v>37.250000000000021</c:v>
                </c:pt>
                <c:pt idx="746">
                  <c:v>37.300000000000018</c:v>
                </c:pt>
                <c:pt idx="747">
                  <c:v>37.350000000000016</c:v>
                </c:pt>
                <c:pt idx="748">
                  <c:v>37.400000000000013</c:v>
                </c:pt>
                <c:pt idx="749">
                  <c:v>37.45000000000001</c:v>
                </c:pt>
                <c:pt idx="750">
                  <c:v>37.500000000000007</c:v>
                </c:pt>
                <c:pt idx="751">
                  <c:v>37.550000000000004</c:v>
                </c:pt>
                <c:pt idx="752">
                  <c:v>37.6</c:v>
                </c:pt>
                <c:pt idx="753">
                  <c:v>37.65</c:v>
                </c:pt>
                <c:pt idx="754">
                  <c:v>37.699999999999996</c:v>
                </c:pt>
                <c:pt idx="755">
                  <c:v>37.749999999999993</c:v>
                </c:pt>
                <c:pt idx="756">
                  <c:v>37.79999999999999</c:v>
                </c:pt>
                <c:pt idx="757">
                  <c:v>37.849999999999987</c:v>
                </c:pt>
                <c:pt idx="758">
                  <c:v>37.899999999999984</c:v>
                </c:pt>
                <c:pt idx="759">
                  <c:v>37.949999999999982</c:v>
                </c:pt>
                <c:pt idx="760">
                  <c:v>37.999999999999979</c:v>
                </c:pt>
                <c:pt idx="761">
                  <c:v>38.049999999999976</c:v>
                </c:pt>
                <c:pt idx="762">
                  <c:v>38.099999999999973</c:v>
                </c:pt>
                <c:pt idx="763">
                  <c:v>38.14999999999997</c:v>
                </c:pt>
                <c:pt idx="764">
                  <c:v>38.199999999999967</c:v>
                </c:pt>
                <c:pt idx="765">
                  <c:v>38.249999999999964</c:v>
                </c:pt>
                <c:pt idx="766">
                  <c:v>38.299999999999962</c:v>
                </c:pt>
                <c:pt idx="767">
                  <c:v>38.349999999999959</c:v>
                </c:pt>
                <c:pt idx="768">
                  <c:v>38.399999999999956</c:v>
                </c:pt>
                <c:pt idx="769">
                  <c:v>38.449999999999953</c:v>
                </c:pt>
                <c:pt idx="770">
                  <c:v>38.49999999999995</c:v>
                </c:pt>
                <c:pt idx="771">
                  <c:v>38.549999999999947</c:v>
                </c:pt>
                <c:pt idx="772">
                  <c:v>38.599999999999945</c:v>
                </c:pt>
                <c:pt idx="773">
                  <c:v>38.649999999999942</c:v>
                </c:pt>
                <c:pt idx="774">
                  <c:v>38.699999999999939</c:v>
                </c:pt>
                <c:pt idx="775">
                  <c:v>38.749999999999936</c:v>
                </c:pt>
                <c:pt idx="776">
                  <c:v>38.799999999999933</c:v>
                </c:pt>
                <c:pt idx="777">
                  <c:v>38.84999999999993</c:v>
                </c:pt>
                <c:pt idx="778">
                  <c:v>38.899999999999928</c:v>
                </c:pt>
                <c:pt idx="779">
                  <c:v>38.949999999999925</c:v>
                </c:pt>
                <c:pt idx="780">
                  <c:v>38.999999999999922</c:v>
                </c:pt>
                <c:pt idx="781">
                  <c:v>39.049999999999919</c:v>
                </c:pt>
                <c:pt idx="782">
                  <c:v>39.099999999999916</c:v>
                </c:pt>
                <c:pt idx="783">
                  <c:v>39.149999999999913</c:v>
                </c:pt>
                <c:pt idx="784">
                  <c:v>39.19999999999991</c:v>
                </c:pt>
                <c:pt idx="785">
                  <c:v>39.249999999999908</c:v>
                </c:pt>
                <c:pt idx="786">
                  <c:v>39.299999999999905</c:v>
                </c:pt>
                <c:pt idx="787">
                  <c:v>39.349999999999902</c:v>
                </c:pt>
                <c:pt idx="788">
                  <c:v>39.399999999999899</c:v>
                </c:pt>
                <c:pt idx="789">
                  <c:v>39.449999999999896</c:v>
                </c:pt>
                <c:pt idx="790">
                  <c:v>1</c:v>
                </c:pt>
                <c:pt idx="791">
                  <c:v>1</c:v>
                </c:pt>
                <c:pt idx="792">
                  <c:v>1</c:v>
                </c:pt>
                <c:pt idx="793">
                  <c:v>1</c:v>
                </c:pt>
                <c:pt idx="794">
                  <c:v>1</c:v>
                </c:pt>
                <c:pt idx="795">
                  <c:v>1</c:v>
                </c:pt>
                <c:pt idx="796">
                  <c:v>1</c:v>
                </c:pt>
                <c:pt idx="797">
                  <c:v>1</c:v>
                </c:pt>
                <c:pt idx="798">
                  <c:v>1</c:v>
                </c:pt>
                <c:pt idx="799">
                  <c:v>1</c:v>
                </c:pt>
                <c:pt idx="800">
                  <c:v>1</c:v>
                </c:pt>
                <c:pt idx="801">
                  <c:v>1</c:v>
                </c:pt>
                <c:pt idx="802">
                  <c:v>1</c:v>
                </c:pt>
                <c:pt idx="803">
                  <c:v>1</c:v>
                </c:pt>
                <c:pt idx="804">
                  <c:v>1</c:v>
                </c:pt>
                <c:pt idx="805">
                  <c:v>1</c:v>
                </c:pt>
                <c:pt idx="806">
                  <c:v>1</c:v>
                </c:pt>
                <c:pt idx="807">
                  <c:v>1</c:v>
                </c:pt>
                <c:pt idx="808">
                  <c:v>1</c:v>
                </c:pt>
                <c:pt idx="809">
                  <c:v>1</c:v>
                </c:pt>
                <c:pt idx="810">
                  <c:v>1</c:v>
                </c:pt>
                <c:pt idx="811">
                  <c:v>1</c:v>
                </c:pt>
                <c:pt idx="812">
                  <c:v>1</c:v>
                </c:pt>
                <c:pt idx="813">
                  <c:v>1</c:v>
                </c:pt>
                <c:pt idx="814">
                  <c:v>1</c:v>
                </c:pt>
                <c:pt idx="815">
                  <c:v>1</c:v>
                </c:pt>
                <c:pt idx="816">
                  <c:v>1</c:v>
                </c:pt>
                <c:pt idx="817">
                  <c:v>1</c:v>
                </c:pt>
                <c:pt idx="818">
                  <c:v>1</c:v>
                </c:pt>
                <c:pt idx="819">
                  <c:v>1</c:v>
                </c:pt>
                <c:pt idx="820">
                  <c:v>1</c:v>
                </c:pt>
                <c:pt idx="821">
                  <c:v>1</c:v>
                </c:pt>
                <c:pt idx="822">
                  <c:v>1</c:v>
                </c:pt>
                <c:pt idx="823">
                  <c:v>1</c:v>
                </c:pt>
                <c:pt idx="824">
                  <c:v>1</c:v>
                </c:pt>
                <c:pt idx="825">
                  <c:v>1</c:v>
                </c:pt>
                <c:pt idx="826">
                  <c:v>1</c:v>
                </c:pt>
                <c:pt idx="827">
                  <c:v>1</c:v>
                </c:pt>
                <c:pt idx="828">
                  <c:v>1</c:v>
                </c:pt>
                <c:pt idx="829">
                  <c:v>1</c:v>
                </c:pt>
                <c:pt idx="830">
                  <c:v>1</c:v>
                </c:pt>
                <c:pt idx="831">
                  <c:v>1</c:v>
                </c:pt>
                <c:pt idx="832">
                  <c:v>1</c:v>
                </c:pt>
                <c:pt idx="833">
                  <c:v>1</c:v>
                </c:pt>
                <c:pt idx="834">
                  <c:v>1</c:v>
                </c:pt>
                <c:pt idx="835">
                  <c:v>1</c:v>
                </c:pt>
                <c:pt idx="836">
                  <c:v>1</c:v>
                </c:pt>
                <c:pt idx="837">
                  <c:v>1</c:v>
                </c:pt>
                <c:pt idx="838">
                  <c:v>1</c:v>
                </c:pt>
                <c:pt idx="839">
                  <c:v>1</c:v>
                </c:pt>
                <c:pt idx="840">
                  <c:v>1</c:v>
                </c:pt>
                <c:pt idx="841">
                  <c:v>1</c:v>
                </c:pt>
                <c:pt idx="842">
                  <c:v>1</c:v>
                </c:pt>
                <c:pt idx="843">
                  <c:v>1</c:v>
                </c:pt>
                <c:pt idx="844">
                  <c:v>1</c:v>
                </c:pt>
                <c:pt idx="845">
                  <c:v>1</c:v>
                </c:pt>
                <c:pt idx="846">
                  <c:v>1</c:v>
                </c:pt>
                <c:pt idx="847">
                  <c:v>1</c:v>
                </c:pt>
                <c:pt idx="848">
                  <c:v>1</c:v>
                </c:pt>
                <c:pt idx="849">
                  <c:v>1</c:v>
                </c:pt>
                <c:pt idx="850">
                  <c:v>1</c:v>
                </c:pt>
                <c:pt idx="851">
                  <c:v>1</c:v>
                </c:pt>
                <c:pt idx="852">
                  <c:v>1</c:v>
                </c:pt>
                <c:pt idx="853">
                  <c:v>1</c:v>
                </c:pt>
                <c:pt idx="854">
                  <c:v>1</c:v>
                </c:pt>
                <c:pt idx="855">
                  <c:v>1</c:v>
                </c:pt>
                <c:pt idx="856">
                  <c:v>1</c:v>
                </c:pt>
                <c:pt idx="857">
                  <c:v>1</c:v>
                </c:pt>
                <c:pt idx="858">
                  <c:v>1</c:v>
                </c:pt>
                <c:pt idx="859">
                  <c:v>1</c:v>
                </c:pt>
                <c:pt idx="860">
                  <c:v>1</c:v>
                </c:pt>
                <c:pt idx="861">
                  <c:v>1</c:v>
                </c:pt>
                <c:pt idx="862">
                  <c:v>1</c:v>
                </c:pt>
                <c:pt idx="863">
                  <c:v>1</c:v>
                </c:pt>
                <c:pt idx="864">
                  <c:v>1</c:v>
                </c:pt>
                <c:pt idx="865">
                  <c:v>1</c:v>
                </c:pt>
                <c:pt idx="866">
                  <c:v>1</c:v>
                </c:pt>
                <c:pt idx="867">
                  <c:v>1</c:v>
                </c:pt>
                <c:pt idx="868">
                  <c:v>1</c:v>
                </c:pt>
                <c:pt idx="869">
                  <c:v>1</c:v>
                </c:pt>
                <c:pt idx="870">
                  <c:v>1</c:v>
                </c:pt>
                <c:pt idx="871">
                  <c:v>1</c:v>
                </c:pt>
                <c:pt idx="872">
                  <c:v>1</c:v>
                </c:pt>
                <c:pt idx="873">
                  <c:v>1</c:v>
                </c:pt>
                <c:pt idx="874">
                  <c:v>1</c:v>
                </c:pt>
                <c:pt idx="875">
                  <c:v>1</c:v>
                </c:pt>
                <c:pt idx="876">
                  <c:v>1</c:v>
                </c:pt>
                <c:pt idx="877">
                  <c:v>1</c:v>
                </c:pt>
                <c:pt idx="878">
                  <c:v>1</c:v>
                </c:pt>
                <c:pt idx="879">
                  <c:v>1</c:v>
                </c:pt>
                <c:pt idx="880">
                  <c:v>1</c:v>
                </c:pt>
                <c:pt idx="881">
                  <c:v>1</c:v>
                </c:pt>
                <c:pt idx="882">
                  <c:v>1</c:v>
                </c:pt>
                <c:pt idx="883">
                  <c:v>1</c:v>
                </c:pt>
                <c:pt idx="884">
                  <c:v>1</c:v>
                </c:pt>
                <c:pt idx="885">
                  <c:v>1</c:v>
                </c:pt>
                <c:pt idx="886">
                  <c:v>1</c:v>
                </c:pt>
                <c:pt idx="887">
                  <c:v>1</c:v>
                </c:pt>
                <c:pt idx="888">
                  <c:v>1</c:v>
                </c:pt>
                <c:pt idx="889">
                  <c:v>1</c:v>
                </c:pt>
                <c:pt idx="890">
                  <c:v>1</c:v>
                </c:pt>
                <c:pt idx="891">
                  <c:v>1</c:v>
                </c:pt>
                <c:pt idx="892">
                  <c:v>1</c:v>
                </c:pt>
                <c:pt idx="893">
                  <c:v>1</c:v>
                </c:pt>
                <c:pt idx="894">
                  <c:v>1</c:v>
                </c:pt>
                <c:pt idx="895">
                  <c:v>1</c:v>
                </c:pt>
                <c:pt idx="896">
                  <c:v>1</c:v>
                </c:pt>
                <c:pt idx="897">
                  <c:v>1</c:v>
                </c:pt>
                <c:pt idx="898">
                  <c:v>1</c:v>
                </c:pt>
                <c:pt idx="899">
                  <c:v>1</c:v>
                </c:pt>
                <c:pt idx="900">
                  <c:v>1</c:v>
                </c:pt>
                <c:pt idx="901">
                  <c:v>1</c:v>
                </c:pt>
                <c:pt idx="902">
                  <c:v>1</c:v>
                </c:pt>
                <c:pt idx="903">
                  <c:v>1</c:v>
                </c:pt>
                <c:pt idx="904">
                  <c:v>1</c:v>
                </c:pt>
                <c:pt idx="905">
                  <c:v>1</c:v>
                </c:pt>
                <c:pt idx="906">
                  <c:v>1</c:v>
                </c:pt>
                <c:pt idx="907">
                  <c:v>1</c:v>
                </c:pt>
                <c:pt idx="908">
                  <c:v>1</c:v>
                </c:pt>
                <c:pt idx="909">
                  <c:v>1</c:v>
                </c:pt>
                <c:pt idx="910">
                  <c:v>1</c:v>
                </c:pt>
                <c:pt idx="911">
                  <c:v>1</c:v>
                </c:pt>
                <c:pt idx="912">
                  <c:v>1</c:v>
                </c:pt>
                <c:pt idx="913">
                  <c:v>1</c:v>
                </c:pt>
                <c:pt idx="914">
                  <c:v>1</c:v>
                </c:pt>
                <c:pt idx="915">
                  <c:v>1</c:v>
                </c:pt>
                <c:pt idx="916">
                  <c:v>1</c:v>
                </c:pt>
                <c:pt idx="917">
                  <c:v>1</c:v>
                </c:pt>
                <c:pt idx="918">
                  <c:v>1</c:v>
                </c:pt>
                <c:pt idx="919">
                  <c:v>1</c:v>
                </c:pt>
                <c:pt idx="920">
                  <c:v>1</c:v>
                </c:pt>
                <c:pt idx="921">
                  <c:v>1</c:v>
                </c:pt>
                <c:pt idx="922">
                  <c:v>1</c:v>
                </c:pt>
                <c:pt idx="923">
                  <c:v>1</c:v>
                </c:pt>
                <c:pt idx="924">
                  <c:v>1</c:v>
                </c:pt>
                <c:pt idx="925">
                  <c:v>1</c:v>
                </c:pt>
                <c:pt idx="926">
                  <c:v>1</c:v>
                </c:pt>
                <c:pt idx="927">
                  <c:v>1</c:v>
                </c:pt>
                <c:pt idx="928">
                  <c:v>1</c:v>
                </c:pt>
                <c:pt idx="929">
                  <c:v>1</c:v>
                </c:pt>
                <c:pt idx="930">
                  <c:v>1</c:v>
                </c:pt>
                <c:pt idx="931">
                  <c:v>1</c:v>
                </c:pt>
                <c:pt idx="932">
                  <c:v>1</c:v>
                </c:pt>
                <c:pt idx="933">
                  <c:v>1</c:v>
                </c:pt>
                <c:pt idx="934">
                  <c:v>1</c:v>
                </c:pt>
                <c:pt idx="935">
                  <c:v>1</c:v>
                </c:pt>
                <c:pt idx="936">
                  <c:v>1</c:v>
                </c:pt>
                <c:pt idx="937">
                  <c:v>1</c:v>
                </c:pt>
                <c:pt idx="938">
                  <c:v>1</c:v>
                </c:pt>
                <c:pt idx="939">
                  <c:v>1</c:v>
                </c:pt>
                <c:pt idx="940">
                  <c:v>1</c:v>
                </c:pt>
                <c:pt idx="941">
                  <c:v>1</c:v>
                </c:pt>
                <c:pt idx="942">
                  <c:v>1</c:v>
                </c:pt>
                <c:pt idx="943">
                  <c:v>1</c:v>
                </c:pt>
                <c:pt idx="944">
                  <c:v>1</c:v>
                </c:pt>
                <c:pt idx="945">
                  <c:v>1</c:v>
                </c:pt>
                <c:pt idx="946">
                  <c:v>1</c:v>
                </c:pt>
                <c:pt idx="947">
                  <c:v>1</c:v>
                </c:pt>
                <c:pt idx="948">
                  <c:v>1</c:v>
                </c:pt>
                <c:pt idx="949">
                  <c:v>1</c:v>
                </c:pt>
                <c:pt idx="950">
                  <c:v>1</c:v>
                </c:pt>
                <c:pt idx="951">
                  <c:v>1</c:v>
                </c:pt>
                <c:pt idx="952">
                  <c:v>1</c:v>
                </c:pt>
                <c:pt idx="953">
                  <c:v>1</c:v>
                </c:pt>
                <c:pt idx="954">
                  <c:v>1</c:v>
                </c:pt>
                <c:pt idx="955">
                  <c:v>1</c:v>
                </c:pt>
                <c:pt idx="956">
                  <c:v>1</c:v>
                </c:pt>
                <c:pt idx="957">
                  <c:v>1</c:v>
                </c:pt>
                <c:pt idx="958">
                  <c:v>1</c:v>
                </c:pt>
                <c:pt idx="959">
                  <c:v>1</c:v>
                </c:pt>
                <c:pt idx="960">
                  <c:v>1</c:v>
                </c:pt>
                <c:pt idx="961">
                  <c:v>1</c:v>
                </c:pt>
                <c:pt idx="962">
                  <c:v>1</c:v>
                </c:pt>
                <c:pt idx="963">
                  <c:v>1</c:v>
                </c:pt>
                <c:pt idx="964">
                  <c:v>1</c:v>
                </c:pt>
                <c:pt idx="965">
                  <c:v>1</c:v>
                </c:pt>
                <c:pt idx="966">
                  <c:v>1</c:v>
                </c:pt>
                <c:pt idx="967">
                  <c:v>1</c:v>
                </c:pt>
                <c:pt idx="968">
                  <c:v>1</c:v>
                </c:pt>
                <c:pt idx="969">
                  <c:v>1</c:v>
                </c:pt>
                <c:pt idx="970">
                  <c:v>1</c:v>
                </c:pt>
                <c:pt idx="971">
                  <c:v>1</c:v>
                </c:pt>
                <c:pt idx="972">
                  <c:v>1</c:v>
                </c:pt>
                <c:pt idx="973">
                  <c:v>1</c:v>
                </c:pt>
                <c:pt idx="974">
                  <c:v>1</c:v>
                </c:pt>
                <c:pt idx="975">
                  <c:v>1</c:v>
                </c:pt>
                <c:pt idx="976">
                  <c:v>1</c:v>
                </c:pt>
                <c:pt idx="977">
                  <c:v>1</c:v>
                </c:pt>
                <c:pt idx="978">
                  <c:v>1</c:v>
                </c:pt>
                <c:pt idx="979">
                  <c:v>1</c:v>
                </c:pt>
                <c:pt idx="980">
                  <c:v>1</c:v>
                </c:pt>
                <c:pt idx="981">
                  <c:v>1</c:v>
                </c:pt>
                <c:pt idx="982">
                  <c:v>1</c:v>
                </c:pt>
                <c:pt idx="983">
                  <c:v>1</c:v>
                </c:pt>
                <c:pt idx="984">
                  <c:v>1</c:v>
                </c:pt>
                <c:pt idx="985">
                  <c:v>1</c:v>
                </c:pt>
                <c:pt idx="986">
                  <c:v>1</c:v>
                </c:pt>
                <c:pt idx="987">
                  <c:v>1</c:v>
                </c:pt>
                <c:pt idx="988">
                  <c:v>1</c:v>
                </c:pt>
                <c:pt idx="989">
                  <c:v>1</c:v>
                </c:pt>
                <c:pt idx="990">
                  <c:v>1</c:v>
                </c:pt>
                <c:pt idx="991">
                  <c:v>1</c:v>
                </c:pt>
                <c:pt idx="992">
                  <c:v>1</c:v>
                </c:pt>
                <c:pt idx="993">
                  <c:v>1</c:v>
                </c:pt>
                <c:pt idx="994">
                  <c:v>1</c:v>
                </c:pt>
                <c:pt idx="995">
                  <c:v>1</c:v>
                </c:pt>
                <c:pt idx="996">
                  <c:v>1</c:v>
                </c:pt>
                <c:pt idx="997">
                  <c:v>1</c:v>
                </c:pt>
                <c:pt idx="998">
                  <c:v>1</c:v>
                </c:pt>
                <c:pt idx="999">
                  <c:v>1</c:v>
                </c:pt>
                <c:pt idx="1000">
                  <c:v>1</c:v>
                </c:pt>
                <c:pt idx="1001">
                  <c:v>1</c:v>
                </c:pt>
                <c:pt idx="1002">
                  <c:v>1</c:v>
                </c:pt>
                <c:pt idx="1003">
                  <c:v>1</c:v>
                </c:pt>
                <c:pt idx="1004">
                  <c:v>1</c:v>
                </c:pt>
                <c:pt idx="1005">
                  <c:v>1</c:v>
                </c:pt>
                <c:pt idx="1006">
                  <c:v>1</c:v>
                </c:pt>
                <c:pt idx="1007">
                  <c:v>1</c:v>
                </c:pt>
                <c:pt idx="1008">
                  <c:v>1</c:v>
                </c:pt>
                <c:pt idx="1009">
                  <c:v>1</c:v>
                </c:pt>
                <c:pt idx="1010">
                  <c:v>1</c:v>
                </c:pt>
                <c:pt idx="1011">
                  <c:v>1</c:v>
                </c:pt>
                <c:pt idx="1012">
                  <c:v>1</c:v>
                </c:pt>
                <c:pt idx="1013">
                  <c:v>1</c:v>
                </c:pt>
                <c:pt idx="1014">
                  <c:v>1</c:v>
                </c:pt>
                <c:pt idx="1015">
                  <c:v>1</c:v>
                </c:pt>
                <c:pt idx="1016">
                  <c:v>1</c:v>
                </c:pt>
                <c:pt idx="1017">
                  <c:v>1</c:v>
                </c:pt>
                <c:pt idx="1018">
                  <c:v>1</c:v>
                </c:pt>
                <c:pt idx="1019">
                  <c:v>1</c:v>
                </c:pt>
                <c:pt idx="1020">
                  <c:v>1</c:v>
                </c:pt>
                <c:pt idx="1021">
                  <c:v>1</c:v>
                </c:pt>
                <c:pt idx="1022">
                  <c:v>1</c:v>
                </c:pt>
                <c:pt idx="1023">
                  <c:v>1</c:v>
                </c:pt>
                <c:pt idx="1024">
                  <c:v>1</c:v>
                </c:pt>
                <c:pt idx="1025">
                  <c:v>1</c:v>
                </c:pt>
                <c:pt idx="1026">
                  <c:v>1</c:v>
                </c:pt>
                <c:pt idx="1027">
                  <c:v>1</c:v>
                </c:pt>
                <c:pt idx="1028">
                  <c:v>1</c:v>
                </c:pt>
                <c:pt idx="1029">
                  <c:v>1</c:v>
                </c:pt>
                <c:pt idx="1030">
                  <c:v>1</c:v>
                </c:pt>
                <c:pt idx="1031">
                  <c:v>1</c:v>
                </c:pt>
                <c:pt idx="1032">
                  <c:v>1</c:v>
                </c:pt>
                <c:pt idx="1033">
                  <c:v>1</c:v>
                </c:pt>
                <c:pt idx="1034">
                  <c:v>1</c:v>
                </c:pt>
                <c:pt idx="1035">
                  <c:v>1</c:v>
                </c:pt>
                <c:pt idx="1036">
                  <c:v>1</c:v>
                </c:pt>
                <c:pt idx="1037">
                  <c:v>1</c:v>
                </c:pt>
                <c:pt idx="1038">
                  <c:v>1</c:v>
                </c:pt>
                <c:pt idx="1039">
                  <c:v>1</c:v>
                </c:pt>
                <c:pt idx="1040">
                  <c:v>1</c:v>
                </c:pt>
                <c:pt idx="1041">
                  <c:v>1</c:v>
                </c:pt>
                <c:pt idx="1042">
                  <c:v>1</c:v>
                </c:pt>
                <c:pt idx="1043">
                  <c:v>1</c:v>
                </c:pt>
                <c:pt idx="1044">
                  <c:v>1</c:v>
                </c:pt>
                <c:pt idx="1045">
                  <c:v>1</c:v>
                </c:pt>
                <c:pt idx="1046">
                  <c:v>1</c:v>
                </c:pt>
                <c:pt idx="1047">
                  <c:v>1</c:v>
                </c:pt>
                <c:pt idx="1048">
                  <c:v>1</c:v>
                </c:pt>
                <c:pt idx="1049">
                  <c:v>1</c:v>
                </c:pt>
                <c:pt idx="1050">
                  <c:v>1</c:v>
                </c:pt>
                <c:pt idx="1051">
                  <c:v>1</c:v>
                </c:pt>
                <c:pt idx="1052">
                  <c:v>1</c:v>
                </c:pt>
                <c:pt idx="1053">
                  <c:v>1</c:v>
                </c:pt>
                <c:pt idx="1054">
                  <c:v>1</c:v>
                </c:pt>
                <c:pt idx="1055">
                  <c:v>1</c:v>
                </c:pt>
                <c:pt idx="1056">
                  <c:v>1</c:v>
                </c:pt>
                <c:pt idx="1057">
                  <c:v>1</c:v>
                </c:pt>
                <c:pt idx="1058">
                  <c:v>1</c:v>
                </c:pt>
                <c:pt idx="1059">
                  <c:v>1</c:v>
                </c:pt>
                <c:pt idx="1060">
                  <c:v>1</c:v>
                </c:pt>
                <c:pt idx="1061">
                  <c:v>1</c:v>
                </c:pt>
                <c:pt idx="1062">
                  <c:v>1</c:v>
                </c:pt>
                <c:pt idx="1063">
                  <c:v>1</c:v>
                </c:pt>
                <c:pt idx="1064">
                  <c:v>1</c:v>
                </c:pt>
                <c:pt idx="1065">
                  <c:v>1</c:v>
                </c:pt>
                <c:pt idx="1066">
                  <c:v>1</c:v>
                </c:pt>
                <c:pt idx="1067">
                  <c:v>1</c:v>
                </c:pt>
                <c:pt idx="1068">
                  <c:v>1</c:v>
                </c:pt>
                <c:pt idx="1069">
                  <c:v>1</c:v>
                </c:pt>
                <c:pt idx="1070">
                  <c:v>1</c:v>
                </c:pt>
                <c:pt idx="1071">
                  <c:v>1</c:v>
                </c:pt>
                <c:pt idx="1072">
                  <c:v>1</c:v>
                </c:pt>
                <c:pt idx="1073">
                  <c:v>1</c:v>
                </c:pt>
                <c:pt idx="1074">
                  <c:v>1</c:v>
                </c:pt>
                <c:pt idx="1075">
                  <c:v>1</c:v>
                </c:pt>
                <c:pt idx="1076">
                  <c:v>1</c:v>
                </c:pt>
                <c:pt idx="1077">
                  <c:v>1</c:v>
                </c:pt>
                <c:pt idx="1078">
                  <c:v>1</c:v>
                </c:pt>
                <c:pt idx="1079">
                  <c:v>1</c:v>
                </c:pt>
                <c:pt idx="1080">
                  <c:v>1</c:v>
                </c:pt>
                <c:pt idx="1081">
                  <c:v>1</c:v>
                </c:pt>
                <c:pt idx="1082">
                  <c:v>1</c:v>
                </c:pt>
                <c:pt idx="1083">
                  <c:v>1</c:v>
                </c:pt>
                <c:pt idx="1084">
                  <c:v>1</c:v>
                </c:pt>
                <c:pt idx="1085">
                  <c:v>1</c:v>
                </c:pt>
                <c:pt idx="1086">
                  <c:v>1</c:v>
                </c:pt>
                <c:pt idx="1087">
                  <c:v>1</c:v>
                </c:pt>
                <c:pt idx="1088">
                  <c:v>1</c:v>
                </c:pt>
                <c:pt idx="1089">
                  <c:v>1</c:v>
                </c:pt>
                <c:pt idx="1090">
                  <c:v>1</c:v>
                </c:pt>
                <c:pt idx="1091">
                  <c:v>1</c:v>
                </c:pt>
                <c:pt idx="1092">
                  <c:v>1</c:v>
                </c:pt>
                <c:pt idx="1093">
                  <c:v>1</c:v>
                </c:pt>
                <c:pt idx="1094">
                  <c:v>1</c:v>
                </c:pt>
                <c:pt idx="1095">
                  <c:v>1</c:v>
                </c:pt>
                <c:pt idx="1096">
                  <c:v>1</c:v>
                </c:pt>
                <c:pt idx="1097">
                  <c:v>1</c:v>
                </c:pt>
                <c:pt idx="1098">
                  <c:v>1</c:v>
                </c:pt>
                <c:pt idx="1099">
                  <c:v>1</c:v>
                </c:pt>
                <c:pt idx="1100">
                  <c:v>1</c:v>
                </c:pt>
                <c:pt idx="1101">
                  <c:v>1</c:v>
                </c:pt>
                <c:pt idx="1102">
                  <c:v>1</c:v>
                </c:pt>
                <c:pt idx="1103">
                  <c:v>1</c:v>
                </c:pt>
                <c:pt idx="1104">
                  <c:v>1</c:v>
                </c:pt>
                <c:pt idx="1105">
                  <c:v>1</c:v>
                </c:pt>
                <c:pt idx="1106">
                  <c:v>1</c:v>
                </c:pt>
                <c:pt idx="1107">
                  <c:v>1</c:v>
                </c:pt>
                <c:pt idx="1108">
                  <c:v>1</c:v>
                </c:pt>
                <c:pt idx="1109">
                  <c:v>1</c:v>
                </c:pt>
                <c:pt idx="1110">
                  <c:v>1</c:v>
                </c:pt>
                <c:pt idx="1111">
                  <c:v>1</c:v>
                </c:pt>
                <c:pt idx="1112">
                  <c:v>1</c:v>
                </c:pt>
                <c:pt idx="1113">
                  <c:v>1</c:v>
                </c:pt>
                <c:pt idx="1114">
                  <c:v>1</c:v>
                </c:pt>
                <c:pt idx="1115">
                  <c:v>1</c:v>
                </c:pt>
                <c:pt idx="1116">
                  <c:v>1</c:v>
                </c:pt>
                <c:pt idx="1117">
                  <c:v>1</c:v>
                </c:pt>
                <c:pt idx="1118">
                  <c:v>1</c:v>
                </c:pt>
                <c:pt idx="1119">
                  <c:v>1</c:v>
                </c:pt>
                <c:pt idx="1120">
                  <c:v>1</c:v>
                </c:pt>
                <c:pt idx="1121">
                  <c:v>1</c:v>
                </c:pt>
                <c:pt idx="1122">
                  <c:v>1</c:v>
                </c:pt>
                <c:pt idx="1123">
                  <c:v>1</c:v>
                </c:pt>
                <c:pt idx="1124">
                  <c:v>1</c:v>
                </c:pt>
                <c:pt idx="1125">
                  <c:v>1</c:v>
                </c:pt>
                <c:pt idx="1126">
                  <c:v>1</c:v>
                </c:pt>
                <c:pt idx="1127">
                  <c:v>1</c:v>
                </c:pt>
                <c:pt idx="1128">
                  <c:v>1</c:v>
                </c:pt>
                <c:pt idx="1129">
                  <c:v>1</c:v>
                </c:pt>
                <c:pt idx="1130">
                  <c:v>1</c:v>
                </c:pt>
                <c:pt idx="1131">
                  <c:v>1</c:v>
                </c:pt>
                <c:pt idx="1132">
                  <c:v>1</c:v>
                </c:pt>
                <c:pt idx="1133">
                  <c:v>1</c:v>
                </c:pt>
                <c:pt idx="1134">
                  <c:v>1</c:v>
                </c:pt>
                <c:pt idx="1135">
                  <c:v>1</c:v>
                </c:pt>
                <c:pt idx="1136">
                  <c:v>1</c:v>
                </c:pt>
                <c:pt idx="1137">
                  <c:v>1</c:v>
                </c:pt>
                <c:pt idx="1138">
                  <c:v>1</c:v>
                </c:pt>
                <c:pt idx="1139">
                  <c:v>1</c:v>
                </c:pt>
                <c:pt idx="1140">
                  <c:v>1</c:v>
                </c:pt>
                <c:pt idx="1141">
                  <c:v>1</c:v>
                </c:pt>
                <c:pt idx="1142">
                  <c:v>1</c:v>
                </c:pt>
                <c:pt idx="1143">
                  <c:v>1</c:v>
                </c:pt>
                <c:pt idx="1144">
                  <c:v>1</c:v>
                </c:pt>
                <c:pt idx="1145">
                  <c:v>1</c:v>
                </c:pt>
                <c:pt idx="1146">
                  <c:v>1</c:v>
                </c:pt>
                <c:pt idx="1147">
                  <c:v>1</c:v>
                </c:pt>
                <c:pt idx="1148">
                  <c:v>1</c:v>
                </c:pt>
                <c:pt idx="1149">
                  <c:v>1</c:v>
                </c:pt>
                <c:pt idx="1150">
                  <c:v>1</c:v>
                </c:pt>
                <c:pt idx="1151">
                  <c:v>1</c:v>
                </c:pt>
                <c:pt idx="1152">
                  <c:v>1</c:v>
                </c:pt>
                <c:pt idx="1153">
                  <c:v>1</c:v>
                </c:pt>
                <c:pt idx="1154">
                  <c:v>1</c:v>
                </c:pt>
                <c:pt idx="1155">
                  <c:v>1</c:v>
                </c:pt>
                <c:pt idx="1156">
                  <c:v>1</c:v>
                </c:pt>
                <c:pt idx="1157">
                  <c:v>1</c:v>
                </c:pt>
                <c:pt idx="1158">
                  <c:v>1</c:v>
                </c:pt>
                <c:pt idx="1159">
                  <c:v>1</c:v>
                </c:pt>
                <c:pt idx="1160">
                  <c:v>1</c:v>
                </c:pt>
                <c:pt idx="1161">
                  <c:v>1</c:v>
                </c:pt>
                <c:pt idx="1162">
                  <c:v>1</c:v>
                </c:pt>
                <c:pt idx="1163">
                  <c:v>1</c:v>
                </c:pt>
                <c:pt idx="1164">
                  <c:v>1</c:v>
                </c:pt>
                <c:pt idx="1165">
                  <c:v>1</c:v>
                </c:pt>
                <c:pt idx="1166">
                  <c:v>1</c:v>
                </c:pt>
                <c:pt idx="1167">
                  <c:v>1</c:v>
                </c:pt>
                <c:pt idx="1168">
                  <c:v>1</c:v>
                </c:pt>
                <c:pt idx="1169">
                  <c:v>1</c:v>
                </c:pt>
                <c:pt idx="1170">
                  <c:v>1</c:v>
                </c:pt>
                <c:pt idx="1171">
                  <c:v>1</c:v>
                </c:pt>
                <c:pt idx="1172">
                  <c:v>1</c:v>
                </c:pt>
                <c:pt idx="1173">
                  <c:v>1</c:v>
                </c:pt>
                <c:pt idx="1174">
                  <c:v>1</c:v>
                </c:pt>
                <c:pt idx="1175">
                  <c:v>1</c:v>
                </c:pt>
                <c:pt idx="1176">
                  <c:v>1</c:v>
                </c:pt>
                <c:pt idx="1177">
                  <c:v>1</c:v>
                </c:pt>
                <c:pt idx="1178">
                  <c:v>1</c:v>
                </c:pt>
                <c:pt idx="1179">
                  <c:v>1</c:v>
                </c:pt>
                <c:pt idx="1180">
                  <c:v>1</c:v>
                </c:pt>
                <c:pt idx="1181">
                  <c:v>1</c:v>
                </c:pt>
                <c:pt idx="1182">
                  <c:v>1</c:v>
                </c:pt>
                <c:pt idx="1183">
                  <c:v>1</c:v>
                </c:pt>
                <c:pt idx="1184">
                  <c:v>1</c:v>
                </c:pt>
                <c:pt idx="1185">
                  <c:v>1</c:v>
                </c:pt>
                <c:pt idx="1186">
                  <c:v>1</c:v>
                </c:pt>
                <c:pt idx="1187">
                  <c:v>1</c:v>
                </c:pt>
                <c:pt idx="1188">
                  <c:v>1</c:v>
                </c:pt>
                <c:pt idx="1189">
                  <c:v>1</c:v>
                </c:pt>
                <c:pt idx="1190">
                  <c:v>1</c:v>
                </c:pt>
                <c:pt idx="1191">
                  <c:v>1</c:v>
                </c:pt>
                <c:pt idx="1192">
                  <c:v>1</c:v>
                </c:pt>
                <c:pt idx="1193">
                  <c:v>1</c:v>
                </c:pt>
                <c:pt idx="1194">
                  <c:v>1</c:v>
                </c:pt>
                <c:pt idx="1195">
                  <c:v>1</c:v>
                </c:pt>
                <c:pt idx="1196">
                  <c:v>1</c:v>
                </c:pt>
                <c:pt idx="1197">
                  <c:v>1</c:v>
                </c:pt>
                <c:pt idx="1198">
                  <c:v>1</c:v>
                </c:pt>
                <c:pt idx="1199">
                  <c:v>1</c:v>
                </c:pt>
                <c:pt idx="1200">
                  <c:v>1</c:v>
                </c:pt>
                <c:pt idx="1201">
                  <c:v>1</c:v>
                </c:pt>
                <c:pt idx="1202">
                  <c:v>1</c:v>
                </c:pt>
                <c:pt idx="1203">
                  <c:v>1</c:v>
                </c:pt>
                <c:pt idx="1204">
                  <c:v>1</c:v>
                </c:pt>
                <c:pt idx="1205">
                  <c:v>1</c:v>
                </c:pt>
                <c:pt idx="1206">
                  <c:v>1</c:v>
                </c:pt>
                <c:pt idx="1207">
                  <c:v>1</c:v>
                </c:pt>
                <c:pt idx="1208">
                  <c:v>1</c:v>
                </c:pt>
                <c:pt idx="1209">
                  <c:v>1</c:v>
                </c:pt>
                <c:pt idx="1210">
                  <c:v>1</c:v>
                </c:pt>
                <c:pt idx="1211">
                  <c:v>1</c:v>
                </c:pt>
                <c:pt idx="1212">
                  <c:v>1</c:v>
                </c:pt>
                <c:pt idx="1213">
                  <c:v>1</c:v>
                </c:pt>
                <c:pt idx="1214">
                  <c:v>1</c:v>
                </c:pt>
                <c:pt idx="1215">
                  <c:v>1</c:v>
                </c:pt>
                <c:pt idx="1216">
                  <c:v>1</c:v>
                </c:pt>
                <c:pt idx="1217">
                  <c:v>1</c:v>
                </c:pt>
                <c:pt idx="1218">
                  <c:v>1</c:v>
                </c:pt>
                <c:pt idx="1219">
                  <c:v>1</c:v>
                </c:pt>
                <c:pt idx="1220">
                  <c:v>1</c:v>
                </c:pt>
                <c:pt idx="1221">
                  <c:v>1</c:v>
                </c:pt>
                <c:pt idx="1222">
                  <c:v>1</c:v>
                </c:pt>
                <c:pt idx="1223">
                  <c:v>1</c:v>
                </c:pt>
                <c:pt idx="1224">
                  <c:v>1</c:v>
                </c:pt>
                <c:pt idx="1225">
                  <c:v>1</c:v>
                </c:pt>
                <c:pt idx="1226">
                  <c:v>1</c:v>
                </c:pt>
                <c:pt idx="1227">
                  <c:v>1</c:v>
                </c:pt>
                <c:pt idx="1228">
                  <c:v>1</c:v>
                </c:pt>
                <c:pt idx="1229">
                  <c:v>1</c:v>
                </c:pt>
                <c:pt idx="1230">
                  <c:v>1</c:v>
                </c:pt>
                <c:pt idx="1231">
                  <c:v>1</c:v>
                </c:pt>
                <c:pt idx="1232">
                  <c:v>1</c:v>
                </c:pt>
                <c:pt idx="1233">
                  <c:v>1</c:v>
                </c:pt>
                <c:pt idx="1234">
                  <c:v>1</c:v>
                </c:pt>
                <c:pt idx="1235">
                  <c:v>1</c:v>
                </c:pt>
                <c:pt idx="1236">
                  <c:v>1</c:v>
                </c:pt>
                <c:pt idx="1237">
                  <c:v>1</c:v>
                </c:pt>
                <c:pt idx="1238">
                  <c:v>1</c:v>
                </c:pt>
                <c:pt idx="1239">
                  <c:v>1</c:v>
                </c:pt>
                <c:pt idx="1240">
                  <c:v>1</c:v>
                </c:pt>
                <c:pt idx="1241">
                  <c:v>1</c:v>
                </c:pt>
                <c:pt idx="1242">
                  <c:v>1</c:v>
                </c:pt>
                <c:pt idx="1243">
                  <c:v>1</c:v>
                </c:pt>
                <c:pt idx="1244">
                  <c:v>1</c:v>
                </c:pt>
                <c:pt idx="1245">
                  <c:v>1</c:v>
                </c:pt>
                <c:pt idx="1246">
                  <c:v>1</c:v>
                </c:pt>
                <c:pt idx="1247">
                  <c:v>1</c:v>
                </c:pt>
                <c:pt idx="1248">
                  <c:v>1</c:v>
                </c:pt>
                <c:pt idx="1249">
                  <c:v>1</c:v>
                </c:pt>
                <c:pt idx="1250">
                  <c:v>1</c:v>
                </c:pt>
                <c:pt idx="1251">
                  <c:v>1</c:v>
                </c:pt>
                <c:pt idx="1252">
                  <c:v>1</c:v>
                </c:pt>
                <c:pt idx="1253">
                  <c:v>1</c:v>
                </c:pt>
                <c:pt idx="1254">
                  <c:v>1</c:v>
                </c:pt>
                <c:pt idx="1255">
                  <c:v>1</c:v>
                </c:pt>
                <c:pt idx="1256">
                  <c:v>1</c:v>
                </c:pt>
                <c:pt idx="1257">
                  <c:v>1</c:v>
                </c:pt>
                <c:pt idx="1258">
                  <c:v>1</c:v>
                </c:pt>
                <c:pt idx="1259">
                  <c:v>1</c:v>
                </c:pt>
                <c:pt idx="1260">
                  <c:v>1</c:v>
                </c:pt>
                <c:pt idx="1261">
                  <c:v>1</c:v>
                </c:pt>
                <c:pt idx="1262">
                  <c:v>1</c:v>
                </c:pt>
                <c:pt idx="1263">
                  <c:v>1</c:v>
                </c:pt>
                <c:pt idx="1264">
                  <c:v>1</c:v>
                </c:pt>
                <c:pt idx="1265">
                  <c:v>1</c:v>
                </c:pt>
                <c:pt idx="1266">
                  <c:v>1</c:v>
                </c:pt>
                <c:pt idx="1267">
                  <c:v>1</c:v>
                </c:pt>
                <c:pt idx="1268">
                  <c:v>1</c:v>
                </c:pt>
                <c:pt idx="1269">
                  <c:v>1</c:v>
                </c:pt>
                <c:pt idx="1270">
                  <c:v>1</c:v>
                </c:pt>
                <c:pt idx="1271">
                  <c:v>1</c:v>
                </c:pt>
                <c:pt idx="1272">
                  <c:v>1</c:v>
                </c:pt>
                <c:pt idx="1273">
                  <c:v>1</c:v>
                </c:pt>
                <c:pt idx="1274">
                  <c:v>1</c:v>
                </c:pt>
                <c:pt idx="1275">
                  <c:v>1</c:v>
                </c:pt>
                <c:pt idx="1276">
                  <c:v>1</c:v>
                </c:pt>
                <c:pt idx="1277">
                  <c:v>1</c:v>
                </c:pt>
                <c:pt idx="1278">
                  <c:v>1</c:v>
                </c:pt>
                <c:pt idx="1279">
                  <c:v>1</c:v>
                </c:pt>
                <c:pt idx="1280">
                  <c:v>1</c:v>
                </c:pt>
                <c:pt idx="1281">
                  <c:v>1</c:v>
                </c:pt>
                <c:pt idx="1282">
                  <c:v>1</c:v>
                </c:pt>
                <c:pt idx="1283">
                  <c:v>1</c:v>
                </c:pt>
                <c:pt idx="1284">
                  <c:v>1</c:v>
                </c:pt>
                <c:pt idx="1285">
                  <c:v>1</c:v>
                </c:pt>
                <c:pt idx="1286">
                  <c:v>1</c:v>
                </c:pt>
                <c:pt idx="1287">
                  <c:v>1</c:v>
                </c:pt>
                <c:pt idx="1288">
                  <c:v>1</c:v>
                </c:pt>
                <c:pt idx="1289">
                  <c:v>1</c:v>
                </c:pt>
                <c:pt idx="1290">
                  <c:v>1</c:v>
                </c:pt>
                <c:pt idx="1291">
                  <c:v>1</c:v>
                </c:pt>
                <c:pt idx="1292">
                  <c:v>1</c:v>
                </c:pt>
                <c:pt idx="1293">
                  <c:v>1</c:v>
                </c:pt>
                <c:pt idx="1294">
                  <c:v>1</c:v>
                </c:pt>
                <c:pt idx="1295">
                  <c:v>1</c:v>
                </c:pt>
                <c:pt idx="1296">
                  <c:v>1</c:v>
                </c:pt>
                <c:pt idx="1297">
                  <c:v>1</c:v>
                </c:pt>
                <c:pt idx="1298">
                  <c:v>1</c:v>
                </c:pt>
                <c:pt idx="1299">
                  <c:v>1</c:v>
                </c:pt>
                <c:pt idx="1300">
                  <c:v>1</c:v>
                </c:pt>
              </c:numCache>
            </c:numRef>
          </c:xVal>
          <c:yVal>
            <c:numRef>
              <c:f>Calculations!$AG$2:$AG$1302</c:f>
              <c:numCache>
                <c:formatCode>0.00</c:formatCode>
                <c:ptCount val="13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4.8471095093374434E-3</c:v>
                </c:pt>
                <c:pt idx="442">
                  <c:v>1.8025637185910014E-2</c:v>
                </c:pt>
                <c:pt idx="443">
                  <c:v>3.1176198728341674E-2</c:v>
                </c:pt>
                <c:pt idx="444">
                  <c:v>4.4298878611750879E-2</c:v>
                </c:pt>
                <c:pt idx="445">
                  <c:v>5.7393760971133488E-2</c:v>
                </c:pt>
                <c:pt idx="446">
                  <c:v>7.0460929602925965E-2</c:v>
                </c:pt>
                <c:pt idx="447">
                  <c:v>8.3500467966895392E-2</c:v>
                </c:pt>
                <c:pt idx="448">
                  <c:v>9.6512459187645866E-2</c:v>
                </c:pt>
                <c:pt idx="449">
                  <c:v>0.10949698605650851</c:v>
                </c:pt>
                <c:pt idx="450">
                  <c:v>0.12245413103316152</c:v>
                </c:pt>
                <c:pt idx="451">
                  <c:v>0.135383976247236</c:v>
                </c:pt>
                <c:pt idx="452">
                  <c:v>0.14828660350014913</c:v>
                </c:pt>
                <c:pt idx="453">
                  <c:v>0.16116209426658215</c:v>
                </c:pt>
                <c:pt idx="454">
                  <c:v>0.17401052969624245</c:v>
                </c:pt>
                <c:pt idx="455">
                  <c:v>0.18683199061548364</c:v>
                </c:pt>
                <c:pt idx="456">
                  <c:v>0.19962655752885453</c:v>
                </c:pt>
                <c:pt idx="457">
                  <c:v>0.21239431062090389</c:v>
                </c:pt>
                <c:pt idx="458">
                  <c:v>0.22513532975754472</c:v>
                </c:pt>
                <c:pt idx="459">
                  <c:v>0.23784969448783058</c:v>
                </c:pt>
                <c:pt idx="460">
                  <c:v>0.25053748404550458</c:v>
                </c:pt>
                <c:pt idx="461">
                  <c:v>0.26319877735053421</c:v>
                </c:pt>
                <c:pt idx="462">
                  <c:v>0.27583365301071705</c:v>
                </c:pt>
                <c:pt idx="463">
                  <c:v>0.28844218932322985</c:v>
                </c:pt>
                <c:pt idx="464">
                  <c:v>0.30102446427620588</c:v>
                </c:pt>
                <c:pt idx="465">
                  <c:v>0.31358055555022712</c:v>
                </c:pt>
                <c:pt idx="466">
                  <c:v>0.32611054051988742</c:v>
                </c:pt>
                <c:pt idx="467">
                  <c:v>0.33861449625531304</c:v>
                </c:pt>
                <c:pt idx="468">
                  <c:v>0.35109249952365484</c:v>
                </c:pt>
                <c:pt idx="469">
                  <c:v>0.36354462679065147</c:v>
                </c:pt>
                <c:pt idx="470">
                  <c:v>0.37597095422203619</c:v>
                </c:pt>
                <c:pt idx="471">
                  <c:v>0.38837155768510012</c:v>
                </c:pt>
                <c:pt idx="472">
                  <c:v>0.40074651275012751</c:v>
                </c:pt>
                <c:pt idx="473">
                  <c:v>0.41309589469187369</c:v>
                </c:pt>
                <c:pt idx="474">
                  <c:v>0.42541977849102874</c:v>
                </c:pt>
                <c:pt idx="475">
                  <c:v>0.43771823883566707</c:v>
                </c:pt>
                <c:pt idx="476">
                  <c:v>0.44999135012269686</c:v>
                </c:pt>
                <c:pt idx="477">
                  <c:v>0.46223918645925277</c:v>
                </c:pt>
                <c:pt idx="478">
                  <c:v>0.47446182166420225</c:v>
                </c:pt>
                <c:pt idx="479">
                  <c:v>0.48665932926948141</c:v>
                </c:pt>
                <c:pt idx="480">
                  <c:v>0.49883178252151605</c:v>
                </c:pt>
                <c:pt idx="481">
                  <c:v>0.51097925438269964</c:v>
                </c:pt>
                <c:pt idx="482">
                  <c:v>0.52310181753267226</c:v>
                </c:pt>
                <c:pt idx="483">
                  <c:v>0.53519954436977013</c:v>
                </c:pt>
                <c:pt idx="484">
                  <c:v>0.54727250701241825</c:v>
                </c:pt>
                <c:pt idx="485">
                  <c:v>0.55932077730038099</c:v>
                </c:pt>
                <c:pt idx="486">
                  <c:v>0.57134442679631103</c:v>
                </c:pt>
                <c:pt idx="487">
                  <c:v>0.58334352678694312</c:v>
                </c:pt>
                <c:pt idx="488">
                  <c:v>0.59531814828445828</c:v>
                </c:pt>
                <c:pt idx="489">
                  <c:v>0.6072683620278907</c:v>
                </c:pt>
                <c:pt idx="490">
                  <c:v>0.61919423848440669</c:v>
                </c:pt>
                <c:pt idx="491">
                  <c:v>0.63109584785061212</c:v>
                </c:pt>
                <c:pt idx="492">
                  <c:v>0.64297326005390243</c:v>
                </c:pt>
                <c:pt idx="493">
                  <c:v>0.65482654475371316</c:v>
                </c:pt>
                <c:pt idx="494">
                  <c:v>0.66665577134285581</c:v>
                </c:pt>
                <c:pt idx="495">
                  <c:v>0.67846100894883943</c:v>
                </c:pt>
                <c:pt idx="496">
                  <c:v>0.69024232643503591</c:v>
                </c:pt>
                <c:pt idx="497">
                  <c:v>0.70199979240208688</c:v>
                </c:pt>
                <c:pt idx="498">
                  <c:v>0.71373347518905472</c:v>
                </c:pt>
                <c:pt idx="499">
                  <c:v>0.7254434428747869</c:v>
                </c:pt>
                <c:pt idx="500">
                  <c:v>0.73712976327909541</c:v>
                </c:pt>
                <c:pt idx="501">
                  <c:v>0.74879250396400732</c:v>
                </c:pt>
                <c:pt idx="502">
                  <c:v>0.76043173223501537</c:v>
                </c:pt>
                <c:pt idx="503">
                  <c:v>0.77204751514231429</c:v>
                </c:pt>
                <c:pt idx="504">
                  <c:v>0.78363991948203715</c:v>
                </c:pt>
                <c:pt idx="505">
                  <c:v>0.79520901179739223</c:v>
                </c:pt>
                <c:pt idx="506">
                  <c:v>0.80675485837997041</c:v>
                </c:pt>
                <c:pt idx="507">
                  <c:v>0.81827752527088204</c:v>
                </c:pt>
                <c:pt idx="508">
                  <c:v>0.82977707826199332</c:v>
                </c:pt>
                <c:pt idx="509">
                  <c:v>0.84125358289706309</c:v>
                </c:pt>
                <c:pt idx="510">
                  <c:v>0.85270710447296505</c:v>
                </c:pt>
                <c:pt idx="511">
                  <c:v>0.86413770804085299</c:v>
                </c:pt>
                <c:pt idx="512">
                  <c:v>0.87554545840731191</c:v>
                </c:pt>
                <c:pt idx="513">
                  <c:v>0.88693042013553747</c:v>
                </c:pt>
                <c:pt idx="514">
                  <c:v>0.89829265754645871</c:v>
                </c:pt>
                <c:pt idx="515">
                  <c:v>0.90963223471994592</c:v>
                </c:pt>
                <c:pt idx="516">
                  <c:v>0.92094921549589071</c:v>
                </c:pt>
                <c:pt idx="517">
                  <c:v>0.93224366347532861</c:v>
                </c:pt>
                <c:pt idx="518">
                  <c:v>0.94351564202164706</c:v>
                </c:pt>
                <c:pt idx="519">
                  <c:v>0.95476521426162275</c:v>
                </c:pt>
                <c:pt idx="520">
                  <c:v>0.96599244308658694</c:v>
                </c:pt>
                <c:pt idx="521">
                  <c:v>0.97719739115354809</c:v>
                </c:pt>
                <c:pt idx="522">
                  <c:v>0.98838012088617244</c:v>
                </c:pt>
                <c:pt idx="523">
                  <c:v>0.99954069447603455</c:v>
                </c:pt>
                <c:pt idx="524">
                  <c:v>0.99</c:v>
                </c:pt>
                <c:pt idx="525">
                  <c:v>0.99</c:v>
                </c:pt>
                <c:pt idx="526">
                  <c:v>0.99</c:v>
                </c:pt>
                <c:pt idx="527">
                  <c:v>0.99</c:v>
                </c:pt>
                <c:pt idx="528">
                  <c:v>0.99</c:v>
                </c:pt>
                <c:pt idx="529">
                  <c:v>0.99</c:v>
                </c:pt>
                <c:pt idx="530">
                  <c:v>0.99</c:v>
                </c:pt>
                <c:pt idx="531">
                  <c:v>0.99</c:v>
                </c:pt>
                <c:pt idx="532">
                  <c:v>0.99</c:v>
                </c:pt>
                <c:pt idx="533">
                  <c:v>0.99</c:v>
                </c:pt>
                <c:pt idx="534">
                  <c:v>0.99</c:v>
                </c:pt>
                <c:pt idx="535">
                  <c:v>0.99</c:v>
                </c:pt>
                <c:pt idx="536">
                  <c:v>0.99</c:v>
                </c:pt>
                <c:pt idx="537">
                  <c:v>0.99</c:v>
                </c:pt>
                <c:pt idx="538">
                  <c:v>0.99</c:v>
                </c:pt>
                <c:pt idx="539">
                  <c:v>0.99</c:v>
                </c:pt>
                <c:pt idx="540">
                  <c:v>0.99</c:v>
                </c:pt>
                <c:pt idx="541">
                  <c:v>0.99</c:v>
                </c:pt>
                <c:pt idx="542">
                  <c:v>0.99</c:v>
                </c:pt>
                <c:pt idx="543">
                  <c:v>0.99</c:v>
                </c:pt>
                <c:pt idx="544">
                  <c:v>0.99</c:v>
                </c:pt>
                <c:pt idx="545">
                  <c:v>0.99</c:v>
                </c:pt>
                <c:pt idx="546">
                  <c:v>0.99</c:v>
                </c:pt>
                <c:pt idx="547">
                  <c:v>0.99</c:v>
                </c:pt>
                <c:pt idx="548">
                  <c:v>0.99</c:v>
                </c:pt>
                <c:pt idx="549">
                  <c:v>0.99</c:v>
                </c:pt>
                <c:pt idx="550">
                  <c:v>0.99</c:v>
                </c:pt>
                <c:pt idx="551">
                  <c:v>0.99</c:v>
                </c:pt>
                <c:pt idx="552">
                  <c:v>0.99</c:v>
                </c:pt>
                <c:pt idx="553">
                  <c:v>0.99</c:v>
                </c:pt>
                <c:pt idx="554">
                  <c:v>0.99</c:v>
                </c:pt>
                <c:pt idx="555">
                  <c:v>0.99</c:v>
                </c:pt>
                <c:pt idx="556">
                  <c:v>0.99</c:v>
                </c:pt>
                <c:pt idx="557">
                  <c:v>0.99</c:v>
                </c:pt>
                <c:pt idx="558">
                  <c:v>0.99</c:v>
                </c:pt>
                <c:pt idx="559">
                  <c:v>0.99</c:v>
                </c:pt>
                <c:pt idx="560">
                  <c:v>0.99</c:v>
                </c:pt>
                <c:pt idx="561">
                  <c:v>0.99</c:v>
                </c:pt>
                <c:pt idx="562">
                  <c:v>0.99</c:v>
                </c:pt>
                <c:pt idx="563">
                  <c:v>0.99</c:v>
                </c:pt>
                <c:pt idx="564">
                  <c:v>0.99</c:v>
                </c:pt>
                <c:pt idx="565">
                  <c:v>0.99</c:v>
                </c:pt>
                <c:pt idx="566">
                  <c:v>0.99</c:v>
                </c:pt>
                <c:pt idx="567">
                  <c:v>0.99</c:v>
                </c:pt>
                <c:pt idx="568">
                  <c:v>0.99</c:v>
                </c:pt>
                <c:pt idx="569">
                  <c:v>0.99</c:v>
                </c:pt>
                <c:pt idx="570">
                  <c:v>0.99</c:v>
                </c:pt>
                <c:pt idx="571">
                  <c:v>0.99</c:v>
                </c:pt>
                <c:pt idx="572">
                  <c:v>0.99</c:v>
                </c:pt>
                <c:pt idx="573">
                  <c:v>0.99</c:v>
                </c:pt>
                <c:pt idx="574">
                  <c:v>0.99</c:v>
                </c:pt>
                <c:pt idx="575">
                  <c:v>0.99</c:v>
                </c:pt>
                <c:pt idx="576">
                  <c:v>0.99</c:v>
                </c:pt>
                <c:pt idx="577">
                  <c:v>0.99</c:v>
                </c:pt>
                <c:pt idx="578">
                  <c:v>0.99</c:v>
                </c:pt>
                <c:pt idx="579">
                  <c:v>0.99</c:v>
                </c:pt>
                <c:pt idx="580">
                  <c:v>0.99</c:v>
                </c:pt>
                <c:pt idx="581">
                  <c:v>0.99</c:v>
                </c:pt>
                <c:pt idx="582">
                  <c:v>0.99</c:v>
                </c:pt>
                <c:pt idx="583">
                  <c:v>0.99</c:v>
                </c:pt>
                <c:pt idx="584">
                  <c:v>0.99</c:v>
                </c:pt>
                <c:pt idx="585">
                  <c:v>0.99</c:v>
                </c:pt>
                <c:pt idx="586">
                  <c:v>0.99</c:v>
                </c:pt>
                <c:pt idx="587">
                  <c:v>0.99</c:v>
                </c:pt>
                <c:pt idx="588">
                  <c:v>0.99</c:v>
                </c:pt>
                <c:pt idx="589">
                  <c:v>0.99</c:v>
                </c:pt>
                <c:pt idx="590">
                  <c:v>0.99</c:v>
                </c:pt>
                <c:pt idx="591">
                  <c:v>0.99</c:v>
                </c:pt>
                <c:pt idx="592">
                  <c:v>0.99</c:v>
                </c:pt>
                <c:pt idx="593">
                  <c:v>0.99</c:v>
                </c:pt>
                <c:pt idx="594">
                  <c:v>0.94366203371538027</c:v>
                </c:pt>
                <c:pt idx="595">
                  <c:v>0.87801874730881635</c:v>
                </c:pt>
                <c:pt idx="596">
                  <c:v>0.81389070661468321</c:v>
                </c:pt>
                <c:pt idx="597">
                  <c:v>0.75147519063932933</c:v>
                </c:pt>
                <c:pt idx="598">
                  <c:v>0.69090652819132314</c:v>
                </c:pt>
                <c:pt idx="599">
                  <c:v>0.63226994802879255</c:v>
                </c:pt>
                <c:pt idx="600">
                  <c:v>0.5756126387627436</c:v>
                </c:pt>
                <c:pt idx="601">
                  <c:v>0.52095253271847675</c:v>
                </c:pt>
                <c:pt idx="602">
                  <c:v>0.46828525492645268</c:v>
                </c:pt>
                <c:pt idx="603">
                  <c:v>0.41758960410837931</c:v>
                </c:pt>
                <c:pt idx="604">
                  <c:v>0.36883186492764741</c:v>
                </c:pt>
                <c:pt idx="605">
                  <c:v>0.32196919267526014</c:v>
                </c:pt>
                <c:pt idx="606">
                  <c:v>0.2769522632362893</c:v>
                </c:pt>
                <c:pt idx="607">
                  <c:v>0.23372734178192989</c:v>
                </c:pt>
                <c:pt idx="608">
                  <c:v>0.19223789191693319</c:v>
                </c:pt>
                <c:pt idx="609">
                  <c:v>0.15242582169000962</c:v>
                </c:pt>
                <c:pt idx="610">
                  <c:v>0.11423244276043265</c:v>
                </c:pt>
                <c:pt idx="611">
                  <c:v>7.7599203085014556E-2</c:v>
                </c:pt>
                <c:pt idx="612">
                  <c:v>4.2468240899882881E-2</c:v>
                </c:pt>
                <c:pt idx="613">
                  <c:v>8.7827978227281722E-3</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2.0150003393142324E-2</c:v>
                </c:pt>
                <c:pt idx="730">
                  <c:v>4.4484560210841462E-2</c:v>
                </c:pt>
                <c:pt idx="731">
                  <c:v>6.9554701126411267E-2</c:v>
                </c:pt>
                <c:pt idx="732">
                  <c:v>9.5386581098922285E-2</c:v>
                </c:pt>
                <c:pt idx="733">
                  <c:v>0.12200763861361663</c:v>
                </c:pt>
                <c:pt idx="734">
                  <c:v>0.1494466581314251</c:v>
                </c:pt>
                <c:pt idx="735">
                  <c:v>0.17773383472637239</c:v>
                </c:pt>
                <c:pt idx="736">
                  <c:v>0.20690084066575043</c:v>
                </c:pt>
                <c:pt idx="737">
                  <c:v>0.23698089358516672</c:v>
                </c:pt>
                <c:pt idx="738">
                  <c:v>0.26800882578048446</c:v>
                </c:pt>
                <c:pt idx="739">
                  <c:v>0.30002115397585971</c:v>
                </c:pt>
                <c:pt idx="740">
                  <c:v>0.3330561487209649</c:v>
                </c:pt>
                <c:pt idx="741">
                  <c:v>0.36715390231397249</c:v>
                </c:pt>
                <c:pt idx="742">
                  <c:v>0.40235639382374666</c:v>
                </c:pt>
                <c:pt idx="743">
                  <c:v>0.43870754938121159</c:v>
                </c:pt>
                <c:pt idx="744">
                  <c:v>0.47625329540366712</c:v>
                </c:pt>
                <c:pt idx="745">
                  <c:v>0.51504160178304215</c:v>
                </c:pt>
                <c:pt idx="746">
                  <c:v>0.55512251127511347</c:v>
                </c:pt>
                <c:pt idx="747">
                  <c:v>0.59654815033254027</c:v>
                </c:pt>
                <c:pt idx="748">
                  <c:v>0.63937271537640017</c:v>
                </c:pt>
                <c:pt idx="749">
                  <c:v>0.68365242693425898</c:v>
                </c:pt>
                <c:pt idx="750">
                  <c:v>0.72944544210305695</c:v>
                </c:pt>
                <c:pt idx="751">
                  <c:v>0.77681171331615495</c:v>
                </c:pt>
                <c:pt idx="752">
                  <c:v>0.82581277827006883</c:v>
                </c:pt>
                <c:pt idx="753">
                  <c:v>0.87651146192609564</c:v>
                </c:pt>
                <c:pt idx="754">
                  <c:v>0.92897146652510654</c:v>
                </c:pt>
                <c:pt idx="755">
                  <c:v>0.98325681926161779</c:v>
                </c:pt>
                <c:pt idx="756">
                  <c:v>0.99</c:v>
                </c:pt>
                <c:pt idx="757">
                  <c:v>0.99</c:v>
                </c:pt>
                <c:pt idx="758">
                  <c:v>0.99</c:v>
                </c:pt>
                <c:pt idx="759">
                  <c:v>0.99</c:v>
                </c:pt>
                <c:pt idx="760">
                  <c:v>0.99</c:v>
                </c:pt>
                <c:pt idx="761">
                  <c:v>0.99</c:v>
                </c:pt>
                <c:pt idx="762">
                  <c:v>0.99</c:v>
                </c:pt>
                <c:pt idx="763">
                  <c:v>0.99</c:v>
                </c:pt>
                <c:pt idx="764">
                  <c:v>0.99</c:v>
                </c:pt>
                <c:pt idx="765">
                  <c:v>0.99</c:v>
                </c:pt>
                <c:pt idx="766">
                  <c:v>0.99</c:v>
                </c:pt>
                <c:pt idx="767">
                  <c:v>0.99</c:v>
                </c:pt>
                <c:pt idx="768">
                  <c:v>0.99</c:v>
                </c:pt>
                <c:pt idx="769">
                  <c:v>0.99</c:v>
                </c:pt>
                <c:pt idx="770">
                  <c:v>0.99</c:v>
                </c:pt>
                <c:pt idx="771">
                  <c:v>0.99</c:v>
                </c:pt>
                <c:pt idx="772">
                  <c:v>0.99</c:v>
                </c:pt>
                <c:pt idx="773">
                  <c:v>0.99</c:v>
                </c:pt>
                <c:pt idx="774">
                  <c:v>0.99</c:v>
                </c:pt>
                <c:pt idx="775">
                  <c:v>0.99</c:v>
                </c:pt>
                <c:pt idx="776">
                  <c:v>0.99</c:v>
                </c:pt>
                <c:pt idx="777">
                  <c:v>0.99</c:v>
                </c:pt>
                <c:pt idx="778">
                  <c:v>0.99</c:v>
                </c:pt>
                <c:pt idx="779">
                  <c:v>0.99</c:v>
                </c:pt>
                <c:pt idx="780">
                  <c:v>0.99</c:v>
                </c:pt>
                <c:pt idx="781">
                  <c:v>0.99</c:v>
                </c:pt>
                <c:pt idx="782">
                  <c:v>0.99</c:v>
                </c:pt>
                <c:pt idx="783">
                  <c:v>0.99</c:v>
                </c:pt>
                <c:pt idx="784">
                  <c:v>0.99</c:v>
                </c:pt>
                <c:pt idx="785">
                  <c:v>0.99</c:v>
                </c:pt>
                <c:pt idx="786">
                  <c:v>0.99</c:v>
                </c:pt>
                <c:pt idx="787">
                  <c:v>0.99</c:v>
                </c:pt>
                <c:pt idx="788">
                  <c:v>0.99</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numCache>
            </c:numRef>
          </c:yVal>
          <c:smooth val="0"/>
        </c:ser>
        <c:dLbls>
          <c:showLegendKey val="0"/>
          <c:showVal val="0"/>
          <c:showCatName val="0"/>
          <c:showSerName val="0"/>
          <c:showPercent val="0"/>
          <c:showBubbleSize val="0"/>
        </c:dLbls>
        <c:axId val="112521728"/>
        <c:axId val="112522304"/>
      </c:scatterChart>
      <c:valAx>
        <c:axId val="112521728"/>
        <c:scaling>
          <c:orientation val="minMax"/>
        </c:scaling>
        <c:delete val="0"/>
        <c:axPos val="b"/>
        <c:minorGridlines/>
        <c:numFmt formatCode="General" sourceLinked="1"/>
        <c:majorTickMark val="out"/>
        <c:minorTickMark val="none"/>
        <c:tickLblPos val="nextTo"/>
        <c:crossAx val="112522304"/>
        <c:crosses val="autoZero"/>
        <c:crossBetween val="midCat"/>
      </c:valAx>
      <c:valAx>
        <c:axId val="112522304"/>
        <c:scaling>
          <c:orientation val="minMax"/>
          <c:max val="1"/>
        </c:scaling>
        <c:delete val="0"/>
        <c:axPos val="l"/>
        <c:majorGridlines/>
        <c:numFmt formatCode="0.00" sourceLinked="1"/>
        <c:majorTickMark val="out"/>
        <c:minorTickMark val="none"/>
        <c:tickLblPos val="nextTo"/>
        <c:crossAx val="11252172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xdr:colOff>
      <xdr:row>0</xdr:row>
      <xdr:rowOff>1</xdr:rowOff>
    </xdr:from>
    <xdr:to>
      <xdr:col>0</xdr:col>
      <xdr:colOff>600076</xdr:colOff>
      <xdr:row>0</xdr:row>
      <xdr:rowOff>398272</xdr:rowOff>
    </xdr:to>
    <xdr:pic>
      <xdr:nvPicPr>
        <xdr:cNvPr id="9" name="Picture 225"/>
        <xdr:cNvPicPr>
          <a:picLocks noChangeAspect="1" noChangeArrowheads="1"/>
        </xdr:cNvPicPr>
      </xdr:nvPicPr>
      <xdr:blipFill>
        <a:blip xmlns:r="http://schemas.openxmlformats.org/officeDocument/2006/relationships" r:embed="rId1" cstate="print"/>
        <a:srcRect/>
        <a:stretch>
          <a:fillRect/>
        </a:stretch>
      </xdr:blipFill>
      <xdr:spPr bwMode="auto">
        <a:xfrm>
          <a:off x="2" y="1"/>
          <a:ext cx="600074" cy="398271"/>
        </a:xfrm>
        <a:prstGeom prst="rect">
          <a:avLst/>
        </a:prstGeom>
        <a:noFill/>
        <a:ln w="1">
          <a:noFill/>
          <a:miter lim="800000"/>
          <a:headEnd/>
          <a:tailEnd type="none" w="med" len="med"/>
        </a:ln>
        <a:effectLst/>
      </xdr:spPr>
    </xdr:pic>
    <xdr:clientData/>
  </xdr:twoCellAnchor>
  <xdr:twoCellAnchor>
    <xdr:from>
      <xdr:col>3</xdr:col>
      <xdr:colOff>95250</xdr:colOff>
      <xdr:row>0</xdr:row>
      <xdr:rowOff>130657</xdr:rowOff>
    </xdr:from>
    <xdr:to>
      <xdr:col>19</xdr:col>
      <xdr:colOff>361948</xdr:colOff>
      <xdr:row>15</xdr:row>
      <xdr:rowOff>19050</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457029</xdr:colOff>
      <xdr:row>12</xdr:row>
      <xdr:rowOff>204669</xdr:rowOff>
    </xdr:from>
    <xdr:to>
      <xdr:col>18</xdr:col>
      <xdr:colOff>533400</xdr:colOff>
      <xdr:row>14</xdr:row>
      <xdr:rowOff>38100</xdr:rowOff>
    </xdr:to>
    <xdr:sp macro="" textlink="">
      <xdr:nvSpPr>
        <xdr:cNvPr id="12" name="TextBox 11"/>
        <xdr:cNvSpPr txBox="1"/>
      </xdr:nvSpPr>
      <xdr:spPr>
        <a:xfrm>
          <a:off x="13049079" y="3128844"/>
          <a:ext cx="685971" cy="566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a:t>Часы</a:t>
          </a:r>
          <a:endParaRPr lang="en-US" sz="1100"/>
        </a:p>
        <a:p>
          <a:r>
            <a:rPr lang="en-US" sz="1100"/>
            <a:t>hours</a:t>
          </a:r>
          <a:endParaRPr lang="ru-RU" sz="1100"/>
        </a:p>
      </xdr:txBody>
    </xdr:sp>
    <xdr:clientData/>
  </xdr:twoCellAnchor>
  <xdr:twoCellAnchor>
    <xdr:from>
      <xdr:col>5</xdr:col>
      <xdr:colOff>0</xdr:colOff>
      <xdr:row>15</xdr:row>
      <xdr:rowOff>200026</xdr:rowOff>
    </xdr:from>
    <xdr:to>
      <xdr:col>19</xdr:col>
      <xdr:colOff>200025</xdr:colOff>
      <xdr:row>21</xdr:row>
      <xdr:rowOff>180976</xdr:rowOff>
    </xdr:to>
    <xdr:graphicFrame macro="">
      <xdr:nvGraphicFramePr>
        <xdr:cNvPr id="19" name="Диаграмма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76200</xdr:colOff>
      <xdr:row>22</xdr:row>
      <xdr:rowOff>133350</xdr:rowOff>
    </xdr:from>
    <xdr:to>
      <xdr:col>19</xdr:col>
      <xdr:colOff>161925</xdr:colOff>
      <xdr:row>40</xdr:row>
      <xdr:rowOff>9525</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xdr:colOff>
      <xdr:row>40</xdr:row>
      <xdr:rowOff>66675</xdr:rowOff>
    </xdr:from>
    <xdr:to>
      <xdr:col>19</xdr:col>
      <xdr:colOff>402166</xdr:colOff>
      <xdr:row>58</xdr:row>
      <xdr:rowOff>85725</xdr:rowOff>
    </xdr:to>
    <xdr:graphicFrame macro="">
      <xdr:nvGraphicFramePr>
        <xdr:cNvPr id="18" name="Диаграмма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190499</xdr:colOff>
      <xdr:row>58</xdr:row>
      <xdr:rowOff>19050</xdr:rowOff>
    </xdr:from>
    <xdr:to>
      <xdr:col>19</xdr:col>
      <xdr:colOff>247650</xdr:colOff>
      <xdr:row>69</xdr:row>
      <xdr:rowOff>171450</xdr:rowOff>
    </xdr:to>
    <xdr:graphicFrame macro="">
      <xdr:nvGraphicFramePr>
        <xdr:cNvPr id="25" name="Диаграмма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180975</xdr:colOff>
      <xdr:row>70</xdr:row>
      <xdr:rowOff>38099</xdr:rowOff>
    </xdr:from>
    <xdr:to>
      <xdr:col>19</xdr:col>
      <xdr:colOff>285750</xdr:colOff>
      <xdr:row>82</xdr:row>
      <xdr:rowOff>9524</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485604</xdr:colOff>
      <xdr:row>19</xdr:row>
      <xdr:rowOff>357069</xdr:rowOff>
    </xdr:from>
    <xdr:to>
      <xdr:col>18</xdr:col>
      <xdr:colOff>561975</xdr:colOff>
      <xdr:row>20</xdr:row>
      <xdr:rowOff>152400</xdr:rowOff>
    </xdr:to>
    <xdr:sp macro="" textlink="">
      <xdr:nvSpPr>
        <xdr:cNvPr id="16" name="TextBox 15"/>
        <xdr:cNvSpPr txBox="1"/>
      </xdr:nvSpPr>
      <xdr:spPr>
        <a:xfrm>
          <a:off x="13077654" y="6338769"/>
          <a:ext cx="685971" cy="566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a:t>Часы</a:t>
          </a:r>
          <a:endParaRPr lang="en-US" sz="1100"/>
        </a:p>
        <a:p>
          <a:r>
            <a:rPr lang="en-US" sz="1100"/>
            <a:t>hours</a:t>
          </a:r>
          <a:endParaRPr lang="ru-RU" sz="1100"/>
        </a:p>
      </xdr:txBody>
    </xdr:sp>
    <xdr:clientData/>
  </xdr:twoCellAnchor>
  <xdr:twoCellAnchor>
    <xdr:from>
      <xdr:col>17</xdr:col>
      <xdr:colOff>533229</xdr:colOff>
      <xdr:row>38</xdr:row>
      <xdr:rowOff>33219</xdr:rowOff>
    </xdr:from>
    <xdr:to>
      <xdr:col>19</xdr:col>
      <xdr:colOff>0</xdr:colOff>
      <xdr:row>38</xdr:row>
      <xdr:rowOff>600075</xdr:rowOff>
    </xdr:to>
    <xdr:sp macro="" textlink="">
      <xdr:nvSpPr>
        <xdr:cNvPr id="21" name="TextBox 20"/>
        <xdr:cNvSpPr txBox="1"/>
      </xdr:nvSpPr>
      <xdr:spPr>
        <a:xfrm>
          <a:off x="13125279" y="9967794"/>
          <a:ext cx="685971" cy="566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a:t>Часы</a:t>
          </a:r>
          <a:endParaRPr lang="en-US" sz="1100"/>
        </a:p>
        <a:p>
          <a:r>
            <a:rPr lang="en-US" sz="1100"/>
            <a:t>hours</a:t>
          </a:r>
          <a:endParaRPr lang="ru-RU" sz="1100"/>
        </a:p>
      </xdr:txBody>
    </xdr:sp>
    <xdr:clientData/>
  </xdr:twoCellAnchor>
  <xdr:twoCellAnchor>
    <xdr:from>
      <xdr:col>18</xdr:col>
      <xdr:colOff>9354</xdr:colOff>
      <xdr:row>53</xdr:row>
      <xdr:rowOff>99894</xdr:rowOff>
    </xdr:from>
    <xdr:to>
      <xdr:col>19</xdr:col>
      <xdr:colOff>85725</xdr:colOff>
      <xdr:row>56</xdr:row>
      <xdr:rowOff>38100</xdr:rowOff>
    </xdr:to>
    <xdr:sp macro="" textlink="">
      <xdr:nvSpPr>
        <xdr:cNvPr id="22" name="TextBox 21"/>
        <xdr:cNvSpPr txBox="1"/>
      </xdr:nvSpPr>
      <xdr:spPr>
        <a:xfrm>
          <a:off x="13211004" y="13768269"/>
          <a:ext cx="685971" cy="566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a:t>Часы</a:t>
          </a:r>
          <a:endParaRPr lang="en-US" sz="1100"/>
        </a:p>
        <a:p>
          <a:r>
            <a:rPr lang="en-US" sz="1100"/>
            <a:t>hours</a:t>
          </a:r>
          <a:endParaRPr lang="ru-RU" sz="1100"/>
        </a:p>
      </xdr:txBody>
    </xdr:sp>
    <xdr:clientData/>
  </xdr:twoCellAnchor>
  <xdr:twoCellAnchor>
    <xdr:from>
      <xdr:col>18</xdr:col>
      <xdr:colOff>56979</xdr:colOff>
      <xdr:row>65</xdr:row>
      <xdr:rowOff>23694</xdr:rowOff>
    </xdr:from>
    <xdr:to>
      <xdr:col>19</xdr:col>
      <xdr:colOff>133350</xdr:colOff>
      <xdr:row>68</xdr:row>
      <xdr:rowOff>19050</xdr:rowOff>
    </xdr:to>
    <xdr:sp macro="" textlink="">
      <xdr:nvSpPr>
        <xdr:cNvPr id="23" name="TextBox 22"/>
        <xdr:cNvSpPr txBox="1"/>
      </xdr:nvSpPr>
      <xdr:spPr>
        <a:xfrm>
          <a:off x="13258629" y="17330619"/>
          <a:ext cx="685971" cy="5668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100"/>
            <a:t>Часы</a:t>
          </a:r>
          <a:endParaRPr lang="en-US" sz="1100"/>
        </a:p>
        <a:p>
          <a:r>
            <a:rPr lang="en-US" sz="1100"/>
            <a:t>hours</a:t>
          </a:r>
          <a:endParaRPr lang="ru-RU" sz="1100"/>
        </a:p>
      </xdr:txBody>
    </xdr:sp>
    <xdr:clientData/>
  </xdr:twoCellAnchor>
</xdr:wsDr>
</file>

<file path=xl/tables/table1.xml><?xml version="1.0" encoding="utf-8"?>
<table xmlns="http://schemas.openxmlformats.org/spreadsheetml/2006/main" id="2" name="Таблица2" displayName="Таблица2" ref="B1:AG1302" totalsRowShown="0" headerRowDxfId="33" dataDxfId="32">
  <autoFilter ref="B1:AG1302"/>
  <tableColumns count="32">
    <tableColumn id="1" name="Время полета час" dataDxfId="31">
      <calculatedColumnFormula>IF(AB1&gt;0, B1+0.05, 1)</calculatedColumnFormula>
    </tableColumn>
    <tableColumn id="2" name="Местное время" dataDxfId="30">
      <calculatedColumnFormula>B2+Model!$B$4</calculatedColumnFormula>
    </tableColumn>
    <tableColumn id="3" name="Сутки полета" dataDxfId="29">
      <calculatedColumnFormula>INT(C2/24+1)</calculatedColumnFormula>
    </tableColumn>
    <tableColumn id="4" name="Местное время в  ситеме 0…24" dataDxfId="28">
      <calculatedColumnFormula>C2-24*(D2-1)</calculatedColumnFormula>
    </tableColumn>
    <tableColumn id="5" name="Высота  /  Height [m]" dataDxfId="27">
      <calculatedColumnFormula>IF(AB2&gt;0, VLOOKUP(B2,Model!$A$40:$B$60, 2), 0)</calculatedColumnFormula>
    </tableColumn>
    <tableColumn id="6" name="Наличие солнца" dataDxfId="26">
      <calculatedColumnFormula>IF(AB2&gt;0, VLOOKUP(B2,Model!$A$39:$C$58, 3), 0)</calculatedColumnFormula>
    </tableColumn>
    <tableColumn id="32" name="Ясное небо / Clear sky" dataDxfId="25">
      <calculatedColumnFormula>IF(B2=1, 0, G2*97)</calculatedColumnFormula>
    </tableColumn>
    <tableColumn id="7" name="Давление p [Па]" dataDxfId="24">
      <calculatedColumnFormula>Model!$B$21*EXP((-0.029*9.81*F2)/(8.31*(273+J2)))</calculatedColumnFormula>
    </tableColumn>
    <tableColumn id="8" name="Температура окруж воздуха tн [C]" dataDxfId="23">
      <calculatedColumnFormula>IF(Model!$B$31="Summer",  IF(F2&lt;=2000,  Model!$B$20-Model!$B$35*F2/1000,  IF(F2&lt;Model!$B$36,  Model!$B$33-6.5*F2/1000,  Model!$B$38)),     IF(F2&lt;=2000,  Model!$B$20-Model!$B$35*F2/1000,  IF(F2&lt;Model!$B$36,  Model!$B$33-5.4*F2/1000,   Model!$B$38)))</calculatedColumnFormula>
    </tableColumn>
    <tableColumn id="9" name="Температура окруж воздуха Tн [K]" dataDxfId="22">
      <calculatedColumnFormula>273+J2</calculatedColumnFormula>
    </tableColumn>
    <tableColumn id="10" name="Масса аэростата Mа [кг]" dataDxfId="21">
      <calculatedColumnFormula>IF(AB1-AA1*(B2-B1)&gt;0, L1-Y1*(B2-B1)*3600-AD2*Model!$B$16, 0)</calculatedColumnFormula>
    </tableColumn>
    <tableColumn id="11" name="Температура в оболочке / Temperature in the envelope tв [C]" dataDxfId="20">
      <calculatedColumnFormula>IF(AB2=0, 0, N2-273)</calculatedColumnFormula>
    </tableColumn>
    <tableColumn id="12" name="Температура в оболочке Tв [К]" dataDxfId="19">
      <calculatedColumnFormula>Model!$B$13*I2*K2/(Model!$B$13*I2-L2*287*K2)</calculatedColumnFormula>
    </tableColumn>
    <tableColumn id="13" name="Средняя температура Тср [К]" dataDxfId="18">
      <calculatedColumnFormula>(K2+N2)/2</calculatedColumnFormula>
    </tableColumn>
    <tableColumn id="33" name="Средняя темперетура, температура на ткани (гр С)" dataDxfId="0">
      <calculatedColumnFormula>(J2+M2)/2+W1/150</calculatedColumnFormula>
    </tableColumn>
    <tableColumn id="14" name="Теплоповодн воздуха λ" dataDxfId="17">
      <calculatedColumnFormula>(O2-273)*7.1*0.00001+0.024</calculatedColumnFormula>
    </tableColumn>
    <tableColumn id="15" name="Кинематич вязкость ν" dataDxfId="16">
      <calculatedColumnFormula>((O2-273)*0.104+13.6)*0.000001</calculatedColumnFormula>
    </tableColumn>
    <tableColumn id="16" name="Потери тепла из оболочки Qконв [Вт]" dataDxfId="15">
      <calculatedColumnFormula>0.37*Model!$B$10*(Q2^2*(N2-K2)*I2/(R2*O2^2))^0.33333*(N2-K2)</calculatedColumnFormula>
    </tableColumn>
    <tableColumn id="28" name="Высота Солнца над горизонтом (град)" dataDxfId="14">
      <calculatedColumnFormula>Model!$B$32+(90-Model!$B$6)*SIN(RADIANS(-15*(E2+6)))</calculatedColumnFormula>
    </tableColumn>
    <tableColumn id="29" name="Высота Солнца над горизонтом (градус) / Height of the Sun above the horizon [degrees]" dataDxfId="13">
      <calculatedColumnFormula>IF(OR(T2&lt;0, AB2=0),  0, T2)</calculatedColumnFormula>
    </tableColumn>
    <tableColumn id="30" name="Воздушная масса Air mass AM" dataDxfId="12">
      <calculatedColumnFormula>IF(T2&lt;0,99999,1/SIN(RADIANS(T2)))</calculatedColumnFormula>
    </tableColumn>
    <tableColumn id="17" name="Интенсивность солнечной радиации [Вт/м2]" dataDxfId="11">
      <calculatedColumnFormula>IF(G2=0,0, 1353*((1+F2/7100)*0.7^V2^0.678)+F2/7100)</calculatedColumnFormula>
    </tableColumn>
    <tableColumn id="27" name="Подвод тепла в оболочку от лонечной радиации [вт]" dataDxfId="10">
      <calculatedColumnFormula>0.3*W2*Model!$B$9</calculatedColumnFormula>
    </tableColumn>
    <tableColumn id="19" name="Расход топлива Gт [кг/с]" dataDxfId="9">
      <calculatedColumnFormula>(S2-X2)/Model!$B$11</calculatedColumnFormula>
    </tableColumn>
    <tableColumn id="18" name="Доля солнечной радиации в создании подъемной силы [%] / The proportion of the solar radiation in the creation of lift force [%]" dataDxfId="8">
      <calculatedColumnFormula>100*X2/S2</calculatedColumnFormula>
    </tableColumn>
    <tableColumn id="20" name="Расход газа Gобъемн [л/час] / Gas consumption [l/s]" dataDxfId="7">
      <calculatedColumnFormula>Y2/Model!$B$12*3600</calculatedColumnFormula>
    </tableColumn>
    <tableColumn id="21" name="Остаток токлива [л]" dataDxfId="6">
      <calculatedColumnFormula>IF(AB1-AA1*(B2-B1)&gt;0, AB1-AA1*(B2-B1), 0)</calculatedColumnFormula>
    </tableColumn>
    <tableColumn id="22" name="Сумм. расход [л]" dataDxfId="5">
      <calculatedColumnFormula>AC1+AB1-AB2</calculatedColumnFormula>
    </tableColumn>
    <tableColumn id="23" name="Кол-во сброшенных баллонов" dataDxfId="4">
      <calculatedColumnFormula>IF(AE2=0, Model!$B$19, 0 )</calculatedColumnFormula>
    </tableColumn>
    <tableColumn id="24" name="Сумм. расход между сбросами  [л]" dataDxfId="3">
      <calculatedColumnFormula>IF(AE1+AB1-AB2&lt;Model!$B$19*Model!$B$18, AE1+AB1-AB2,  0)</calculatedColumnFormula>
    </tableColumn>
    <tableColumn id="25" name="Столбец1" dataDxfId="2">
      <calculatedColumnFormula>B2</calculatedColumnFormula>
    </tableColumn>
    <tableColumn id="34" name="Вероятность образования льда внутри оболочки / The likelihood of ice formation inside the envelope" dataDxfId="1">
      <calculatedColumnFormula>IF(OR(P2&gt;0, AB2&lt;=0),0, IF(P2&lt;-2,0.99,ABS(P2/2)))</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usbal.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showGridLines="0" tabSelected="1" zoomScaleNormal="100" workbookViewId="0">
      <selection activeCell="A17" sqref="A17"/>
    </sheetView>
  </sheetViews>
  <sheetFormatPr defaultRowHeight="15" x14ac:dyDescent="0.25"/>
  <cols>
    <col min="1" max="1" width="38.7109375" customWidth="1"/>
    <col min="2" max="2" width="13.7109375" customWidth="1"/>
    <col min="3" max="3" width="19.7109375" customWidth="1"/>
    <col min="4" max="4" width="4.140625" customWidth="1"/>
    <col min="5" max="5" width="2.85546875" customWidth="1"/>
  </cols>
  <sheetData>
    <row r="1" spans="1:3" ht="88.5" customHeight="1" x14ac:dyDescent="0.35">
      <c r="A1" s="68" t="s">
        <v>40</v>
      </c>
      <c r="B1" s="68"/>
      <c r="C1" s="7" t="s">
        <v>39</v>
      </c>
    </row>
    <row r="2" spans="1:3" ht="15.75" thickBot="1" x14ac:dyDescent="0.3">
      <c r="A2" s="70" t="s">
        <v>73</v>
      </c>
    </row>
    <row r="3" spans="1:3" s="2" customFormat="1" ht="16.5" thickTop="1" thickBot="1" x14ac:dyDescent="0.3">
      <c r="A3" s="9" t="s">
        <v>41</v>
      </c>
      <c r="B3" s="10"/>
    </row>
    <row r="4" spans="1:3" s="2" customFormat="1" ht="30.75" thickBot="1" x14ac:dyDescent="0.3">
      <c r="A4" s="3" t="s">
        <v>42</v>
      </c>
      <c r="B4" s="6">
        <v>2</v>
      </c>
    </row>
    <row r="5" spans="1:3" s="2" customFormat="1" ht="30.75" thickBot="1" x14ac:dyDescent="0.3">
      <c r="A5" s="3" t="s">
        <v>43</v>
      </c>
      <c r="B5" s="32">
        <v>44255</v>
      </c>
    </row>
    <row r="6" spans="1:3" s="2" customFormat="1" ht="30.75" thickBot="1" x14ac:dyDescent="0.3">
      <c r="A6" s="3" t="s">
        <v>44</v>
      </c>
      <c r="B6" s="6">
        <v>55</v>
      </c>
    </row>
    <row r="7" spans="1:3" ht="17.45" customHeight="1" thickBot="1" x14ac:dyDescent="0.3">
      <c r="B7" s="67"/>
    </row>
    <row r="8" spans="1:3" ht="21.6" hidden="1" customHeight="1" thickBot="1" x14ac:dyDescent="0.3">
      <c r="A8" s="3" t="s">
        <v>0</v>
      </c>
      <c r="B8" s="31">
        <f>(3*$B$13/(4*PI()))^0.333333</f>
        <v>9.8062246281178034</v>
      </c>
    </row>
    <row r="9" spans="1:3" s="23" customFormat="1" ht="21.6" hidden="1" customHeight="1" thickBot="1" x14ac:dyDescent="0.3">
      <c r="A9" s="25" t="s">
        <v>35</v>
      </c>
      <c r="B9" s="31">
        <f>3.14*B8^2</f>
        <v>301.94881017530707</v>
      </c>
    </row>
    <row r="10" spans="1:3" ht="19.149999999999999" hidden="1" customHeight="1" thickBot="1" x14ac:dyDescent="0.3">
      <c r="A10" s="25" t="s">
        <v>1</v>
      </c>
      <c r="B10" s="31">
        <f>4*PI()*$B$8^2</f>
        <v>1208.4078519833422</v>
      </c>
    </row>
    <row r="11" spans="1:3" ht="19.149999999999999" hidden="1" customHeight="1" thickBot="1" x14ac:dyDescent="0.3">
      <c r="A11" s="3" t="s">
        <v>2</v>
      </c>
      <c r="B11" s="31">
        <f>B23*46300000+B24*47200000+B25*43000000</f>
        <v>46615000</v>
      </c>
    </row>
    <row r="12" spans="1:3" ht="18.600000000000001" hidden="1" customHeight="1" thickBot="1" x14ac:dyDescent="0.3">
      <c r="A12" s="3" t="s">
        <v>3</v>
      </c>
      <c r="B12" s="31">
        <f>(B23*(553-1.35*(B22+20))+B24*(615-1.05*(B22+20))+B25*(744-0.9*(B22+20)))/1000</f>
        <v>0.55602499999999999</v>
      </c>
    </row>
    <row r="13" spans="1:3" ht="27" customHeight="1" thickBot="1" x14ac:dyDescent="0.3">
      <c r="A13" s="3" t="s">
        <v>45</v>
      </c>
      <c r="B13" s="6">
        <v>3950</v>
      </c>
    </row>
    <row r="14" spans="1:3" ht="30.75" thickBot="1" x14ac:dyDescent="0.3">
      <c r="A14" s="3" t="s">
        <v>47</v>
      </c>
      <c r="B14" s="6">
        <v>211</v>
      </c>
    </row>
    <row r="15" spans="1:3" ht="30" customHeight="1" thickBot="1" x14ac:dyDescent="0.3">
      <c r="A15" s="3" t="s">
        <v>46</v>
      </c>
      <c r="B15" s="6">
        <v>200</v>
      </c>
    </row>
    <row r="16" spans="1:3" ht="30.75" thickBot="1" x14ac:dyDescent="0.3">
      <c r="A16" s="3" t="s">
        <v>48</v>
      </c>
      <c r="B16" s="6">
        <v>11</v>
      </c>
    </row>
    <row r="17" spans="1:2" ht="30.75" thickBot="1" x14ac:dyDescent="0.3">
      <c r="A17" s="3" t="s">
        <v>49</v>
      </c>
      <c r="B17" s="6">
        <v>40</v>
      </c>
    </row>
    <row r="18" spans="1:2" ht="30.75" thickBot="1" x14ac:dyDescent="0.3">
      <c r="A18" s="3" t="s">
        <v>50</v>
      </c>
      <c r="B18" s="6">
        <v>45</v>
      </c>
    </row>
    <row r="19" spans="1:2" s="23" customFormat="1" ht="60.75" thickBot="1" x14ac:dyDescent="0.3">
      <c r="A19" s="3" t="s">
        <v>51</v>
      </c>
      <c r="B19" s="6">
        <v>10</v>
      </c>
    </row>
    <row r="20" spans="1:2" ht="60.75" thickBot="1" x14ac:dyDescent="0.3">
      <c r="A20" s="3" t="s">
        <v>52</v>
      </c>
      <c r="B20" s="6">
        <v>-20</v>
      </c>
    </row>
    <row r="21" spans="1:2" ht="30.75" thickBot="1" x14ac:dyDescent="0.3">
      <c r="A21" s="3" t="s">
        <v>53</v>
      </c>
      <c r="B21" s="6">
        <v>104500</v>
      </c>
    </row>
    <row r="22" spans="1:2" ht="30.75" customHeight="1" thickBot="1" x14ac:dyDescent="0.3">
      <c r="A22" s="3" t="s">
        <v>54</v>
      </c>
      <c r="B22" s="6">
        <v>-5</v>
      </c>
    </row>
    <row r="23" spans="1:2" ht="15.75" thickBot="1" x14ac:dyDescent="0.3">
      <c r="A23" s="3" t="s">
        <v>56</v>
      </c>
      <c r="B23" s="6">
        <v>0.65</v>
      </c>
    </row>
    <row r="24" spans="1:2" ht="15.75" thickBot="1" x14ac:dyDescent="0.3">
      <c r="A24" s="3" t="s">
        <v>55</v>
      </c>
      <c r="B24" s="6">
        <v>0.35</v>
      </c>
    </row>
    <row r="25" spans="1:2" ht="15.75" thickBot="1" x14ac:dyDescent="0.3">
      <c r="A25" s="3" t="s">
        <v>57</v>
      </c>
      <c r="B25" s="11">
        <f>1-B23-B24</f>
        <v>0</v>
      </c>
    </row>
    <row r="26" spans="1:2" ht="30.75" thickBot="1" x14ac:dyDescent="0.3">
      <c r="A26" s="3" t="s">
        <v>58</v>
      </c>
      <c r="B26" s="12">
        <f>B14+B15+B17*(B16+B18*B12)</f>
        <v>1851.8449999999998</v>
      </c>
    </row>
    <row r="27" spans="1:2" ht="33" customHeight="1" thickBot="1" x14ac:dyDescent="0.3">
      <c r="A27" s="3" t="s">
        <v>59</v>
      </c>
      <c r="B27" s="12">
        <f>Calculations!M2</f>
        <v>111.96205269794785</v>
      </c>
    </row>
    <row r="28" spans="1:2" ht="30.75" thickBot="1" x14ac:dyDescent="0.3">
      <c r="A28" s="3" t="s">
        <v>60</v>
      </c>
      <c r="B28" s="4">
        <f>$B$18*$B$17</f>
        <v>1800</v>
      </c>
    </row>
    <row r="29" spans="1:2" ht="30.75" thickBot="1" x14ac:dyDescent="0.3">
      <c r="A29" s="26" t="s">
        <v>61</v>
      </c>
      <c r="B29" s="8">
        <f>MAX(Calculations!B:B)</f>
        <v>39.449999999999896</v>
      </c>
    </row>
    <row r="30" spans="1:2" s="22" customFormat="1" ht="16.5" hidden="1" thickTop="1" thickBot="1" x14ac:dyDescent="0.3">
      <c r="A30" s="26" t="s">
        <v>11</v>
      </c>
      <c r="B30" s="29">
        <f>B5-DATE(YEAR(B5),1,1)+1</f>
        <v>59</v>
      </c>
    </row>
    <row r="31" spans="1:2" s="22" customFormat="1" ht="16.5" hidden="1" thickTop="1" thickBot="1" x14ac:dyDescent="0.3">
      <c r="A31" s="26" t="s">
        <v>12</v>
      </c>
      <c r="B31" s="29" t="str">
        <f>IF(AND(B30&gt;120,B30&lt;300), "Summer", "Winter")</f>
        <v>Winter</v>
      </c>
    </row>
    <row r="32" spans="1:2" s="22" customFormat="1" ht="16.5" hidden="1" thickTop="1" thickBot="1" x14ac:dyDescent="0.3">
      <c r="A32" s="26" t="s">
        <v>13</v>
      </c>
      <c r="B32" s="29">
        <f>23.5*SIN(RADIANS(ABS(365*(284+B30)/365)))</f>
        <v>-6.8707350609843232</v>
      </c>
    </row>
    <row r="33" spans="1:3" s="22" customFormat="1" ht="31.5" hidden="1" thickTop="1" thickBot="1" x14ac:dyDescent="0.3">
      <c r="A33" s="26" t="s">
        <v>14</v>
      </c>
      <c r="B33" s="29">
        <f>IF($B$31="Summer", -0.36*$B$6+36.6, -0.575*$B$6+28.5)</f>
        <v>-3.1249999999999964</v>
      </c>
    </row>
    <row r="34" spans="1:3" s="19" customFormat="1" ht="21" hidden="1" customHeight="1" thickTop="1" thickBot="1" x14ac:dyDescent="0.3">
      <c r="A34" s="26" t="s">
        <v>15</v>
      </c>
      <c r="B34" s="29">
        <f>IF($B$31="Summer", $B$33-(6.5*2), $B$33-(5.4*2))</f>
        <v>-13.924999999999997</v>
      </c>
    </row>
    <row r="35" spans="1:3" s="19" customFormat="1" ht="46.5" hidden="1" thickTop="1" thickBot="1" x14ac:dyDescent="0.3">
      <c r="A35" s="26" t="s">
        <v>16</v>
      </c>
      <c r="B35" s="29">
        <f>($B$20-$B$34)/2</f>
        <v>-3.0375000000000014</v>
      </c>
    </row>
    <row r="36" spans="1:3" ht="16.5" hidden="1" thickTop="1" thickBot="1" x14ac:dyDescent="0.3">
      <c r="A36" s="26" t="s">
        <v>17</v>
      </c>
      <c r="B36" s="34">
        <f>IF($B$31="Summer", 1.634*$B$6^2-284.2*$B$6+22170,1.967*$B$6^2-336.6*$B$6+22360)</f>
        <v>9797.1749999999993</v>
      </c>
    </row>
    <row r="37" spans="1:3" s="23" customFormat="1" ht="16.5" hidden="1" thickTop="1" thickBot="1" x14ac:dyDescent="0.3">
      <c r="A37" s="26" t="s">
        <v>18</v>
      </c>
      <c r="B37" s="29">
        <f>IF($B$31="Summer", $B$33-$B$36*6.5/1000, $B$33-$B$36*5.4/1000)</f>
        <v>-56.029745000000005</v>
      </c>
    </row>
    <row r="38" spans="1:3" ht="16.5" thickTop="1" thickBot="1" x14ac:dyDescent="0.3">
      <c r="A38" s="22"/>
      <c r="B38" s="22"/>
    </row>
    <row r="39" spans="1:3" ht="63" customHeight="1" thickTop="1" thickBot="1" x14ac:dyDescent="0.3">
      <c r="A39" s="27" t="s">
        <v>63</v>
      </c>
      <c r="B39" s="27" t="s">
        <v>62</v>
      </c>
      <c r="C39" s="27" t="s">
        <v>64</v>
      </c>
    </row>
    <row r="40" spans="1:3" ht="16.5" thickTop="1" thickBot="1" x14ac:dyDescent="0.3">
      <c r="A40" s="20">
        <v>0</v>
      </c>
      <c r="B40" s="28">
        <v>300</v>
      </c>
      <c r="C40" s="28">
        <v>0</v>
      </c>
    </row>
    <row r="41" spans="1:3" ht="16.5" thickTop="1" thickBot="1" x14ac:dyDescent="0.3">
      <c r="A41" s="20">
        <v>1</v>
      </c>
      <c r="B41" s="28">
        <v>300</v>
      </c>
      <c r="C41" s="28">
        <v>0</v>
      </c>
    </row>
    <row r="42" spans="1:3" ht="16.5" thickTop="1" thickBot="1" x14ac:dyDescent="0.3">
      <c r="A42" s="21">
        <v>2</v>
      </c>
      <c r="B42" s="28">
        <v>300</v>
      </c>
      <c r="C42" s="28">
        <v>1</v>
      </c>
    </row>
    <row r="43" spans="1:3" ht="16.5" thickTop="1" thickBot="1" x14ac:dyDescent="0.3">
      <c r="A43" s="18">
        <v>3</v>
      </c>
      <c r="B43" s="28">
        <v>300</v>
      </c>
      <c r="C43" s="28">
        <v>0</v>
      </c>
    </row>
    <row r="44" spans="1:3" ht="16.5" thickTop="1" thickBot="1" x14ac:dyDescent="0.3">
      <c r="A44" s="18">
        <v>4</v>
      </c>
      <c r="B44" s="28">
        <v>300</v>
      </c>
      <c r="C44" s="28">
        <v>0</v>
      </c>
    </row>
    <row r="45" spans="1:3" ht="16.5" thickTop="1" thickBot="1" x14ac:dyDescent="0.3">
      <c r="A45" s="5">
        <v>5</v>
      </c>
      <c r="B45" s="28">
        <v>300</v>
      </c>
      <c r="C45" s="28">
        <v>0</v>
      </c>
    </row>
    <row r="46" spans="1:3" ht="16.5" thickTop="1" thickBot="1" x14ac:dyDescent="0.3">
      <c r="A46" s="5">
        <v>6</v>
      </c>
      <c r="B46" s="28">
        <v>300</v>
      </c>
      <c r="C46" s="28">
        <v>0</v>
      </c>
    </row>
    <row r="47" spans="1:3" ht="16.5" thickTop="1" thickBot="1" x14ac:dyDescent="0.3">
      <c r="A47" s="5">
        <v>7</v>
      </c>
      <c r="B47" s="28">
        <v>300</v>
      </c>
      <c r="C47" s="28">
        <v>0</v>
      </c>
    </row>
    <row r="48" spans="1:3" ht="16.5" thickTop="1" thickBot="1" x14ac:dyDescent="0.3">
      <c r="A48" s="5">
        <v>8</v>
      </c>
      <c r="B48" s="28">
        <v>300</v>
      </c>
      <c r="C48" s="28">
        <v>1</v>
      </c>
    </row>
    <row r="49" spans="1:3" ht="16.5" thickTop="1" thickBot="1" x14ac:dyDescent="0.3">
      <c r="A49" s="5">
        <v>10</v>
      </c>
      <c r="B49" s="28">
        <v>300</v>
      </c>
      <c r="C49" s="28">
        <v>1</v>
      </c>
    </row>
    <row r="50" spans="1:3" ht="16.5" thickTop="1" thickBot="1" x14ac:dyDescent="0.3">
      <c r="A50" s="5">
        <v>15</v>
      </c>
      <c r="B50" s="28">
        <v>300</v>
      </c>
      <c r="C50" s="28">
        <v>1</v>
      </c>
    </row>
    <row r="51" spans="1:3" ht="16.5" thickTop="1" thickBot="1" x14ac:dyDescent="0.3">
      <c r="A51" s="20">
        <v>20</v>
      </c>
      <c r="B51" s="28">
        <v>300</v>
      </c>
      <c r="C51" s="28">
        <v>1</v>
      </c>
    </row>
    <row r="52" spans="1:3" ht="16.5" thickTop="1" thickBot="1" x14ac:dyDescent="0.3">
      <c r="A52" s="5">
        <v>25</v>
      </c>
      <c r="B52" s="28">
        <v>300</v>
      </c>
      <c r="C52" s="28">
        <v>1</v>
      </c>
    </row>
    <row r="53" spans="1:3" ht="16.5" thickTop="1" thickBot="1" x14ac:dyDescent="0.3">
      <c r="A53" s="5">
        <v>30</v>
      </c>
      <c r="B53" s="28">
        <v>300</v>
      </c>
      <c r="C53" s="28">
        <v>1</v>
      </c>
    </row>
    <row r="54" spans="1:3" ht="16.5" thickTop="1" thickBot="1" x14ac:dyDescent="0.3">
      <c r="A54" s="5">
        <v>35</v>
      </c>
      <c r="B54" s="28">
        <v>300</v>
      </c>
      <c r="C54" s="28">
        <v>1</v>
      </c>
    </row>
    <row r="55" spans="1:3" ht="16.5" thickTop="1" thickBot="1" x14ac:dyDescent="0.3">
      <c r="A55" s="5">
        <v>40</v>
      </c>
      <c r="B55" s="28">
        <v>300</v>
      </c>
      <c r="C55" s="28">
        <v>1</v>
      </c>
    </row>
    <row r="56" spans="1:3" ht="16.5" thickTop="1" thickBot="1" x14ac:dyDescent="0.3">
      <c r="A56" s="5">
        <v>45</v>
      </c>
      <c r="B56" s="28">
        <v>300</v>
      </c>
      <c r="C56" s="28">
        <v>0</v>
      </c>
    </row>
    <row r="57" spans="1:3" ht="16.5" thickTop="1" thickBot="1" x14ac:dyDescent="0.3">
      <c r="A57" s="5">
        <v>50</v>
      </c>
      <c r="B57" s="28">
        <v>300</v>
      </c>
      <c r="C57" s="28">
        <v>0</v>
      </c>
    </row>
    <row r="58" spans="1:3" ht="16.5" thickTop="1" thickBot="1" x14ac:dyDescent="0.3">
      <c r="A58" s="5">
        <v>55</v>
      </c>
      <c r="B58" s="28">
        <v>300</v>
      </c>
      <c r="C58" s="28">
        <v>0</v>
      </c>
    </row>
    <row r="59" spans="1:3" ht="16.5" thickTop="1" thickBot="1" x14ac:dyDescent="0.3">
      <c r="A59" s="5">
        <v>60</v>
      </c>
      <c r="B59" s="28">
        <v>300</v>
      </c>
      <c r="C59" s="28">
        <v>0</v>
      </c>
    </row>
    <row r="60" spans="1:3" ht="16.5" thickTop="1" thickBot="1" x14ac:dyDescent="0.3">
      <c r="A60" s="5">
        <v>65</v>
      </c>
      <c r="B60" s="28">
        <v>300</v>
      </c>
      <c r="C60" s="28">
        <v>0</v>
      </c>
    </row>
    <row r="61" spans="1:3" ht="15.75" thickTop="1" x14ac:dyDescent="0.25"/>
    <row r="62" spans="1:3" ht="64.5" customHeight="1" x14ac:dyDescent="0.25">
      <c r="A62" s="69" t="s">
        <v>36</v>
      </c>
      <c r="B62" s="69"/>
      <c r="C62" s="69"/>
    </row>
    <row r="63" spans="1:3" ht="60.75" customHeight="1" x14ac:dyDescent="0.25">
      <c r="A63" s="69" t="s">
        <v>65</v>
      </c>
      <c r="B63" s="69"/>
      <c r="C63" s="69"/>
    </row>
  </sheetData>
  <sheetProtection password="C683" sheet="1" objects="1" scenarios="1" formatCells="0"/>
  <mergeCells count="3">
    <mergeCell ref="A1:B1"/>
    <mergeCell ref="A62:C62"/>
    <mergeCell ref="A63:C63"/>
  </mergeCells>
  <dataValidations count="1">
    <dataValidation type="custom" allowBlank="1" showInputMessage="1" showErrorMessage="1" errorTitle="sdfs" sqref="B23">
      <formula1>(B23+B24)&gt;0</formula1>
    </dataValidation>
  </dataValidations>
  <hyperlinks>
    <hyperlink ref="A2" r:id="rId1"/>
  </hyperlinks>
  <pageMargins left="0.7" right="0.7" top="0.75" bottom="0.75" header="0.3" footer="0.3"/>
  <pageSetup paperSize="9" scale="62" orientation="landscape" verticalDpi="300"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302"/>
  <sheetViews>
    <sheetView workbookViewId="0">
      <pane ySplit="1" topLeftCell="A2" activePane="bottomLeft" state="frozen"/>
      <selection activeCell="C1" sqref="C1"/>
      <selection pane="bottomLeft" activeCell="Q4" sqref="Q4"/>
    </sheetView>
  </sheetViews>
  <sheetFormatPr defaultRowHeight="15" x14ac:dyDescent="0.25"/>
  <cols>
    <col min="2" max="2" width="10" customWidth="1"/>
    <col min="3" max="3" width="10.7109375" customWidth="1"/>
    <col min="4" max="4" width="9.140625" customWidth="1"/>
    <col min="5" max="5" width="12" customWidth="1"/>
    <col min="6" max="6" width="8" customWidth="1"/>
    <col min="7" max="7" width="9.7109375" customWidth="1"/>
    <col min="8" max="8" width="9.7109375" style="23" customWidth="1"/>
    <col min="9" max="9" width="12" style="43" customWidth="1"/>
    <col min="10" max="10" width="12.5703125" customWidth="1"/>
    <col min="11" max="11" width="15.5703125" customWidth="1"/>
    <col min="12" max="12" width="11.42578125" style="43" customWidth="1"/>
    <col min="13" max="13" width="13" style="54" customWidth="1"/>
    <col min="14" max="14" width="12.85546875" style="54" customWidth="1"/>
    <col min="15" max="16" width="16.7109375" style="54" customWidth="1"/>
    <col min="17" max="17" width="13.5703125" style="60" customWidth="1"/>
    <col min="18" max="18" width="12.28515625" customWidth="1"/>
    <col min="19" max="19" width="15.140625" style="43" customWidth="1"/>
    <col min="20" max="20" width="12.5703125" style="30" customWidth="1"/>
    <col min="21" max="21" width="15.140625" style="43" customWidth="1"/>
    <col min="22" max="22" width="9.42578125" style="30" customWidth="1"/>
    <col min="23" max="23" width="11.5703125" style="43" customWidth="1"/>
    <col min="24" max="24" width="14.42578125" customWidth="1"/>
    <col min="25" max="25" width="12.140625" style="43" customWidth="1"/>
    <col min="26" max="26" width="13.7109375" style="43" customWidth="1"/>
    <col min="27" max="27" width="13.7109375" style="54" customWidth="1"/>
    <col min="28" max="28" width="12.5703125" style="66" customWidth="1"/>
    <col min="29" max="29" width="14.5703125" style="30" customWidth="1"/>
    <col min="30" max="30" width="14.42578125" style="30" customWidth="1"/>
    <col min="31" max="31" width="13" customWidth="1"/>
    <col min="32" max="32" width="13.5703125" style="30" customWidth="1"/>
    <col min="33" max="33" width="14.140625" style="30" customWidth="1"/>
  </cols>
  <sheetData>
    <row r="1" spans="2:33" s="41" customFormat="1" ht="93" customHeight="1" x14ac:dyDescent="0.25">
      <c r="B1" s="41" t="s">
        <v>5</v>
      </c>
      <c r="C1" s="41" t="s">
        <v>8</v>
      </c>
      <c r="D1" s="41" t="s">
        <v>9</v>
      </c>
      <c r="E1" s="41" t="s">
        <v>10</v>
      </c>
      <c r="F1" s="41" t="s">
        <v>67</v>
      </c>
      <c r="G1" s="41" t="s">
        <v>7</v>
      </c>
      <c r="H1" s="41" t="s">
        <v>69</v>
      </c>
      <c r="I1" s="42" t="s">
        <v>19</v>
      </c>
      <c r="J1" s="41" t="s">
        <v>20</v>
      </c>
      <c r="K1" s="41" t="s">
        <v>21</v>
      </c>
      <c r="L1" s="42" t="s">
        <v>22</v>
      </c>
      <c r="M1" s="53" t="s">
        <v>66</v>
      </c>
      <c r="N1" s="53" t="s">
        <v>23</v>
      </c>
      <c r="O1" s="53" t="s">
        <v>24</v>
      </c>
      <c r="P1" s="53" t="s">
        <v>38</v>
      </c>
      <c r="Q1" s="59" t="s">
        <v>25</v>
      </c>
      <c r="R1" s="41" t="s">
        <v>26</v>
      </c>
      <c r="S1" s="42" t="s">
        <v>27</v>
      </c>
      <c r="T1" s="48" t="s">
        <v>32</v>
      </c>
      <c r="U1" s="42" t="s">
        <v>72</v>
      </c>
      <c r="V1" s="48" t="s">
        <v>33</v>
      </c>
      <c r="W1" s="42" t="s">
        <v>34</v>
      </c>
      <c r="X1" s="42" t="s">
        <v>37</v>
      </c>
      <c r="Y1" s="65" t="s">
        <v>28</v>
      </c>
      <c r="Z1" s="42" t="s">
        <v>71</v>
      </c>
      <c r="AA1" s="53" t="s">
        <v>68</v>
      </c>
      <c r="AB1" s="48" t="s">
        <v>29</v>
      </c>
      <c r="AC1" s="48" t="s">
        <v>30</v>
      </c>
      <c r="AD1" s="41" t="s">
        <v>4</v>
      </c>
      <c r="AE1" s="48" t="s">
        <v>31</v>
      </c>
      <c r="AF1" s="41" t="s">
        <v>6</v>
      </c>
      <c r="AG1" s="41" t="s">
        <v>70</v>
      </c>
    </row>
    <row r="2" spans="2:33" x14ac:dyDescent="0.25">
      <c r="B2">
        <v>0</v>
      </c>
      <c r="C2">
        <f>B2+Model!$B$4</f>
        <v>2</v>
      </c>
      <c r="D2">
        <f>INT(C2/24+1)</f>
        <v>1</v>
      </c>
      <c r="E2">
        <f>C2-24*(D2-1)</f>
        <v>2</v>
      </c>
      <c r="F2">
        <f>IF(AB2&gt;0, VLOOKUP(B2,Model!$A$39:$B$58, 2), 0)</f>
        <v>300</v>
      </c>
      <c r="G2">
        <f>IF(AB2&gt;0, VLOOKUP(B2,Model!$A$39:$C$58, 3), 0)</f>
        <v>0</v>
      </c>
      <c r="H2" s="23">
        <f t="shared" ref="H2:H65" si="0">IF(B2=1, 0, G2*97)</f>
        <v>0</v>
      </c>
      <c r="I2" s="43">
        <f>Model!$B$21*EXP((-0.029*9.81*F2)/(8.31*(273+J2)))</f>
        <v>100357.4491247143</v>
      </c>
      <c r="J2">
        <f>IF(Model!$B$31="Summer",  IF(F2&lt;=2000,  Model!$B$20-Model!$B$35*F2/1000,  IF(F2&lt;Model!$B$36,  Model!$B$33-6.5*F2/1000,  Model!$B$38)),     IF(F2&lt;=2000,  Model!$B$20-Model!$B$35*F2/1000,  IF(F2&lt;Model!$B$36,  Model!$B$33-5.4*F2/1000,   Model!$B$38)))</f>
        <v>-19.088750000000001</v>
      </c>
      <c r="K2">
        <f t="shared" ref="K2:K65" si="1">273+J2</f>
        <v>253.91125</v>
      </c>
      <c r="L2" s="43">
        <f>Model!B26</f>
        <v>1851.8449999999998</v>
      </c>
      <c r="M2" s="54">
        <f t="shared" ref="M2:M65" si="2">IF(AB2=0, 0, N2-273)</f>
        <v>111.96205269794785</v>
      </c>
      <c r="N2" s="54">
        <f>Model!$B$13*I2*K2/(Model!$B$13*I2-L2*287*K2)</f>
        <v>384.96205269794785</v>
      </c>
      <c r="O2" s="54">
        <f t="shared" ref="O2:O65" si="3">(K2+N2)/2</f>
        <v>319.4366513489739</v>
      </c>
      <c r="P2" s="54" t="e">
        <f t="shared" ref="P2:P65" si="4">(J2+M2)/2+W1/150</f>
        <v>#VALUE!</v>
      </c>
      <c r="Q2" s="60">
        <f t="shared" ref="Q2:Q65" si="5">(O2-273)*7.1*0.00001+0.024</f>
        <v>2.7297002245777146E-2</v>
      </c>
      <c r="R2" s="1">
        <f t="shared" ref="R2:R65" si="6">((O2-273)*0.104+13.6)*0.000001</f>
        <v>1.8429411740293281E-5</v>
      </c>
      <c r="S2" s="43">
        <f>0.37*Model!$B$10*(Q2^2*(N2-K2)*I2/(R2*O2^2))^0.33333*(N2-K2)</f>
        <v>1015832.1983439974</v>
      </c>
      <c r="T2" s="30">
        <f>Model!$B$32+(90-Model!$B$6)*SIN(RADIANS(-15*(E2+6)))</f>
        <v>-37.181624193439674</v>
      </c>
      <c r="U2" s="43">
        <f t="shared" ref="U2:U65" si="7">IF(OR(T2&lt;0, AB2=0),  0, T2)</f>
        <v>0</v>
      </c>
      <c r="V2" s="30">
        <f t="shared" ref="V2:V65" si="8">IF(T2&lt;0,99999,1/SIN(RADIANS(T2)))</f>
        <v>99999</v>
      </c>
      <c r="W2" s="43">
        <f t="shared" ref="W2:W65" si="9">IF(G2=0,0, 1353*((1+F2/7100)*0.7^V2^0.678)+F2/7100)</f>
        <v>0</v>
      </c>
      <c r="X2" s="43">
        <f>0.3*W2*Model!$B$9</f>
        <v>0</v>
      </c>
      <c r="Y2" s="24">
        <f>(S2-X2)/Model!$B$11</f>
        <v>2.1791959634109136E-2</v>
      </c>
      <c r="Z2" s="43">
        <f t="shared" ref="Z2:Z65" si="10">100*X2/S2</f>
        <v>0</v>
      </c>
      <c r="AA2" s="54">
        <f>Y2/Model!$B$12*3600</f>
        <v>141.09267511855202</v>
      </c>
      <c r="AB2" s="30">
        <f>Model!$B$28</f>
        <v>1800</v>
      </c>
      <c r="AC2" s="30">
        <v>0</v>
      </c>
      <c r="AD2">
        <v>0</v>
      </c>
      <c r="AE2" s="30">
        <v>0</v>
      </c>
      <c r="AF2">
        <f t="shared" ref="AF2:AF65" si="11">B2</f>
        <v>0</v>
      </c>
      <c r="AG2" s="50" t="e">
        <f t="shared" ref="AG2:AG65" si="12">IF(OR(P2&gt;0, AB2&lt;=0),0, IF(P2&lt;-2,0.99,ABS(P2/2)))</f>
        <v>#VALUE!</v>
      </c>
    </row>
    <row r="3" spans="2:33" x14ac:dyDescent="0.25">
      <c r="B3" s="38">
        <f t="shared" ref="B3:B66" si="13">IF(AB2&gt;0, B2+0.05, 1)</f>
        <v>0.05</v>
      </c>
      <c r="C3" s="38">
        <f>B3+Model!$B$4</f>
        <v>2.0499999999999998</v>
      </c>
      <c r="D3" s="38">
        <f t="shared" ref="D3:D66" si="14">INT(C3/24+1)</f>
        <v>1</v>
      </c>
      <c r="E3" s="38">
        <f t="shared" ref="E3:E23" si="15">C3-24*(D3-1)</f>
        <v>2.0499999999999998</v>
      </c>
      <c r="F3" s="39">
        <f>IF(AB3&gt;0, VLOOKUP(B3,Model!$A$40:$B$60, 2), 0)</f>
        <v>300</v>
      </c>
      <c r="G3" s="38">
        <f>IF(AB3&gt;0, VLOOKUP(B3,Model!$A$39:$C$58, 3), 0)</f>
        <v>0</v>
      </c>
      <c r="H3" s="38">
        <f t="shared" si="0"/>
        <v>0</v>
      </c>
      <c r="I3" s="44">
        <f>Model!$B$21*EXP((-0.029*9.81*F3)/(8.31*(273+J3)))</f>
        <v>100357.4491247143</v>
      </c>
      <c r="J3" s="38">
        <f>IF(Model!$B$31="Summer",  IF(F3&lt;=2000,  Model!$B$20-Model!$B$35*F3/1000,  IF(F3&lt;Model!$B$36,  Model!$B$33-6.5*F3/1000,  Model!$B$38)),     IF(F3&lt;=2000,  Model!$B$20-Model!$B$35*F3/1000,  IF(F3&lt;Model!$B$36,  Model!$B$33-5.4*F3/1000,   Model!$B$38)))</f>
        <v>-19.088750000000001</v>
      </c>
      <c r="K3" s="38">
        <f t="shared" si="1"/>
        <v>253.91125</v>
      </c>
      <c r="L3" s="44">
        <f>IF(AB2-AA2*(B3-B2)&gt;0, L2-Y2*(B3-B2)*3600-AD3*Model!$B$16, 0)</f>
        <v>1847.9224472658602</v>
      </c>
      <c r="M3" s="55">
        <f t="shared" si="2"/>
        <v>111.5416502026157</v>
      </c>
      <c r="N3" s="55">
        <f>Model!$B$13*I3*K3/(Model!$B$13*I3-L3*287*K3)</f>
        <v>384.5416502026157</v>
      </c>
      <c r="O3" s="55">
        <f t="shared" si="3"/>
        <v>319.22645010130782</v>
      </c>
      <c r="P3" s="55">
        <f t="shared" si="4"/>
        <v>46.226450101307847</v>
      </c>
      <c r="Q3" s="61">
        <f t="shared" si="5"/>
        <v>2.7282077957192855E-2</v>
      </c>
      <c r="R3" s="40">
        <f t="shared" si="6"/>
        <v>1.8407550810536012E-5</v>
      </c>
      <c r="S3" s="44">
        <f>0.37*Model!$B$10*(Q3^2*(N3-K3)*I3/(R3*O3^2))^0.33333*(N3-K3)</f>
        <v>1011964.9530187119</v>
      </c>
      <c r="T3" s="49">
        <f>Model!$B$32+(90-Model!$B$6)*SIN(RADIANS(-15*(E3+6)))</f>
        <v>-36.949959463535158</v>
      </c>
      <c r="U3" s="44">
        <f t="shared" si="7"/>
        <v>0</v>
      </c>
      <c r="V3" s="49">
        <f t="shared" si="8"/>
        <v>99999</v>
      </c>
      <c r="W3" s="44">
        <f t="shared" si="9"/>
        <v>0</v>
      </c>
      <c r="X3" s="44">
        <f>0.3*W3*Model!$B$9</f>
        <v>0</v>
      </c>
      <c r="Y3" s="40">
        <f>(S3-X3)/Model!$B$11</f>
        <v>2.1708998241310992E-2</v>
      </c>
      <c r="Z3" s="44">
        <f t="shared" si="10"/>
        <v>0</v>
      </c>
      <c r="AA3" s="55">
        <f>Y3/Model!$B$12*3600</f>
        <v>140.55553917309396</v>
      </c>
      <c r="AB3" s="49">
        <f t="shared" ref="AB3:AB66" si="16">IF(AB2-AA2*(B3-B2)&gt;0, AB2-AA2*(B3-B2), 0)</f>
        <v>1792.9453662440724</v>
      </c>
      <c r="AC3" s="49">
        <f>AC2+AB2-AB3</f>
        <v>7.0546337559276253</v>
      </c>
      <c r="AD3" s="38">
        <f>IF(AE3=0, Model!$B$19, 0 )</f>
        <v>0</v>
      </c>
      <c r="AE3" s="49">
        <f>IF(AE2+AB2-AB3&lt;Model!$B$19*Model!$B$18, AE2+AB2-AB3,  0)</f>
        <v>7.0546337559276253</v>
      </c>
      <c r="AF3" s="38">
        <f t="shared" si="11"/>
        <v>0.05</v>
      </c>
      <c r="AG3" s="50">
        <f t="shared" si="12"/>
        <v>0</v>
      </c>
    </row>
    <row r="4" spans="2:33" x14ac:dyDescent="0.25">
      <c r="B4" s="15">
        <f t="shared" si="13"/>
        <v>0.1</v>
      </c>
      <c r="C4" s="15">
        <f>B4+Model!$B$4</f>
        <v>2.1</v>
      </c>
      <c r="D4" s="15">
        <f t="shared" si="14"/>
        <v>1</v>
      </c>
      <c r="E4" s="15">
        <f t="shared" si="15"/>
        <v>2.1</v>
      </c>
      <c r="F4" s="16">
        <f>IF(AB4&gt;0, VLOOKUP(B4,Model!$A$40:$B$60, 2), 0)</f>
        <v>300</v>
      </c>
      <c r="G4" s="15">
        <f>IF(AB4&gt;0, VLOOKUP(B4,Model!$A$39:$C$58, 3), 0)</f>
        <v>0</v>
      </c>
      <c r="H4" s="15">
        <f t="shared" si="0"/>
        <v>0</v>
      </c>
      <c r="I4" s="45">
        <f>Model!$B$21*EXP((-0.029*9.81*F4)/(8.31*(273+J4)))</f>
        <v>100357.4491247143</v>
      </c>
      <c r="J4" s="15">
        <f>IF(Model!$B$31="Summer",  IF(F4&lt;=2000,  Model!$B$20-Model!$B$35*F4/1000,  IF(F4&lt;Model!$B$36,  Model!$B$33-6.5*F4/1000,  Model!$B$38)),     IF(F4&lt;=2000,  Model!$B$20-Model!$B$35*F4/1000,  IF(F4&lt;Model!$B$36,  Model!$B$33-5.4*F4/1000,   Model!$B$38)))</f>
        <v>-19.088750000000001</v>
      </c>
      <c r="K4" s="15">
        <f t="shared" si="1"/>
        <v>253.91125</v>
      </c>
      <c r="L4" s="45">
        <f>IF(AB3-AA3*(B4-B3)&gt;0, L3-Y3*(B4-B3)*3600-AD4*Model!$B$16, 0)</f>
        <v>1844.0148275824242</v>
      </c>
      <c r="M4" s="56">
        <f t="shared" si="2"/>
        <v>111.12376015047596</v>
      </c>
      <c r="N4" s="56">
        <f>Model!$B$13*I4*K4/(Model!$B$13*I4-L4*287*K4)</f>
        <v>384.12376015047596</v>
      </c>
      <c r="O4" s="56">
        <f t="shared" si="3"/>
        <v>319.01750507523798</v>
      </c>
      <c r="P4" s="56">
        <f t="shared" si="4"/>
        <v>46.017505075237978</v>
      </c>
      <c r="Q4" s="62">
        <f t="shared" si="5"/>
        <v>2.7267242860341896E-2</v>
      </c>
      <c r="R4" s="33">
        <f t="shared" si="6"/>
        <v>1.8385820527824746E-5</v>
      </c>
      <c r="S4" s="45">
        <f>0.37*Model!$B$10*(Q4^2*(N4-K4)*I4/(R4*O4^2))^0.33333*(N4-K4)</f>
        <v>1008122.172362208</v>
      </c>
      <c r="T4" s="50">
        <f>Model!$B$32+(90-Model!$B$6)*SIN(RADIANS(-15*(E4+6)))</f>
        <v>-36.713140813377549</v>
      </c>
      <c r="U4" s="45">
        <f t="shared" si="7"/>
        <v>0</v>
      </c>
      <c r="V4" s="50">
        <f t="shared" si="8"/>
        <v>99999</v>
      </c>
      <c r="W4" s="45">
        <f t="shared" si="9"/>
        <v>0</v>
      </c>
      <c r="X4" s="45">
        <f>0.3*W4*Model!$B$9</f>
        <v>0</v>
      </c>
      <c r="Y4" s="33">
        <f>(S4-X4)/Model!$B$11</f>
        <v>2.1626561672470408E-2</v>
      </c>
      <c r="Z4" s="45">
        <f t="shared" si="10"/>
        <v>0</v>
      </c>
      <c r="AA4" s="56">
        <f>Y4/Model!$B$12*3600</f>
        <v>140.02180121558106</v>
      </c>
      <c r="AB4" s="50">
        <f t="shared" si="16"/>
        <v>1785.9175892854178</v>
      </c>
      <c r="AC4" s="50">
        <f t="shared" ref="AC4:AC66" si="17">AC3+AB3-AB4</f>
        <v>14.082410714582238</v>
      </c>
      <c r="AD4" s="15">
        <f>IF(AE4=0, Model!$B$19, 0 )</f>
        <v>0</v>
      </c>
      <c r="AE4" s="50">
        <f>IF(AE3+AB3-AB4&lt;Model!$B$19*Model!$B$18, AE3+AB3-AB4,  0)</f>
        <v>14.082410714582238</v>
      </c>
      <c r="AF4" s="15">
        <f t="shared" si="11"/>
        <v>0.1</v>
      </c>
      <c r="AG4" s="50">
        <f t="shared" si="12"/>
        <v>0</v>
      </c>
    </row>
    <row r="5" spans="2:33" x14ac:dyDescent="0.25">
      <c r="B5" s="13">
        <f t="shared" si="13"/>
        <v>0.15000000000000002</v>
      </c>
      <c r="C5" s="13">
        <f>B5+Model!$B$4</f>
        <v>2.15</v>
      </c>
      <c r="D5" s="13">
        <f t="shared" si="14"/>
        <v>1</v>
      </c>
      <c r="E5" s="13">
        <f t="shared" si="15"/>
        <v>2.15</v>
      </c>
      <c r="F5" s="14">
        <f>IF(AB5&gt;0, VLOOKUP(B5,Model!$A$40:$B$60, 2), 0)</f>
        <v>300</v>
      </c>
      <c r="G5" s="13">
        <f>IF(AB5&gt;0, VLOOKUP(B5,Model!$A$39:$C$58, 3), 0)</f>
        <v>0</v>
      </c>
      <c r="H5" s="13">
        <f t="shared" si="0"/>
        <v>0</v>
      </c>
      <c r="I5" s="46">
        <f>Model!$B$21*EXP((-0.029*9.81*F5)/(8.31*(273+J5)))</f>
        <v>100357.4491247143</v>
      </c>
      <c r="J5" s="13">
        <f>IF(Model!$B$31="Summer",  IF(F5&lt;=2000,  Model!$B$20-Model!$B$35*F5/1000,  IF(F5&lt;Model!$B$36,  Model!$B$33-6.5*F5/1000,  Model!$B$38)),     IF(F5&lt;=2000,  Model!$B$20-Model!$B$35*F5/1000,  IF(F5&lt;Model!$B$36,  Model!$B$33-5.4*F5/1000,   Model!$B$38)))</f>
        <v>-19.088750000000001</v>
      </c>
      <c r="K5" s="13">
        <f t="shared" si="1"/>
        <v>253.91125</v>
      </c>
      <c r="L5" s="46">
        <f>IF(AB4-AA4*(B5-B4)&gt;0, L4-Y4*(B5-B4)*3600-AD5*Model!$B$16, 0)</f>
        <v>1840.1220464813796</v>
      </c>
      <c r="M5" s="57">
        <f t="shared" si="2"/>
        <v>110.70835908875301</v>
      </c>
      <c r="N5" s="57">
        <f>Model!$B$13*I5*K5/(Model!$B$13*I5-L5*287*K5)</f>
        <v>383.70835908875301</v>
      </c>
      <c r="O5" s="57">
        <f t="shared" si="3"/>
        <v>318.8098045443765</v>
      </c>
      <c r="P5" s="57">
        <f t="shared" si="4"/>
        <v>45.809804544376505</v>
      </c>
      <c r="Q5" s="63">
        <f t="shared" si="5"/>
        <v>2.7252496122650731E-2</v>
      </c>
      <c r="R5" s="17">
        <f t="shared" si="6"/>
        <v>1.8364219672615156E-5</v>
      </c>
      <c r="S5" s="46">
        <f>0.37*Model!$B$10*(Q5^2*(N5-K5)*I5/(R5*O5^2))^0.33333*(N5-K5)</f>
        <v>1004303.6248899354</v>
      </c>
      <c r="T5" s="51">
        <f>Model!$B$32+(90-Model!$B$6)*SIN(RADIANS(-15*(E5+6)))</f>
        <v>-36.471208820623389</v>
      </c>
      <c r="U5" s="46">
        <f t="shared" si="7"/>
        <v>0</v>
      </c>
      <c r="V5" s="51">
        <f t="shared" si="8"/>
        <v>99999</v>
      </c>
      <c r="W5" s="46">
        <f t="shared" si="9"/>
        <v>0</v>
      </c>
      <c r="X5" s="46">
        <f>0.3*W5*Model!$B$9</f>
        <v>0</v>
      </c>
      <c r="Y5" s="17">
        <f>(S5-X5)/Model!$B$11</f>
        <v>2.154464496170622E-2</v>
      </c>
      <c r="Z5" s="46">
        <f t="shared" si="10"/>
        <v>0</v>
      </c>
      <c r="AA5" s="57">
        <f>Y5/Model!$B$12*3600</f>
        <v>139.49142909427167</v>
      </c>
      <c r="AB5" s="51">
        <f t="shared" si="16"/>
        <v>1778.9164992246388</v>
      </c>
      <c r="AC5" s="51">
        <f>AC4+AB4-AB5</f>
        <v>21.083500775361244</v>
      </c>
      <c r="AD5" s="13">
        <f>IF(AE5=0, Model!$B$19, 0 )</f>
        <v>0</v>
      </c>
      <c r="AE5" s="51">
        <f>IF(AE4+AB4-AB5&lt;Model!$B$19*Model!$B$18, AE4+AB4-AB5,  0)</f>
        <v>21.083500775361244</v>
      </c>
      <c r="AF5" s="13">
        <f t="shared" si="11"/>
        <v>0.15000000000000002</v>
      </c>
      <c r="AG5" s="50">
        <f t="shared" si="12"/>
        <v>0</v>
      </c>
    </row>
    <row r="6" spans="2:33" x14ac:dyDescent="0.25">
      <c r="B6" s="15">
        <f t="shared" si="13"/>
        <v>0.2</v>
      </c>
      <c r="C6" s="15">
        <f>B6+Model!$B$4</f>
        <v>2.2000000000000002</v>
      </c>
      <c r="D6" s="15">
        <f t="shared" si="14"/>
        <v>1</v>
      </c>
      <c r="E6" s="15">
        <f t="shared" si="15"/>
        <v>2.2000000000000002</v>
      </c>
      <c r="F6" s="16">
        <f>IF(AB6&gt;0, VLOOKUP(B6,Model!$A$40:$B$60, 2), 0)</f>
        <v>300</v>
      </c>
      <c r="G6" s="15">
        <f>IF(AB6&gt;0, VLOOKUP(B6,Model!$A$39:$C$58, 3), 0)</f>
        <v>0</v>
      </c>
      <c r="H6" s="15">
        <f t="shared" si="0"/>
        <v>0</v>
      </c>
      <c r="I6" s="45">
        <f>Model!$B$21*EXP((-0.029*9.81*F6)/(8.31*(273+J6)))</f>
        <v>100357.4491247143</v>
      </c>
      <c r="J6" s="15">
        <f>IF(Model!$B$31="Summer",  IF(F6&lt;=2000,  Model!$B$20-Model!$B$35*F6/1000,  IF(F6&lt;Model!$B$36,  Model!$B$33-6.5*F6/1000,  Model!$B$38)),     IF(F6&lt;=2000,  Model!$B$20-Model!$B$35*F6/1000,  IF(F6&lt;Model!$B$36,  Model!$B$33-5.4*F6/1000,   Model!$B$38)))</f>
        <v>-19.088750000000001</v>
      </c>
      <c r="K6" s="15">
        <f t="shared" si="1"/>
        <v>253.91125</v>
      </c>
      <c r="L6" s="45">
        <f>IF(AB5-AA5*(B6-B5)&gt;0, L5-Y5*(B6-B5)*3600-AD6*Model!$B$16, 0)</f>
        <v>1836.2440103882725</v>
      </c>
      <c r="M6" s="56">
        <f t="shared" si="2"/>
        <v>110.29542386646665</v>
      </c>
      <c r="N6" s="56">
        <f>Model!$B$13*I6*K6/(Model!$B$13*I6-L6*287*K6)</f>
        <v>383.29542386646665</v>
      </c>
      <c r="O6" s="56">
        <f t="shared" si="3"/>
        <v>318.60333693323332</v>
      </c>
      <c r="P6" s="56">
        <f t="shared" si="4"/>
        <v>45.603336933233322</v>
      </c>
      <c r="Q6" s="62">
        <f t="shared" si="5"/>
        <v>2.7237836922259569E-2</v>
      </c>
      <c r="R6" s="33">
        <f t="shared" si="6"/>
        <v>1.8342747041056261E-5</v>
      </c>
      <c r="S6" s="45">
        <f>0.37*Model!$B$10*(Q6^2*(N6-K6)*I6/(R6*O6^2))^0.33333*(N6-K6)</f>
        <v>1000509.0820997122</v>
      </c>
      <c r="T6" s="50">
        <f>Model!$B$32+(90-Model!$B$6)*SIN(RADIANS(-15*(E6+6)))</f>
        <v>-36.22420493907417</v>
      </c>
      <c r="U6" s="45">
        <f t="shared" si="7"/>
        <v>0</v>
      </c>
      <c r="V6" s="50">
        <f t="shared" si="8"/>
        <v>99999</v>
      </c>
      <c r="W6" s="45">
        <f t="shared" si="9"/>
        <v>0</v>
      </c>
      <c r="X6" s="45">
        <f>0.3*W6*Model!$B$9</f>
        <v>0</v>
      </c>
      <c r="Y6" s="33">
        <f>(S6-X6)/Model!$B$11</f>
        <v>2.1463243207115998E-2</v>
      </c>
      <c r="Z6" s="45">
        <f t="shared" si="10"/>
        <v>0</v>
      </c>
      <c r="AA6" s="56">
        <f>Y6/Model!$B$12*3600</f>
        <v>138.96439107165611</v>
      </c>
      <c r="AB6" s="50">
        <f t="shared" si="16"/>
        <v>1771.9419277699251</v>
      </c>
      <c r="AC6" s="50">
        <f t="shared" si="17"/>
        <v>28.058072230074913</v>
      </c>
      <c r="AD6" s="15">
        <f>IF(AE6=0, Model!$B$19, 0 )</f>
        <v>0</v>
      </c>
      <c r="AE6" s="50">
        <f>IF(AE5+AB5-AB6&lt;Model!$B$19*Model!$B$18, AE5+AB5-AB6,  0)</f>
        <v>28.058072230074913</v>
      </c>
      <c r="AF6" s="15">
        <f t="shared" si="11"/>
        <v>0.2</v>
      </c>
      <c r="AG6" s="50">
        <f t="shared" si="12"/>
        <v>0</v>
      </c>
    </row>
    <row r="7" spans="2:33" x14ac:dyDescent="0.25">
      <c r="B7" s="13">
        <f t="shared" si="13"/>
        <v>0.25</v>
      </c>
      <c r="C7" s="13">
        <f>B7+Model!$B$4</f>
        <v>2.25</v>
      </c>
      <c r="D7" s="13">
        <f t="shared" si="14"/>
        <v>1</v>
      </c>
      <c r="E7" s="13">
        <f t="shared" si="15"/>
        <v>2.25</v>
      </c>
      <c r="F7" s="14">
        <f>IF(AB7&gt;0, VLOOKUP(B7,Model!$A$40:$B$60, 2), 0)</f>
        <v>300</v>
      </c>
      <c r="G7" s="13">
        <f>IF(AB7&gt;0, VLOOKUP(B7,Model!$A$39:$C$58, 3), 0)</f>
        <v>0</v>
      </c>
      <c r="H7" s="13">
        <f t="shared" si="0"/>
        <v>0</v>
      </c>
      <c r="I7" s="46">
        <f>Model!$B$21*EXP((-0.029*9.81*F7)/(8.31*(273+J7)))</f>
        <v>100357.4491247143</v>
      </c>
      <c r="J7" s="13">
        <f>IF(Model!$B$31="Summer",  IF(F7&lt;=2000,  Model!$B$20-Model!$B$35*F7/1000,  IF(F7&lt;Model!$B$36,  Model!$B$33-6.5*F7/1000,  Model!$B$38)),     IF(F7&lt;=2000,  Model!$B$20-Model!$B$35*F7/1000,  IF(F7&lt;Model!$B$36,  Model!$B$33-5.4*F7/1000,   Model!$B$38)))</f>
        <v>-19.088750000000001</v>
      </c>
      <c r="K7" s="13">
        <f t="shared" si="1"/>
        <v>253.91125</v>
      </c>
      <c r="L7" s="46">
        <f>IF(AB6-AA6*(B7-B6)&gt;0, L6-Y6*(B7-B6)*3600-AD7*Model!$B$16, 0)</f>
        <v>1832.3806266109916</v>
      </c>
      <c r="M7" s="57">
        <f t="shared" si="2"/>
        <v>109.88493162947458</v>
      </c>
      <c r="N7" s="57">
        <f>Model!$B$13*I7*K7/(Model!$B$13*I7-L7*287*K7)</f>
        <v>382.88493162947458</v>
      </c>
      <c r="O7" s="57">
        <f t="shared" si="3"/>
        <v>318.39809081473732</v>
      </c>
      <c r="P7" s="57">
        <f t="shared" si="4"/>
        <v>45.398090814737287</v>
      </c>
      <c r="Q7" s="63">
        <f t="shared" si="5"/>
        <v>2.7223264447846351E-2</v>
      </c>
      <c r="R7" s="17">
        <f t="shared" si="6"/>
        <v>1.8321401444732677E-5</v>
      </c>
      <c r="S7" s="46">
        <f>0.37*Model!$B$10*(Q7^2*(N7-K7)*I7/(R7*O7^2))^0.33333*(N7-K7)</f>
        <v>996738.31842282042</v>
      </c>
      <c r="T7" s="51">
        <f>Model!$B$32+(90-Model!$B$6)*SIN(RADIANS(-15*(E7+6)))</f>
        <v>-35.972171491573405</v>
      </c>
      <c r="U7" s="46">
        <f t="shared" si="7"/>
        <v>0</v>
      </c>
      <c r="V7" s="51">
        <f t="shared" si="8"/>
        <v>99999</v>
      </c>
      <c r="W7" s="46">
        <f t="shared" si="9"/>
        <v>0</v>
      </c>
      <c r="X7" s="46">
        <f>0.3*W7*Model!$B$9</f>
        <v>0</v>
      </c>
      <c r="Y7" s="17">
        <f>(S7-X7)/Model!$B$11</f>
        <v>2.1382351569726919E-2</v>
      </c>
      <c r="Z7" s="46">
        <f t="shared" si="10"/>
        <v>0</v>
      </c>
      <c r="AA7" s="57">
        <f>Y7/Model!$B$12*3600</f>
        <v>138.44065581766452</v>
      </c>
      <c r="AB7" s="51">
        <f t="shared" si="16"/>
        <v>1764.9937082163424</v>
      </c>
      <c r="AC7" s="51">
        <f t="shared" si="17"/>
        <v>35.006291783657616</v>
      </c>
      <c r="AD7" s="13">
        <f>IF(AE7=0, Model!$B$19, 0 )</f>
        <v>0</v>
      </c>
      <c r="AE7" s="51">
        <f>IF(AE6+AB6-AB7&lt;Model!$B$19*Model!$B$18, AE6+AB6-AB7,  0)</f>
        <v>35.006291783657616</v>
      </c>
      <c r="AF7" s="13">
        <f t="shared" si="11"/>
        <v>0.25</v>
      </c>
      <c r="AG7" s="50">
        <f t="shared" si="12"/>
        <v>0</v>
      </c>
    </row>
    <row r="8" spans="2:33" x14ac:dyDescent="0.25">
      <c r="B8" s="15">
        <f t="shared" si="13"/>
        <v>0.3</v>
      </c>
      <c r="C8" s="15">
        <f>B8+Model!$B$4</f>
        <v>2.2999999999999998</v>
      </c>
      <c r="D8" s="15">
        <f t="shared" si="14"/>
        <v>1</v>
      </c>
      <c r="E8" s="15">
        <f t="shared" si="15"/>
        <v>2.2999999999999998</v>
      </c>
      <c r="F8" s="16">
        <f>IF(AB8&gt;0, VLOOKUP(B8,Model!$A$40:$B$60, 2), 0)</f>
        <v>300</v>
      </c>
      <c r="G8" s="15">
        <f>IF(AB8&gt;0, VLOOKUP(B8,Model!$A$39:$C$58, 3), 0)</f>
        <v>0</v>
      </c>
      <c r="H8" s="15">
        <f t="shared" si="0"/>
        <v>0</v>
      </c>
      <c r="I8" s="45">
        <f>Model!$B$21*EXP((-0.029*9.81*F8)/(8.31*(273+J8)))</f>
        <v>100357.4491247143</v>
      </c>
      <c r="J8" s="15">
        <f>IF(Model!$B$31="Summer",  IF(F8&lt;=2000,  Model!$B$20-Model!$B$35*F8/1000,  IF(F8&lt;Model!$B$36,  Model!$B$33-6.5*F8/1000,  Model!$B$38)),     IF(F8&lt;=2000,  Model!$B$20-Model!$B$35*F8/1000,  IF(F8&lt;Model!$B$36,  Model!$B$33-5.4*F8/1000,   Model!$B$38)))</f>
        <v>-19.088750000000001</v>
      </c>
      <c r="K8" s="15">
        <f t="shared" si="1"/>
        <v>253.91125</v>
      </c>
      <c r="L8" s="45">
        <f>IF(AB7-AA7*(B8-B7)&gt;0, L7-Y7*(B8-B7)*3600-AD8*Model!$B$16, 0)</f>
        <v>1828.5318033284407</v>
      </c>
      <c r="M8" s="56">
        <f t="shared" si="2"/>
        <v>109.47685981561449</v>
      </c>
      <c r="N8" s="56">
        <f>Model!$B$13*I8*K8/(Model!$B$13*I8-L8*287*K8)</f>
        <v>382.47685981561449</v>
      </c>
      <c r="O8" s="56">
        <f t="shared" si="3"/>
        <v>318.19405490780724</v>
      </c>
      <c r="P8" s="56">
        <f t="shared" si="4"/>
        <v>45.194054907807242</v>
      </c>
      <c r="Q8" s="62">
        <f t="shared" si="5"/>
        <v>2.7208777898454314E-2</v>
      </c>
      <c r="R8" s="33">
        <f t="shared" si="6"/>
        <v>1.830018171041195E-5</v>
      </c>
      <c r="S8" s="45">
        <f>0.37*Model!$B$10*(Q8^2*(N8-K8)*I8/(R8*O8^2))^0.33333*(N8-K8)</f>
        <v>992991.11117608752</v>
      </c>
      <c r="T8" s="50">
        <f>Model!$B$32+(90-Model!$B$6)*SIN(RADIANS(-15*(E8+6)))</f>
        <v>-35.71515166275487</v>
      </c>
      <c r="U8" s="45">
        <f t="shared" si="7"/>
        <v>0</v>
      </c>
      <c r="V8" s="50">
        <f t="shared" si="8"/>
        <v>99999</v>
      </c>
      <c r="W8" s="45">
        <f t="shared" si="9"/>
        <v>0</v>
      </c>
      <c r="X8" s="45">
        <f>0.3*W8*Model!$B$9</f>
        <v>0</v>
      </c>
      <c r="Y8" s="33">
        <f>(S8-X8)/Model!$B$11</f>
        <v>2.1301965272467822E-2</v>
      </c>
      <c r="Z8" s="45">
        <f t="shared" si="10"/>
        <v>0</v>
      </c>
      <c r="AA8" s="56">
        <f>Y8/Model!$B$12*3600</f>
        <v>137.92019240301093</v>
      </c>
      <c r="AB8" s="50">
        <f t="shared" si="16"/>
        <v>1758.0716754254593</v>
      </c>
      <c r="AC8" s="50">
        <f t="shared" si="17"/>
        <v>41.928324574540738</v>
      </c>
      <c r="AD8" s="15">
        <f>IF(AE8=0, Model!$B$19, 0 )</f>
        <v>0</v>
      </c>
      <c r="AE8" s="50">
        <f>IF(AE7+AB7-AB8&lt;Model!$B$19*Model!$B$18, AE7+AB7-AB8,  0)</f>
        <v>41.928324574540738</v>
      </c>
      <c r="AF8" s="15">
        <f t="shared" si="11"/>
        <v>0.3</v>
      </c>
      <c r="AG8" s="50">
        <f t="shared" si="12"/>
        <v>0</v>
      </c>
    </row>
    <row r="9" spans="2:33" x14ac:dyDescent="0.25">
      <c r="B9" s="13">
        <f t="shared" si="13"/>
        <v>0.35</v>
      </c>
      <c r="C9" s="13">
        <f>B9+Model!$B$4</f>
        <v>2.35</v>
      </c>
      <c r="D9" s="13">
        <f t="shared" si="14"/>
        <v>1</v>
      </c>
      <c r="E9" s="13">
        <f t="shared" si="15"/>
        <v>2.35</v>
      </c>
      <c r="F9" s="14">
        <f>IF(AB9&gt;0, VLOOKUP(B9,Model!$A$40:$B$60, 2), 0)</f>
        <v>300</v>
      </c>
      <c r="G9" s="13">
        <f>IF(AB9&gt;0, VLOOKUP(B9,Model!$A$39:$C$58, 3), 0)</f>
        <v>0</v>
      </c>
      <c r="H9" s="13">
        <f t="shared" si="0"/>
        <v>0</v>
      </c>
      <c r="I9" s="46">
        <f>Model!$B$21*EXP((-0.029*9.81*F9)/(8.31*(273+J9)))</f>
        <v>100357.4491247143</v>
      </c>
      <c r="J9" s="13">
        <f>IF(Model!$B$31="Summer",  IF(F9&lt;=2000,  Model!$B$20-Model!$B$35*F9/1000,  IF(F9&lt;Model!$B$36,  Model!$B$33-6.5*F9/1000,  Model!$B$38)),     IF(F9&lt;=2000,  Model!$B$20-Model!$B$35*F9/1000,  IF(F9&lt;Model!$B$36,  Model!$B$33-5.4*F9/1000,   Model!$B$38)))</f>
        <v>-19.088750000000001</v>
      </c>
      <c r="K9" s="13">
        <f t="shared" si="1"/>
        <v>253.91125</v>
      </c>
      <c r="L9" s="46">
        <f>IF(AB8-AA8*(B9-B8)&gt;0, L8-Y8*(B9-B8)*3600-AD9*Model!$B$16, 0)</f>
        <v>1824.6974495793966</v>
      </c>
      <c r="M9" s="57">
        <f t="shared" si="2"/>
        <v>109.07118614994215</v>
      </c>
      <c r="N9" s="57">
        <f>Model!$B$13*I9*K9/(Model!$B$13*I9-L9*287*K9)</f>
        <v>382.07118614994215</v>
      </c>
      <c r="O9" s="57">
        <f t="shared" si="3"/>
        <v>317.99121807497107</v>
      </c>
      <c r="P9" s="57">
        <f t="shared" si="4"/>
        <v>44.991218074971073</v>
      </c>
      <c r="Q9" s="63">
        <f t="shared" si="5"/>
        <v>2.7194376483322947E-2</v>
      </c>
      <c r="R9" s="17">
        <f t="shared" si="6"/>
        <v>1.8279086679796989E-5</v>
      </c>
      <c r="S9" s="46">
        <f>0.37*Model!$B$10*(Q9^2*(N9-K9)*I9/(R9*O9^2))^0.33333*(N9-K9)</f>
        <v>989267.24051490717</v>
      </c>
      <c r="T9" s="51">
        <f>Model!$B$32+(90-Model!$B$6)*SIN(RADIANS(-15*(E9+6)))</f>
        <v>-35.453189491643087</v>
      </c>
      <c r="U9" s="46">
        <f t="shared" si="7"/>
        <v>0</v>
      </c>
      <c r="V9" s="51">
        <f t="shared" si="8"/>
        <v>99999</v>
      </c>
      <c r="W9" s="46">
        <f t="shared" si="9"/>
        <v>0</v>
      </c>
      <c r="X9" s="46">
        <f>0.3*W9*Model!$B$9</f>
        <v>0</v>
      </c>
      <c r="Y9" s="17">
        <f>(S9-X9)/Model!$B$11</f>
        <v>2.1222079599161368E-2</v>
      </c>
      <c r="Z9" s="46">
        <f t="shared" si="10"/>
        <v>0</v>
      </c>
      <c r="AA9" s="57">
        <f>Y9/Model!$B$12*3600</f>
        <v>137.40297029266836</v>
      </c>
      <c r="AB9" s="51">
        <f t="shared" si="16"/>
        <v>1751.1756658053087</v>
      </c>
      <c r="AC9" s="51">
        <f t="shared" si="17"/>
        <v>48.824334194691346</v>
      </c>
      <c r="AD9" s="13">
        <f>IF(AE9=0, Model!$B$19, 0 )</f>
        <v>0</v>
      </c>
      <c r="AE9" s="51">
        <f>IF(AE8+AB8-AB9&lt;Model!$B$19*Model!$B$18, AE8+AB8-AB9,  0)</f>
        <v>48.824334194691346</v>
      </c>
      <c r="AF9" s="13">
        <f t="shared" si="11"/>
        <v>0.35</v>
      </c>
      <c r="AG9" s="50">
        <f t="shared" si="12"/>
        <v>0</v>
      </c>
    </row>
    <row r="10" spans="2:33" x14ac:dyDescent="0.25">
      <c r="B10" s="15">
        <f t="shared" si="13"/>
        <v>0.39999999999999997</v>
      </c>
      <c r="C10" s="15">
        <f>B10+Model!$B$4</f>
        <v>2.4</v>
      </c>
      <c r="D10" s="15">
        <f t="shared" si="14"/>
        <v>1</v>
      </c>
      <c r="E10" s="15">
        <f t="shared" si="15"/>
        <v>2.4</v>
      </c>
      <c r="F10" s="16">
        <f>IF(AB10&gt;0, VLOOKUP(B10,Model!$A$40:$B$60, 2), 0)</f>
        <v>300</v>
      </c>
      <c r="G10" s="15">
        <f>IF(AB10&gt;0, VLOOKUP(B10,Model!$A$39:$C$58, 3), 0)</f>
        <v>0</v>
      </c>
      <c r="H10" s="15">
        <f t="shared" si="0"/>
        <v>0</v>
      </c>
      <c r="I10" s="45">
        <f>Model!$B$21*EXP((-0.029*9.81*F10)/(8.31*(273+J10)))</f>
        <v>100357.4491247143</v>
      </c>
      <c r="J10" s="15">
        <f>IF(Model!$B$31="Summer",  IF(F10&lt;=2000,  Model!$B$20-Model!$B$35*F10/1000,  IF(F10&lt;Model!$B$36,  Model!$B$33-6.5*F10/1000,  Model!$B$38)),     IF(F10&lt;=2000,  Model!$B$20-Model!$B$35*F10/1000,  IF(F10&lt;Model!$B$36,  Model!$B$33-5.4*F10/1000,   Model!$B$38)))</f>
        <v>-19.088750000000001</v>
      </c>
      <c r="K10" s="15">
        <f t="shared" si="1"/>
        <v>253.91125</v>
      </c>
      <c r="L10" s="45">
        <f>IF(AB9-AA9*(B10-B9)&gt;0, L9-Y9*(B10-B9)*3600-AD10*Model!$B$16, 0)</f>
        <v>1820.8774752515476</v>
      </c>
      <c r="M10" s="56">
        <f t="shared" si="2"/>
        <v>108.66788864006452</v>
      </c>
      <c r="N10" s="56">
        <f>Model!$B$13*I10*K10/(Model!$B$13*I10-L10*287*K10)</f>
        <v>381.66788864006452</v>
      </c>
      <c r="O10" s="56">
        <f t="shared" si="3"/>
        <v>317.78956932003223</v>
      </c>
      <c r="P10" s="56">
        <f t="shared" si="4"/>
        <v>44.789569320032257</v>
      </c>
      <c r="Q10" s="62">
        <f t="shared" si="5"/>
        <v>2.7180059421722289E-2</v>
      </c>
      <c r="R10" s="33">
        <f t="shared" si="6"/>
        <v>1.8258115209283354E-5</v>
      </c>
      <c r="S10" s="45">
        <f>0.37*Model!$B$10*(Q10^2*(N10-K10)*I10/(R10*O10^2))^0.33333*(N10-K10)</f>
        <v>985566.48938720161</v>
      </c>
      <c r="T10" s="50">
        <f>Model!$B$32+(90-Model!$B$6)*SIN(RADIANS(-15*(E10+6)))</f>
        <v>-35.186329864107485</v>
      </c>
      <c r="U10" s="45">
        <f t="shared" si="7"/>
        <v>0</v>
      </c>
      <c r="V10" s="50">
        <f t="shared" si="8"/>
        <v>99999</v>
      </c>
      <c r="W10" s="45">
        <f t="shared" si="9"/>
        <v>0</v>
      </c>
      <c r="X10" s="45">
        <f>0.3*W10*Model!$B$9</f>
        <v>0</v>
      </c>
      <c r="Y10" s="33">
        <f>(S10-X10)/Model!$B$11</f>
        <v>2.1142689893536449E-2</v>
      </c>
      <c r="Z10" s="45">
        <f t="shared" si="10"/>
        <v>0</v>
      </c>
      <c r="AA10" s="56">
        <f>Y10/Model!$B$12*3600</f>
        <v>136.88895933947433</v>
      </c>
      <c r="AB10" s="50">
        <f t="shared" si="16"/>
        <v>1744.3055172906752</v>
      </c>
      <c r="AC10" s="50">
        <f t="shared" si="17"/>
        <v>55.694482709324802</v>
      </c>
      <c r="AD10" s="15">
        <f>IF(AE10=0, Model!$B$19, 0 )</f>
        <v>0</v>
      </c>
      <c r="AE10" s="50">
        <f>IF(AE9+AB9-AB10&lt;Model!$B$19*Model!$B$18, AE9+AB9-AB10,  0)</f>
        <v>55.694482709324802</v>
      </c>
      <c r="AF10" s="15">
        <f t="shared" si="11"/>
        <v>0.39999999999999997</v>
      </c>
      <c r="AG10" s="50">
        <f t="shared" si="12"/>
        <v>0</v>
      </c>
    </row>
    <row r="11" spans="2:33" x14ac:dyDescent="0.25">
      <c r="B11" s="13">
        <f t="shared" si="13"/>
        <v>0.44999999999999996</v>
      </c>
      <c r="C11" s="13">
        <f>B11+Model!$B$4</f>
        <v>2.4500000000000002</v>
      </c>
      <c r="D11" s="13">
        <f t="shared" si="14"/>
        <v>1</v>
      </c>
      <c r="E11" s="13">
        <f t="shared" si="15"/>
        <v>2.4500000000000002</v>
      </c>
      <c r="F11" s="14">
        <f>IF(AB11&gt;0, VLOOKUP(B11,Model!$A$40:$B$60, 2), 0)</f>
        <v>300</v>
      </c>
      <c r="G11" s="13">
        <f>IF(AB11&gt;0, VLOOKUP(B11,Model!$A$39:$C$58, 3), 0)</f>
        <v>0</v>
      </c>
      <c r="H11" s="13">
        <f t="shared" si="0"/>
        <v>0</v>
      </c>
      <c r="I11" s="46">
        <f>Model!$B$21*EXP((-0.029*9.81*F11)/(8.31*(273+J11)))</f>
        <v>100357.4491247143</v>
      </c>
      <c r="J11" s="13">
        <f>IF(Model!$B$31="Summer",  IF(F11&lt;=2000,  Model!$B$20-Model!$B$35*F11/1000,  IF(F11&lt;Model!$B$36,  Model!$B$33-6.5*F11/1000,  Model!$B$38)),     IF(F11&lt;=2000,  Model!$B$20-Model!$B$35*F11/1000,  IF(F11&lt;Model!$B$36,  Model!$B$33-5.4*F11/1000,   Model!$B$38)))</f>
        <v>-19.088750000000001</v>
      </c>
      <c r="K11" s="13">
        <f t="shared" si="1"/>
        <v>253.91125</v>
      </c>
      <c r="L11" s="46">
        <f>IF(AB10-AA10*(B11-B10)&gt;0, L10-Y10*(B11-B10)*3600-AD11*Model!$B$16, 0)</f>
        <v>1817.071791070711</v>
      </c>
      <c r="M11" s="57">
        <f t="shared" si="2"/>
        <v>108.26694557156463</v>
      </c>
      <c r="N11" s="57">
        <f>Model!$B$13*I11*K11/(Model!$B$13*I11-L11*287*K11)</f>
        <v>381.26694557156463</v>
      </c>
      <c r="O11" s="57">
        <f t="shared" si="3"/>
        <v>317.58909778578231</v>
      </c>
      <c r="P11" s="57">
        <f t="shared" si="4"/>
        <v>44.589097785782315</v>
      </c>
      <c r="Q11" s="63">
        <f t="shared" si="5"/>
        <v>2.7165825942790545E-2</v>
      </c>
      <c r="R11" s="17">
        <f t="shared" si="6"/>
        <v>1.8237266169721356E-5</v>
      </c>
      <c r="S11" s="46">
        <f>0.37*Model!$B$10*(Q11^2*(N11-K11)*I11/(R11*O11^2))^0.33333*(N11-K11)</f>
        <v>981888.64348827826</v>
      </c>
      <c r="T11" s="51">
        <f>Model!$B$32+(90-Model!$B$6)*SIN(RADIANS(-15*(E11+6)))</f>
        <v>-34.914618505171454</v>
      </c>
      <c r="U11" s="46">
        <f t="shared" si="7"/>
        <v>0</v>
      </c>
      <c r="V11" s="51">
        <f t="shared" si="8"/>
        <v>99999</v>
      </c>
      <c r="W11" s="46">
        <f t="shared" si="9"/>
        <v>0</v>
      </c>
      <c r="X11" s="46">
        <f>0.3*W11*Model!$B$9</f>
        <v>0</v>
      </c>
      <c r="Y11" s="17">
        <f>(S11-X11)/Model!$B$11</f>
        <v>2.1063791558259749E-2</v>
      </c>
      <c r="Z11" s="46">
        <f t="shared" si="10"/>
        <v>0</v>
      </c>
      <c r="AA11" s="57">
        <f>Y11/Model!$B$12*3600</f>
        <v>136.37812977786089</v>
      </c>
      <c r="AB11" s="51">
        <f t="shared" si="16"/>
        <v>1737.4610693237014</v>
      </c>
      <c r="AC11" s="51">
        <f t="shared" si="17"/>
        <v>62.538930676298605</v>
      </c>
      <c r="AD11" s="13">
        <f>IF(AE11=0, Model!$B$19, 0 )</f>
        <v>0</v>
      </c>
      <c r="AE11" s="51">
        <f>IF(AE10+AB10-AB11&lt;Model!$B$19*Model!$B$18, AE10+AB10-AB11,  0)</f>
        <v>62.538930676298605</v>
      </c>
      <c r="AF11" s="13">
        <f t="shared" si="11"/>
        <v>0.44999999999999996</v>
      </c>
      <c r="AG11" s="50">
        <f t="shared" si="12"/>
        <v>0</v>
      </c>
    </row>
    <row r="12" spans="2:33" x14ac:dyDescent="0.25">
      <c r="B12" s="15">
        <f t="shared" si="13"/>
        <v>0.49999999999999994</v>
      </c>
      <c r="C12" s="15">
        <f>B12+Model!$B$4</f>
        <v>2.5</v>
      </c>
      <c r="D12" s="15">
        <f t="shared" si="14"/>
        <v>1</v>
      </c>
      <c r="E12" s="15">
        <f t="shared" si="15"/>
        <v>2.5</v>
      </c>
      <c r="F12" s="16">
        <f>IF(AB12&gt;0, VLOOKUP(B12,Model!$A$40:$B$60, 2), 0)</f>
        <v>300</v>
      </c>
      <c r="G12" s="15">
        <f>IF(AB12&gt;0, VLOOKUP(B12,Model!$A$39:$C$58, 3), 0)</f>
        <v>0</v>
      </c>
      <c r="H12" s="15">
        <f t="shared" si="0"/>
        <v>0</v>
      </c>
      <c r="I12" s="45">
        <f>Model!$B$21*EXP((-0.029*9.81*F12)/(8.31*(273+J12)))</f>
        <v>100357.4491247143</v>
      </c>
      <c r="J12" s="15">
        <f>IF(Model!$B$31="Summer",  IF(F12&lt;=2000,  Model!$B$20-Model!$B$35*F12/1000,  IF(F12&lt;Model!$B$36,  Model!$B$33-6.5*F12/1000,  Model!$B$38)),     IF(F12&lt;=2000,  Model!$B$20-Model!$B$35*F12/1000,  IF(F12&lt;Model!$B$36,  Model!$B$33-5.4*F12/1000,   Model!$B$38)))</f>
        <v>-19.088750000000001</v>
      </c>
      <c r="K12" s="15">
        <f t="shared" si="1"/>
        <v>253.91125</v>
      </c>
      <c r="L12" s="45">
        <f>IF(AB11-AA11*(B12-B11)&gt;0, L11-Y11*(B12-B11)*3600-AD12*Model!$B$16, 0)</f>
        <v>1813.2803085902242</v>
      </c>
      <c r="M12" s="56">
        <f t="shared" si="2"/>
        <v>107.86833550351679</v>
      </c>
      <c r="N12" s="56">
        <f>Model!$B$13*I12*K12/(Model!$B$13*I12-L12*287*K12)</f>
        <v>380.86833550351679</v>
      </c>
      <c r="O12" s="56">
        <f t="shared" si="3"/>
        <v>317.38979275175836</v>
      </c>
      <c r="P12" s="56">
        <f t="shared" si="4"/>
        <v>44.389792751758392</v>
      </c>
      <c r="Q12" s="62">
        <f t="shared" si="5"/>
        <v>2.7151675285374845E-2</v>
      </c>
      <c r="R12" s="33">
        <f t="shared" si="6"/>
        <v>1.821653844618287E-5</v>
      </c>
      <c r="S12" s="45">
        <f>0.37*Model!$B$10*(Q12^2*(N12-K12)*I12/(R12*O12^2))^0.33333*(N12-K12)</f>
        <v>978233.49121658597</v>
      </c>
      <c r="T12" s="50">
        <f>Model!$B$32+(90-Model!$B$6)*SIN(RADIANS(-15*(E12+6)))</f>
        <v>-34.638101971177555</v>
      </c>
      <c r="U12" s="45">
        <f t="shared" si="7"/>
        <v>0</v>
      </c>
      <c r="V12" s="50">
        <f t="shared" si="8"/>
        <v>99999</v>
      </c>
      <c r="W12" s="45">
        <f t="shared" si="9"/>
        <v>0</v>
      </c>
      <c r="X12" s="45">
        <f>0.3*W12*Model!$B$9</f>
        <v>0</v>
      </c>
      <c r="Y12" s="33">
        <f>(S12-X12)/Model!$B$11</f>
        <v>2.0985380053986612E-2</v>
      </c>
      <c r="Z12" s="45">
        <f t="shared" si="10"/>
        <v>0</v>
      </c>
      <c r="AA12" s="56">
        <f>Y12/Model!$B$12*3600</f>
        <v>135.87045221770927</v>
      </c>
      <c r="AB12" s="50">
        <f t="shared" si="16"/>
        <v>1730.6421628348085</v>
      </c>
      <c r="AC12" s="50">
        <f t="shared" si="17"/>
        <v>69.35783716519154</v>
      </c>
      <c r="AD12" s="15">
        <f>IF(AE12=0, Model!$B$19, 0 )</f>
        <v>0</v>
      </c>
      <c r="AE12" s="50">
        <f>IF(AE11+AB11-AB12&lt;Model!$B$19*Model!$B$18, AE11+AB11-AB12,  0)</f>
        <v>69.35783716519154</v>
      </c>
      <c r="AF12" s="15">
        <f t="shared" si="11"/>
        <v>0.49999999999999994</v>
      </c>
      <c r="AG12" s="50">
        <f t="shared" si="12"/>
        <v>0</v>
      </c>
    </row>
    <row r="13" spans="2:33" x14ac:dyDescent="0.25">
      <c r="B13" s="13">
        <f t="shared" si="13"/>
        <v>0.54999999999999993</v>
      </c>
      <c r="C13" s="13">
        <f>B13+Model!$B$4</f>
        <v>2.5499999999999998</v>
      </c>
      <c r="D13" s="13">
        <f t="shared" si="14"/>
        <v>1</v>
      </c>
      <c r="E13" s="13">
        <f t="shared" si="15"/>
        <v>2.5499999999999998</v>
      </c>
      <c r="F13" s="14">
        <f>IF(AB13&gt;0, VLOOKUP(B13,Model!$A$40:$B$60, 2), 0)</f>
        <v>300</v>
      </c>
      <c r="G13" s="13">
        <f>IF(AB13&gt;0, VLOOKUP(B13,Model!$A$39:$C$58, 3), 0)</f>
        <v>0</v>
      </c>
      <c r="H13" s="13">
        <f t="shared" si="0"/>
        <v>0</v>
      </c>
      <c r="I13" s="46">
        <f>Model!$B$21*EXP((-0.029*9.81*F13)/(8.31*(273+J13)))</f>
        <v>100357.4491247143</v>
      </c>
      <c r="J13" s="13">
        <f>IF(Model!$B$31="Summer",  IF(F13&lt;=2000,  Model!$B$20-Model!$B$35*F13/1000,  IF(F13&lt;Model!$B$36,  Model!$B$33-6.5*F13/1000,  Model!$B$38)),     IF(F13&lt;=2000,  Model!$B$20-Model!$B$35*F13/1000,  IF(F13&lt;Model!$B$36,  Model!$B$33-5.4*F13/1000,   Model!$B$38)))</f>
        <v>-19.088750000000001</v>
      </c>
      <c r="K13" s="13">
        <f t="shared" si="1"/>
        <v>253.91125</v>
      </c>
      <c r="L13" s="46">
        <f>IF(AB12-AA12*(B13-B12)&gt;0, L12-Y12*(B13-B12)*3600-AD13*Model!$B$16, 0)</f>
        <v>1809.5029401805066</v>
      </c>
      <c r="M13" s="57">
        <f t="shared" si="2"/>
        <v>107.47203726408975</v>
      </c>
      <c r="N13" s="57">
        <f>Model!$B$13*I13*K13/(Model!$B$13*I13-L13*287*K13)</f>
        <v>380.47203726408975</v>
      </c>
      <c r="O13" s="57">
        <f t="shared" si="3"/>
        <v>317.19164363204487</v>
      </c>
      <c r="P13" s="57">
        <f t="shared" si="4"/>
        <v>44.191643632044872</v>
      </c>
      <c r="Q13" s="63">
        <f t="shared" si="5"/>
        <v>2.7137606697875186E-2</v>
      </c>
      <c r="R13" s="17">
        <f t="shared" si="6"/>
        <v>1.8195930937732664E-5</v>
      </c>
      <c r="S13" s="46">
        <f>0.37*Model!$B$10*(Q13^2*(N13-K13)*I13/(R13*O13^2))^0.33333*(N13-K13)</f>
        <v>974600.82363032841</v>
      </c>
      <c r="T13" s="51">
        <f>Model!$B$32+(90-Model!$B$6)*SIN(RADIANS(-15*(E13+6)))</f>
        <v>-34.356827641810391</v>
      </c>
      <c r="U13" s="46">
        <f t="shared" si="7"/>
        <v>0</v>
      </c>
      <c r="V13" s="51">
        <f t="shared" si="8"/>
        <v>99999</v>
      </c>
      <c r="W13" s="46">
        <f t="shared" si="9"/>
        <v>0</v>
      </c>
      <c r="X13" s="46">
        <f>0.3*W13*Model!$B$9</f>
        <v>0</v>
      </c>
      <c r="Y13" s="17">
        <f>(S13-X13)/Model!$B$11</f>
        <v>2.09074508984303E-2</v>
      </c>
      <c r="Z13" s="46">
        <f t="shared" si="10"/>
        <v>0</v>
      </c>
      <c r="AA13" s="57">
        <f>Y13/Model!$B$12*3600</f>
        <v>135.36589763832396</v>
      </c>
      <c r="AB13" s="51">
        <f t="shared" si="16"/>
        <v>1723.848640223923</v>
      </c>
      <c r="AC13" s="51">
        <f t="shared" si="17"/>
        <v>76.151359776077015</v>
      </c>
      <c r="AD13" s="13">
        <f>IF(AE13=0, Model!$B$19, 0 )</f>
        <v>0</v>
      </c>
      <c r="AE13" s="51">
        <f>IF(AE12+AB12-AB13&lt;Model!$B$19*Model!$B$18, AE12+AB12-AB13,  0)</f>
        <v>76.151359776077015</v>
      </c>
      <c r="AF13" s="13">
        <f t="shared" si="11"/>
        <v>0.54999999999999993</v>
      </c>
      <c r="AG13" s="50">
        <f t="shared" si="12"/>
        <v>0</v>
      </c>
    </row>
    <row r="14" spans="2:33" x14ac:dyDescent="0.25">
      <c r="B14" s="15">
        <f t="shared" si="13"/>
        <v>0.6</v>
      </c>
      <c r="C14" s="15">
        <f>B14+Model!$B$4</f>
        <v>2.6</v>
      </c>
      <c r="D14" s="15">
        <f t="shared" si="14"/>
        <v>1</v>
      </c>
      <c r="E14" s="15">
        <f t="shared" si="15"/>
        <v>2.6</v>
      </c>
      <c r="F14" s="16">
        <f>IF(AB14&gt;0, VLOOKUP(B14,Model!$A$40:$B$60, 2), 0)</f>
        <v>300</v>
      </c>
      <c r="G14" s="15">
        <f>IF(AB14&gt;0, VLOOKUP(B14,Model!$A$39:$C$58, 3), 0)</f>
        <v>0</v>
      </c>
      <c r="H14" s="15">
        <f t="shared" si="0"/>
        <v>0</v>
      </c>
      <c r="I14" s="45">
        <f>Model!$B$21*EXP((-0.029*9.81*F14)/(8.31*(273+J14)))</f>
        <v>100357.4491247143</v>
      </c>
      <c r="J14" s="15">
        <f>IF(Model!$B$31="Summer",  IF(F14&lt;=2000,  Model!$B$20-Model!$B$35*F14/1000,  IF(F14&lt;Model!$B$36,  Model!$B$33-6.5*F14/1000,  Model!$B$38)),     IF(F14&lt;=2000,  Model!$B$20-Model!$B$35*F14/1000,  IF(F14&lt;Model!$B$36,  Model!$B$33-5.4*F14/1000,   Model!$B$38)))</f>
        <v>-19.088750000000001</v>
      </c>
      <c r="K14" s="15">
        <f t="shared" si="1"/>
        <v>253.91125</v>
      </c>
      <c r="L14" s="45">
        <f>IF(AB13-AA13*(B14-B13)&gt;0, L13-Y13*(B14-B13)*3600-AD14*Model!$B$16, 0)</f>
        <v>1805.739599018789</v>
      </c>
      <c r="M14" s="56">
        <f t="shared" si="2"/>
        <v>107.07802994623557</v>
      </c>
      <c r="N14" s="56">
        <f>Model!$B$13*I14*K14/(Model!$B$13*I14-L14*287*K14)</f>
        <v>380.07802994623557</v>
      </c>
      <c r="O14" s="56">
        <f t="shared" si="3"/>
        <v>316.99463997311778</v>
      </c>
      <c r="P14" s="56">
        <f t="shared" si="4"/>
        <v>43.994639973117785</v>
      </c>
      <c r="Q14" s="62">
        <f t="shared" si="5"/>
        <v>2.7123619438091363E-2</v>
      </c>
      <c r="R14" s="33">
        <f t="shared" si="6"/>
        <v>1.817544255720425E-5</v>
      </c>
      <c r="S14" s="45">
        <f>0.37*Model!$B$10*(Q14^2*(N14-K14)*I14/(R14*O14^2))^0.33333*(N14-K14)</f>
        <v>970990.4344049244</v>
      </c>
      <c r="T14" s="50">
        <f>Model!$B$32+(90-Model!$B$6)*SIN(RADIANS(-15*(E14+6)))</f>
        <v>-34.070843711978313</v>
      </c>
      <c r="U14" s="45">
        <f t="shared" si="7"/>
        <v>0</v>
      </c>
      <c r="V14" s="50">
        <f t="shared" si="8"/>
        <v>99999</v>
      </c>
      <c r="W14" s="45">
        <f t="shared" si="9"/>
        <v>0</v>
      </c>
      <c r="X14" s="45">
        <f>0.3*W14*Model!$B$9</f>
        <v>0</v>
      </c>
      <c r="Y14" s="33">
        <f>(S14-X14)/Model!$B$11</f>
        <v>2.0829999665449413E-2</v>
      </c>
      <c r="Z14" s="45">
        <f t="shared" si="10"/>
        <v>0</v>
      </c>
      <c r="AA14" s="56">
        <f>Y14/Model!$B$12*3600</f>
        <v>134.86443738252396</v>
      </c>
      <c r="AB14" s="50">
        <f t="shared" si="16"/>
        <v>1717.0803453420067</v>
      </c>
      <c r="AC14" s="50">
        <f t="shared" si="17"/>
        <v>82.919654657993306</v>
      </c>
      <c r="AD14" s="15">
        <f>IF(AE14=0, Model!$B$19, 0 )</f>
        <v>0</v>
      </c>
      <c r="AE14" s="50">
        <f>IF(AE13+AB13-AB14&lt;Model!$B$19*Model!$B$18, AE13+AB13-AB14,  0)</f>
        <v>82.919654657993306</v>
      </c>
      <c r="AF14" s="15">
        <f t="shared" si="11"/>
        <v>0.6</v>
      </c>
      <c r="AG14" s="50">
        <f t="shared" si="12"/>
        <v>0</v>
      </c>
    </row>
    <row r="15" spans="2:33" x14ac:dyDescent="0.25">
      <c r="B15" s="13">
        <f t="shared" si="13"/>
        <v>0.65</v>
      </c>
      <c r="C15" s="13">
        <f>B15+Model!$B$4</f>
        <v>2.65</v>
      </c>
      <c r="D15" s="13">
        <f t="shared" si="14"/>
        <v>1</v>
      </c>
      <c r="E15" s="13">
        <f t="shared" si="15"/>
        <v>2.65</v>
      </c>
      <c r="F15" s="14">
        <f>IF(AB15&gt;0, VLOOKUP(B15,Model!$A$40:$B$60, 2), 0)</f>
        <v>300</v>
      </c>
      <c r="G15" s="13">
        <f>IF(AB15&gt;0, VLOOKUP(B15,Model!$A$39:$C$58, 3), 0)</f>
        <v>0</v>
      </c>
      <c r="H15" s="13">
        <f t="shared" si="0"/>
        <v>0</v>
      </c>
      <c r="I15" s="46">
        <f>Model!$B$21*EXP((-0.029*9.81*F15)/(8.31*(273+J15)))</f>
        <v>100357.4491247143</v>
      </c>
      <c r="J15" s="13">
        <f>IF(Model!$B$31="Summer",  IF(F15&lt;=2000,  Model!$B$20-Model!$B$35*F15/1000,  IF(F15&lt;Model!$B$36,  Model!$B$33-6.5*F15/1000,  Model!$B$38)),     IF(F15&lt;=2000,  Model!$B$20-Model!$B$35*F15/1000,  IF(F15&lt;Model!$B$36,  Model!$B$33-5.4*F15/1000,   Model!$B$38)))</f>
        <v>-19.088750000000001</v>
      </c>
      <c r="K15" s="13">
        <f t="shared" si="1"/>
        <v>253.91125</v>
      </c>
      <c r="L15" s="46">
        <f>IF(AB14-AA14*(B15-B14)&gt;0, L14-Y14*(B15-B14)*3600-AD15*Model!$B$16, 0)</f>
        <v>1801.9901990790081</v>
      </c>
      <c r="M15" s="57">
        <f t="shared" si="2"/>
        <v>106.6862929034628</v>
      </c>
      <c r="N15" s="57">
        <f>Model!$B$13*I15*K15/(Model!$B$13*I15-L15*287*K15)</f>
        <v>379.6862929034628</v>
      </c>
      <c r="O15" s="57">
        <f t="shared" si="3"/>
        <v>316.7987714517314</v>
      </c>
      <c r="P15" s="57">
        <f t="shared" si="4"/>
        <v>43.798771451731398</v>
      </c>
      <c r="Q15" s="63">
        <f t="shared" si="5"/>
        <v>2.710971277307293E-2</v>
      </c>
      <c r="R15" s="17">
        <f t="shared" si="6"/>
        <v>1.8155072230980062E-5</v>
      </c>
      <c r="S15" s="46">
        <f>0.37*Model!$B$10*(Q15^2*(N15-K15)*I15/(R15*O15^2))^0.33333*(N15-K15)</f>
        <v>967402.1197913005</v>
      </c>
      <c r="T15" s="51">
        <f>Model!$B$32+(90-Model!$B$6)*SIN(RADIANS(-15*(E15+6)))</f>
        <v>-33.780199183555411</v>
      </c>
      <c r="U15" s="46">
        <f t="shared" si="7"/>
        <v>0</v>
      </c>
      <c r="V15" s="51">
        <f t="shared" si="8"/>
        <v>99999</v>
      </c>
      <c r="W15" s="46">
        <f t="shared" si="9"/>
        <v>0</v>
      </c>
      <c r="X15" s="46">
        <f>0.3*W15*Model!$B$9</f>
        <v>0</v>
      </c>
      <c r="Y15" s="17">
        <f>(S15-X15)/Model!$B$11</f>
        <v>2.0753021984153179E-2</v>
      </c>
      <c r="Z15" s="46">
        <f t="shared" si="10"/>
        <v>0</v>
      </c>
      <c r="AA15" s="57">
        <f>Y15/Model!$B$12*3600</f>
        <v>134.36604315085012</v>
      </c>
      <c r="AB15" s="51">
        <f t="shared" si="16"/>
        <v>1710.3371234728804</v>
      </c>
      <c r="AC15" s="51">
        <f t="shared" si="17"/>
        <v>89.662876527119579</v>
      </c>
      <c r="AD15" s="13">
        <f>IF(AE15=0, Model!$B$19, 0 )</f>
        <v>0</v>
      </c>
      <c r="AE15" s="51">
        <f>IF(AE14+AB14-AB15&lt;Model!$B$19*Model!$B$18, AE14+AB14-AB15,  0)</f>
        <v>89.662876527119579</v>
      </c>
      <c r="AF15" s="13">
        <f t="shared" si="11"/>
        <v>0.65</v>
      </c>
      <c r="AG15" s="50">
        <f t="shared" si="12"/>
        <v>0</v>
      </c>
    </row>
    <row r="16" spans="2:33" x14ac:dyDescent="0.25">
      <c r="B16" s="15">
        <f t="shared" si="13"/>
        <v>0.70000000000000007</v>
      </c>
      <c r="C16" s="15">
        <f>B16+Model!$B$4</f>
        <v>2.7</v>
      </c>
      <c r="D16" s="15">
        <f t="shared" si="14"/>
        <v>1</v>
      </c>
      <c r="E16" s="15">
        <f t="shared" si="15"/>
        <v>2.7</v>
      </c>
      <c r="F16" s="16">
        <f>IF(AB16&gt;0, VLOOKUP(B16,Model!$A$40:$B$60, 2), 0)</f>
        <v>300</v>
      </c>
      <c r="G16" s="15">
        <f>IF(AB16&gt;0, VLOOKUP(B16,Model!$A$39:$C$58, 3), 0)</f>
        <v>0</v>
      </c>
      <c r="H16" s="15">
        <f t="shared" si="0"/>
        <v>0</v>
      </c>
      <c r="I16" s="45">
        <f>Model!$B$21*EXP((-0.029*9.81*F16)/(8.31*(273+J16)))</f>
        <v>100357.4491247143</v>
      </c>
      <c r="J16" s="15">
        <f>IF(Model!$B$31="Summer",  IF(F16&lt;=2000,  Model!$B$20-Model!$B$35*F16/1000,  IF(F16&lt;Model!$B$36,  Model!$B$33-6.5*F16/1000,  Model!$B$38)),     IF(F16&lt;=2000,  Model!$B$20-Model!$B$35*F16/1000,  IF(F16&lt;Model!$B$36,  Model!$B$33-5.4*F16/1000,   Model!$B$38)))</f>
        <v>-19.088750000000001</v>
      </c>
      <c r="K16" s="15">
        <f t="shared" si="1"/>
        <v>253.91125</v>
      </c>
      <c r="L16" s="45">
        <f>IF(AB15-AA15*(B16-B15)&gt;0, L15-Y15*(B16-B15)*3600-AD16*Model!$B$16, 0)</f>
        <v>1798.2546551218604</v>
      </c>
      <c r="M16" s="56">
        <f t="shared" si="2"/>
        <v>106.29680574569176</v>
      </c>
      <c r="N16" s="56">
        <f>Model!$B$13*I16*K16/(Model!$B$13*I16-L16*287*K16)</f>
        <v>379.29680574569176</v>
      </c>
      <c r="O16" s="56">
        <f t="shared" si="3"/>
        <v>316.6040278728459</v>
      </c>
      <c r="P16" s="56">
        <f t="shared" si="4"/>
        <v>43.604027872845876</v>
      </c>
      <c r="Q16" s="62">
        <f t="shared" si="5"/>
        <v>2.709588597897206E-2</v>
      </c>
      <c r="R16" s="33">
        <f t="shared" si="6"/>
        <v>1.8134818898775975E-5</v>
      </c>
      <c r="S16" s="45">
        <f>0.37*Model!$B$10*(Q16^2*(N16-K16)*I16/(R16*O16^2))^0.33333*(N16-K16)</f>
        <v>963835.67857498664</v>
      </c>
      <c r="T16" s="50">
        <f>Model!$B$32+(90-Model!$B$6)*SIN(RADIANS(-15*(E16+6)))</f>
        <v>-33.48494385698541</v>
      </c>
      <c r="U16" s="45">
        <f t="shared" si="7"/>
        <v>0</v>
      </c>
      <c r="V16" s="50">
        <f t="shared" si="8"/>
        <v>99999</v>
      </c>
      <c r="W16" s="45">
        <f t="shared" si="9"/>
        <v>0</v>
      </c>
      <c r="X16" s="45">
        <f>0.3*W16*Model!$B$9</f>
        <v>0</v>
      </c>
      <c r="Y16" s="33">
        <f>(S16-X16)/Model!$B$11</f>
        <v>2.0676513538023956E-2</v>
      </c>
      <c r="Z16" s="45">
        <f t="shared" si="10"/>
        <v>0</v>
      </c>
      <c r="AA16" s="56">
        <f>Y16/Model!$B$12*3600</f>
        <v>133.87068699588372</v>
      </c>
      <c r="AB16" s="50">
        <f t="shared" si="16"/>
        <v>1703.618821315338</v>
      </c>
      <c r="AC16" s="50">
        <f t="shared" si="17"/>
        <v>96.381178684662018</v>
      </c>
      <c r="AD16" s="15">
        <f>IF(AE16=0, Model!$B$19, 0 )</f>
        <v>0</v>
      </c>
      <c r="AE16" s="50">
        <f>IF(AE15+AB15-AB16&lt;Model!$B$19*Model!$B$18, AE15+AB15-AB16,  0)</f>
        <v>96.381178684662018</v>
      </c>
      <c r="AF16" s="15">
        <f t="shared" si="11"/>
        <v>0.70000000000000007</v>
      </c>
      <c r="AG16" s="50">
        <f t="shared" si="12"/>
        <v>0</v>
      </c>
    </row>
    <row r="17" spans="2:33" x14ac:dyDescent="0.25">
      <c r="B17" s="13">
        <f t="shared" si="13"/>
        <v>0.75000000000000011</v>
      </c>
      <c r="C17" s="13">
        <f>B17+Model!$B$4</f>
        <v>2.75</v>
      </c>
      <c r="D17" s="13">
        <f t="shared" si="14"/>
        <v>1</v>
      </c>
      <c r="E17" s="13">
        <f t="shared" si="15"/>
        <v>2.75</v>
      </c>
      <c r="F17" s="14">
        <f>IF(AB17&gt;0, VLOOKUP(B17,Model!$A$40:$B$60, 2), 0)</f>
        <v>300</v>
      </c>
      <c r="G17" s="13">
        <f>IF(AB17&gt;0, VLOOKUP(B17,Model!$A$39:$C$58, 3), 0)</f>
        <v>0</v>
      </c>
      <c r="H17" s="13">
        <f t="shared" si="0"/>
        <v>0</v>
      </c>
      <c r="I17" s="46">
        <f>Model!$B$21*EXP((-0.029*9.81*F17)/(8.31*(273+J17)))</f>
        <v>100357.4491247143</v>
      </c>
      <c r="J17" s="13">
        <f>IF(Model!$B$31="Summer",  IF(F17&lt;=2000,  Model!$B$20-Model!$B$35*F17/1000,  IF(F17&lt;Model!$B$36,  Model!$B$33-6.5*F17/1000,  Model!$B$38)),     IF(F17&lt;=2000,  Model!$B$20-Model!$B$35*F17/1000,  IF(F17&lt;Model!$B$36,  Model!$B$33-5.4*F17/1000,   Model!$B$38)))</f>
        <v>-19.088750000000001</v>
      </c>
      <c r="K17" s="13">
        <f t="shared" si="1"/>
        <v>253.91125</v>
      </c>
      <c r="L17" s="46">
        <f>IF(AB16-AA16*(B17-B16)&gt;0, L16-Y16*(B17-B16)*3600-AD17*Model!$B$16, 0)</f>
        <v>1794.5328826850161</v>
      </c>
      <c r="M17" s="57">
        <f t="shared" si="2"/>
        <v>105.90954833518924</v>
      </c>
      <c r="N17" s="57">
        <f>Model!$B$13*I17*K17/(Model!$B$13*I17-L17*287*K17)</f>
        <v>378.90954833518924</v>
      </c>
      <c r="O17" s="57">
        <f t="shared" si="3"/>
        <v>316.41039916759462</v>
      </c>
      <c r="P17" s="57">
        <f t="shared" si="4"/>
        <v>43.410399167594619</v>
      </c>
      <c r="Q17" s="63">
        <f t="shared" si="5"/>
        <v>2.7082138340899217E-2</v>
      </c>
      <c r="R17" s="17">
        <f t="shared" si="6"/>
        <v>1.811468151342984E-5</v>
      </c>
      <c r="S17" s="46">
        <f>0.37*Model!$B$10*(Q17^2*(N17-K17)*I17/(R17*O17^2))^0.33333*(N17-K17)</f>
        <v>960290.91203600098</v>
      </c>
      <c r="T17" s="51">
        <f>Model!$B$32+(90-Model!$B$6)*SIN(RADIANS(-15*(E17+6)))</f>
        <v>-33.185128322748533</v>
      </c>
      <c r="U17" s="46">
        <f t="shared" si="7"/>
        <v>0</v>
      </c>
      <c r="V17" s="51">
        <f t="shared" si="8"/>
        <v>99999</v>
      </c>
      <c r="W17" s="46">
        <f t="shared" si="9"/>
        <v>0</v>
      </c>
      <c r="X17" s="46">
        <f>0.3*W17*Model!$B$9</f>
        <v>0</v>
      </c>
      <c r="Y17" s="17">
        <f>(S17-X17)/Model!$B$11</f>
        <v>2.0600470064056655E-2</v>
      </c>
      <c r="Z17" s="46">
        <f t="shared" si="10"/>
        <v>0</v>
      </c>
      <c r="AA17" s="57">
        <f>Y17/Model!$B$12*3600</f>
        <v>133.37834131667452</v>
      </c>
      <c r="AB17" s="51">
        <f t="shared" si="16"/>
        <v>1696.9252869655438</v>
      </c>
      <c r="AC17" s="51">
        <f t="shared" si="17"/>
        <v>103.07471303445618</v>
      </c>
      <c r="AD17" s="13">
        <f>IF(AE17=0, Model!$B$19, 0 )</f>
        <v>0</v>
      </c>
      <c r="AE17" s="51">
        <f>IF(AE16+AB16-AB17&lt;Model!$B$19*Model!$B$18, AE16+AB16-AB17,  0)</f>
        <v>103.07471303445618</v>
      </c>
      <c r="AF17" s="13">
        <f t="shared" si="11"/>
        <v>0.75000000000000011</v>
      </c>
      <c r="AG17" s="50">
        <f t="shared" si="12"/>
        <v>0</v>
      </c>
    </row>
    <row r="18" spans="2:33" x14ac:dyDescent="0.25">
      <c r="B18" s="15">
        <f t="shared" si="13"/>
        <v>0.80000000000000016</v>
      </c>
      <c r="C18" s="15">
        <f>B18+Model!$B$4</f>
        <v>2.8000000000000003</v>
      </c>
      <c r="D18" s="15">
        <f t="shared" si="14"/>
        <v>1</v>
      </c>
      <c r="E18" s="15">
        <f t="shared" si="15"/>
        <v>2.8000000000000003</v>
      </c>
      <c r="F18" s="16">
        <f>IF(AB18&gt;0, VLOOKUP(B18,Model!$A$40:$B$60, 2), 0)</f>
        <v>300</v>
      </c>
      <c r="G18" s="15">
        <f>IF(AB18&gt;0, VLOOKUP(B18,Model!$A$39:$C$58, 3), 0)</f>
        <v>0</v>
      </c>
      <c r="H18" s="15">
        <f t="shared" si="0"/>
        <v>0</v>
      </c>
      <c r="I18" s="45">
        <f>Model!$B$21*EXP((-0.029*9.81*F18)/(8.31*(273+J18)))</f>
        <v>100357.4491247143</v>
      </c>
      <c r="J18" s="15">
        <f>IF(Model!$B$31="Summer",  IF(F18&lt;=2000,  Model!$B$20-Model!$B$35*F18/1000,  IF(F18&lt;Model!$B$36,  Model!$B$33-6.5*F18/1000,  Model!$B$38)),     IF(F18&lt;=2000,  Model!$B$20-Model!$B$35*F18/1000,  IF(F18&lt;Model!$B$36,  Model!$B$33-5.4*F18/1000,   Model!$B$38)))</f>
        <v>-19.088750000000001</v>
      </c>
      <c r="K18" s="15">
        <f t="shared" si="1"/>
        <v>253.91125</v>
      </c>
      <c r="L18" s="45">
        <f>IF(AB17-AA17*(B18-B17)&gt;0, L17-Y17*(B18-B17)*3600-AD18*Model!$B$16, 0)</f>
        <v>1790.8247980734859</v>
      </c>
      <c r="M18" s="56">
        <f t="shared" si="2"/>
        <v>105.52450078258289</v>
      </c>
      <c r="N18" s="56">
        <f>Model!$B$13*I18*K18/(Model!$B$13*I18-L18*287*K18)</f>
        <v>378.52450078258289</v>
      </c>
      <c r="O18" s="56">
        <f t="shared" si="3"/>
        <v>316.21787539129144</v>
      </c>
      <c r="P18" s="56">
        <f t="shared" si="4"/>
        <v>43.217875391291443</v>
      </c>
      <c r="Q18" s="62">
        <f t="shared" si="5"/>
        <v>2.7068469152781691E-2</v>
      </c>
      <c r="R18" s="33">
        <f t="shared" si="6"/>
        <v>1.8094659040694308E-5</v>
      </c>
      <c r="S18" s="45">
        <f>0.37*Model!$B$10*(Q18^2*(N18-K18)*I18/(R18*O18^2))^0.33333*(N18-K18)</f>
        <v>956767.62390950928</v>
      </c>
      <c r="T18" s="50">
        <f>Model!$B$32+(90-Model!$B$6)*SIN(RADIANS(-15*(E18+6)))</f>
        <v>-32.880803952693121</v>
      </c>
      <c r="U18" s="45">
        <f t="shared" si="7"/>
        <v>0</v>
      </c>
      <c r="V18" s="50">
        <f t="shared" si="8"/>
        <v>99999</v>
      </c>
      <c r="W18" s="45">
        <f t="shared" si="9"/>
        <v>0</v>
      </c>
      <c r="X18" s="45">
        <f>0.3*W18*Model!$B$9</f>
        <v>0</v>
      </c>
      <c r="Y18" s="33">
        <f>(S18-X18)/Model!$B$11</f>
        <v>2.0524887351914819E-2</v>
      </c>
      <c r="Z18" s="45">
        <f t="shared" si="10"/>
        <v>0</v>
      </c>
      <c r="AA18" s="56">
        <f>Y18/Model!$B$12*3600</f>
        <v>132.888978853277</v>
      </c>
      <c r="AB18" s="50">
        <f t="shared" si="16"/>
        <v>1690.2563698997101</v>
      </c>
      <c r="AC18" s="50">
        <f t="shared" si="17"/>
        <v>109.74363010028992</v>
      </c>
      <c r="AD18" s="15">
        <f>IF(AE18=0, Model!$B$19, 0 )</f>
        <v>0</v>
      </c>
      <c r="AE18" s="50">
        <f>IF(AE17+AB17-AB18&lt;Model!$B$19*Model!$B$18, AE17+AB17-AB18,  0)</f>
        <v>109.74363010028992</v>
      </c>
      <c r="AF18" s="15">
        <f t="shared" si="11"/>
        <v>0.80000000000000016</v>
      </c>
      <c r="AG18" s="50">
        <f t="shared" si="12"/>
        <v>0</v>
      </c>
    </row>
    <row r="19" spans="2:33" x14ac:dyDescent="0.25">
      <c r="B19" s="13">
        <f t="shared" si="13"/>
        <v>0.8500000000000002</v>
      </c>
      <c r="C19" s="13">
        <f>B19+Model!$B$4</f>
        <v>2.85</v>
      </c>
      <c r="D19" s="13">
        <f t="shared" si="14"/>
        <v>1</v>
      </c>
      <c r="E19" s="13">
        <f t="shared" si="15"/>
        <v>2.85</v>
      </c>
      <c r="F19" s="14">
        <f>IF(AB19&gt;0, VLOOKUP(B19,Model!$A$40:$B$60, 2), 0)</f>
        <v>300</v>
      </c>
      <c r="G19" s="13">
        <f>IF(AB19&gt;0, VLOOKUP(B19,Model!$A$39:$C$58, 3), 0)</f>
        <v>0</v>
      </c>
      <c r="H19" s="13">
        <f t="shared" si="0"/>
        <v>0</v>
      </c>
      <c r="I19" s="46">
        <f>Model!$B$21*EXP((-0.029*9.81*F19)/(8.31*(273+J19)))</f>
        <v>100357.4491247143</v>
      </c>
      <c r="J19" s="13">
        <f>IF(Model!$B$31="Summer",  IF(F19&lt;=2000,  Model!$B$20-Model!$B$35*F19/1000,  IF(F19&lt;Model!$B$36,  Model!$B$33-6.5*F19/1000,  Model!$B$38)),     IF(F19&lt;=2000,  Model!$B$20-Model!$B$35*F19/1000,  IF(F19&lt;Model!$B$36,  Model!$B$33-5.4*F19/1000,   Model!$B$38)))</f>
        <v>-19.088750000000001</v>
      </c>
      <c r="K19" s="13">
        <f t="shared" si="1"/>
        <v>253.91125</v>
      </c>
      <c r="L19" s="46">
        <f>IF(AB18-AA18*(B19-B18)&gt;0, L18-Y18*(B19-B18)*3600-AD19*Model!$B$16, 0)</f>
        <v>1787.1303183501414</v>
      </c>
      <c r="M19" s="57">
        <f t="shared" si="2"/>
        <v>105.14164344295096</v>
      </c>
      <c r="N19" s="57">
        <f>Model!$B$13*I19*K19/(Model!$B$13*I19-L19*287*K19)</f>
        <v>378.14164344295096</v>
      </c>
      <c r="O19" s="57">
        <f t="shared" si="3"/>
        <v>316.02644672147551</v>
      </c>
      <c r="P19" s="57">
        <f t="shared" si="4"/>
        <v>43.02644672147548</v>
      </c>
      <c r="Q19" s="63">
        <f t="shared" si="5"/>
        <v>2.7054877717224764E-2</v>
      </c>
      <c r="R19" s="17">
        <f t="shared" si="6"/>
        <v>1.8074750459033451E-5</v>
      </c>
      <c r="S19" s="46">
        <f>0.37*Model!$B$10*(Q19^2*(N19-K19)*I19/(R19*O19^2))^0.33333*(N19-K19)</f>
        <v>953265.62034723593</v>
      </c>
      <c r="T19" s="51">
        <f>Model!$B$32+(90-Model!$B$6)*SIN(RADIANS(-15*(E19+6)))</f>
        <v>-32.572022891233317</v>
      </c>
      <c r="U19" s="46">
        <f t="shared" si="7"/>
        <v>0</v>
      </c>
      <c r="V19" s="51">
        <f t="shared" si="8"/>
        <v>99999</v>
      </c>
      <c r="W19" s="46">
        <f t="shared" si="9"/>
        <v>0</v>
      </c>
      <c r="X19" s="46">
        <f>0.3*W19*Model!$B$9</f>
        <v>0</v>
      </c>
      <c r="Y19" s="17">
        <f>(S19-X19)/Model!$B$11</f>
        <v>2.0449761243102778E-2</v>
      </c>
      <c r="Z19" s="46">
        <f t="shared" si="10"/>
        <v>0</v>
      </c>
      <c r="AA19" s="57">
        <f>Y19/Model!$B$12*3600</f>
        <v>132.40257268139021</v>
      </c>
      <c r="AB19" s="51">
        <f t="shared" si="16"/>
        <v>1683.6119209570463</v>
      </c>
      <c r="AC19" s="51">
        <f t="shared" si="17"/>
        <v>116.38807904295368</v>
      </c>
      <c r="AD19" s="13">
        <f>IF(AE19=0, Model!$B$19, 0 )</f>
        <v>0</v>
      </c>
      <c r="AE19" s="51">
        <f>IF(AE18+AB18-AB19&lt;Model!$B$19*Model!$B$18, AE18+AB18-AB19,  0)</f>
        <v>116.38807904295368</v>
      </c>
      <c r="AF19" s="13">
        <f t="shared" si="11"/>
        <v>0.8500000000000002</v>
      </c>
      <c r="AG19" s="50">
        <f t="shared" si="12"/>
        <v>0</v>
      </c>
    </row>
    <row r="20" spans="2:33" x14ac:dyDescent="0.25">
      <c r="B20" s="15">
        <f t="shared" si="13"/>
        <v>0.90000000000000024</v>
      </c>
      <c r="C20" s="15">
        <f>B20+Model!$B$4</f>
        <v>2.9000000000000004</v>
      </c>
      <c r="D20" s="15">
        <f t="shared" si="14"/>
        <v>1</v>
      </c>
      <c r="E20" s="15">
        <f t="shared" si="15"/>
        <v>2.9000000000000004</v>
      </c>
      <c r="F20" s="16">
        <f>IF(AB20&gt;0, VLOOKUP(B20,Model!$A$40:$B$60, 2), 0)</f>
        <v>300</v>
      </c>
      <c r="G20" s="15">
        <f>IF(AB20&gt;0, VLOOKUP(B20,Model!$A$39:$C$58, 3), 0)</f>
        <v>0</v>
      </c>
      <c r="H20" s="15">
        <f t="shared" si="0"/>
        <v>0</v>
      </c>
      <c r="I20" s="45">
        <f>Model!$B$21*EXP((-0.029*9.81*F20)/(8.31*(273+J20)))</f>
        <v>100357.4491247143</v>
      </c>
      <c r="J20" s="15">
        <f>IF(Model!$B$31="Summer",  IF(F20&lt;=2000,  Model!$B$20-Model!$B$35*F20/1000,  IF(F20&lt;Model!$B$36,  Model!$B$33-6.5*F20/1000,  Model!$B$38)),     IF(F20&lt;=2000,  Model!$B$20-Model!$B$35*F20/1000,  IF(F20&lt;Model!$B$36,  Model!$B$33-5.4*F20/1000,   Model!$B$38)))</f>
        <v>-19.088750000000001</v>
      </c>
      <c r="K20" s="15">
        <f t="shared" si="1"/>
        <v>253.91125</v>
      </c>
      <c r="L20" s="45">
        <f>IF(AB19-AA19*(B20-B19)&gt;0, L19-Y19*(B20-B19)*3600-AD20*Model!$B$16, 0)</f>
        <v>1783.4493613263828</v>
      </c>
      <c r="M20" s="56">
        <f t="shared" si="2"/>
        <v>104.76095691198708</v>
      </c>
      <c r="N20" s="56">
        <f>Model!$B$13*I20*K20/(Model!$B$13*I20-L20*287*K20)</f>
        <v>377.76095691198708</v>
      </c>
      <c r="O20" s="56">
        <f t="shared" si="3"/>
        <v>315.83610345599357</v>
      </c>
      <c r="P20" s="56">
        <f t="shared" si="4"/>
        <v>42.836103455993538</v>
      </c>
      <c r="Q20" s="62">
        <f t="shared" si="5"/>
        <v>2.7041363345375543E-2</v>
      </c>
      <c r="R20" s="33">
        <f t="shared" si="6"/>
        <v>1.805495475942333E-5</v>
      </c>
      <c r="S20" s="45">
        <f>0.37*Model!$B$10*(Q20^2*(N20-K20)*I20/(R20*O20^2))^0.33333*(N20-K20)</f>
        <v>949784.70987960929</v>
      </c>
      <c r="T20" s="50">
        <f>Model!$B$32+(90-Model!$B$6)*SIN(RADIANS(-15*(E20+6)))</f>
        <v>-32.258838046414397</v>
      </c>
      <c r="U20" s="45">
        <f t="shared" si="7"/>
        <v>0</v>
      </c>
      <c r="V20" s="50">
        <f t="shared" si="8"/>
        <v>99999</v>
      </c>
      <c r="W20" s="45">
        <f t="shared" si="9"/>
        <v>0</v>
      </c>
      <c r="X20" s="45">
        <f>0.3*W20*Model!$B$9</f>
        <v>0</v>
      </c>
      <c r="Y20" s="33">
        <f>(S20-X20)/Model!$B$11</f>
        <v>2.0375087630153582E-2</v>
      </c>
      <c r="Z20" s="45">
        <f t="shared" si="10"/>
        <v>0</v>
      </c>
      <c r="AA20" s="56">
        <f>Y20/Model!$B$12*3600</f>
        <v>131.91909620710021</v>
      </c>
      <c r="AB20" s="50">
        <f t="shared" si="16"/>
        <v>1676.9917923229768</v>
      </c>
      <c r="AC20" s="50">
        <f t="shared" si="17"/>
        <v>123.00820767702317</v>
      </c>
      <c r="AD20" s="15">
        <f>IF(AE20=0, Model!$B$19, 0 )</f>
        <v>0</v>
      </c>
      <c r="AE20" s="50">
        <f>IF(AE19+AB19-AB20&lt;Model!$B$19*Model!$B$18, AE19+AB19-AB20,  0)</f>
        <v>123.00820767702317</v>
      </c>
      <c r="AF20" s="15">
        <f t="shared" si="11"/>
        <v>0.90000000000000024</v>
      </c>
      <c r="AG20" s="50">
        <f t="shared" si="12"/>
        <v>0</v>
      </c>
    </row>
    <row r="21" spans="2:33" x14ac:dyDescent="0.25">
      <c r="B21" s="13">
        <f t="shared" si="13"/>
        <v>0.95000000000000029</v>
      </c>
      <c r="C21" s="13">
        <f>B21+Model!$B$4</f>
        <v>2.95</v>
      </c>
      <c r="D21" s="13">
        <f t="shared" si="14"/>
        <v>1</v>
      </c>
      <c r="E21" s="13">
        <f t="shared" si="15"/>
        <v>2.95</v>
      </c>
      <c r="F21" s="14">
        <f>IF(AB21&gt;0, VLOOKUP(B21,Model!$A$40:$B$60, 2), 0)</f>
        <v>300</v>
      </c>
      <c r="G21" s="13">
        <f>IF(AB21&gt;0, VLOOKUP(B21,Model!$A$39:$C$58, 3), 0)</f>
        <v>0</v>
      </c>
      <c r="H21" s="13">
        <f t="shared" si="0"/>
        <v>0</v>
      </c>
      <c r="I21" s="46">
        <f>Model!$B$21*EXP((-0.029*9.81*F21)/(8.31*(273+J21)))</f>
        <v>100357.4491247143</v>
      </c>
      <c r="J21" s="13">
        <f>IF(Model!$B$31="Summer",  IF(F21&lt;=2000,  Model!$B$20-Model!$B$35*F21/1000,  IF(F21&lt;Model!$B$36,  Model!$B$33-6.5*F21/1000,  Model!$B$38)),     IF(F21&lt;=2000,  Model!$B$20-Model!$B$35*F21/1000,  IF(F21&lt;Model!$B$36,  Model!$B$33-5.4*F21/1000,   Model!$B$38)))</f>
        <v>-19.088750000000001</v>
      </c>
      <c r="K21" s="13">
        <f t="shared" si="1"/>
        <v>253.91125</v>
      </c>
      <c r="L21" s="46">
        <f>IF(AB20-AA20*(B21-B20)&gt;0, L20-Y20*(B21-B20)*3600-AD21*Model!$B$16, 0)</f>
        <v>1779.7818455529552</v>
      </c>
      <c r="M21" s="57">
        <f t="shared" si="2"/>
        <v>104.38242202223915</v>
      </c>
      <c r="N21" s="57">
        <f>Model!$B$13*I21*K21/(Model!$B$13*I21-L21*287*K21)</f>
        <v>377.38242202223915</v>
      </c>
      <c r="O21" s="57">
        <f t="shared" si="3"/>
        <v>315.6468360111196</v>
      </c>
      <c r="P21" s="57">
        <f t="shared" si="4"/>
        <v>42.646836011119575</v>
      </c>
      <c r="Q21" s="63">
        <f t="shared" si="5"/>
        <v>2.7027925356789492E-2</v>
      </c>
      <c r="R21" s="17">
        <f t="shared" si="6"/>
        <v>1.8035270945156437E-5</v>
      </c>
      <c r="S21" s="46">
        <f>0.37*Model!$B$10*(Q21^2*(N21-K21)*I21/(R21*O21^2))^0.33333*(N21-K21)</f>
        <v>946324.70337863872</v>
      </c>
      <c r="T21" s="51">
        <f>Model!$B$32+(90-Model!$B$6)*SIN(RADIANS(-15*(E21+6)))</f>
        <v>-31.941303080847227</v>
      </c>
      <c r="U21" s="46">
        <f t="shared" si="7"/>
        <v>0</v>
      </c>
      <c r="V21" s="51">
        <f t="shared" si="8"/>
        <v>99999</v>
      </c>
      <c r="W21" s="46">
        <f t="shared" si="9"/>
        <v>0</v>
      </c>
      <c r="X21" s="46">
        <f>0.3*W21*Model!$B$9</f>
        <v>0</v>
      </c>
      <c r="Y21" s="17">
        <f>(S21-X21)/Model!$B$11</f>
        <v>2.0300862455832645E-2</v>
      </c>
      <c r="Z21" s="46">
        <f t="shared" si="10"/>
        <v>0</v>
      </c>
      <c r="AA21" s="57">
        <f>Y21/Model!$B$12*3600</f>
        <v>131.43852316172388</v>
      </c>
      <c r="AB21" s="51">
        <f t="shared" si="16"/>
        <v>1670.3958375126217</v>
      </c>
      <c r="AC21" s="51">
        <f t="shared" si="17"/>
        <v>129.60416248737829</v>
      </c>
      <c r="AD21" s="13">
        <f>IF(AE21=0, Model!$B$19, 0 )</f>
        <v>0</v>
      </c>
      <c r="AE21" s="51">
        <f>IF(AE20+AB20-AB21&lt;Model!$B$19*Model!$B$18, AE20+AB20-AB21,  0)</f>
        <v>129.60416248737829</v>
      </c>
      <c r="AF21" s="13">
        <f t="shared" si="11"/>
        <v>0.95000000000000029</v>
      </c>
      <c r="AG21" s="50">
        <f t="shared" si="12"/>
        <v>0</v>
      </c>
    </row>
    <row r="22" spans="2:33" x14ac:dyDescent="0.25">
      <c r="B22" s="15">
        <f t="shared" si="13"/>
        <v>1.0000000000000002</v>
      </c>
      <c r="C22" s="15">
        <f>B22+Model!$B$4</f>
        <v>3</v>
      </c>
      <c r="D22" s="15">
        <f t="shared" si="14"/>
        <v>1</v>
      </c>
      <c r="E22" s="15">
        <f t="shared" si="15"/>
        <v>3</v>
      </c>
      <c r="F22" s="16">
        <f>IF(AB22&gt;0, VLOOKUP(B22,Model!$A$40:$B$60, 2), 0)</f>
        <v>300</v>
      </c>
      <c r="G22" s="15">
        <f>IF(AB22&gt;0, VLOOKUP(B22,Model!$A$39:$C$58, 3), 0)</f>
        <v>0</v>
      </c>
      <c r="H22" s="15">
        <f t="shared" si="0"/>
        <v>0</v>
      </c>
      <c r="I22" s="45">
        <f>Model!$B$21*EXP((-0.029*9.81*F22)/(8.31*(273+J22)))</f>
        <v>100357.4491247143</v>
      </c>
      <c r="J22" s="15">
        <f>IF(Model!$B$31="Summer",  IF(F22&lt;=2000,  Model!$B$20-Model!$B$35*F22/1000,  IF(F22&lt;Model!$B$36,  Model!$B$33-6.5*F22/1000,  Model!$B$38)),     IF(F22&lt;=2000,  Model!$B$20-Model!$B$35*F22/1000,  IF(F22&lt;Model!$B$36,  Model!$B$33-5.4*F22/1000,   Model!$B$38)))</f>
        <v>-19.088750000000001</v>
      </c>
      <c r="K22" s="15">
        <f t="shared" si="1"/>
        <v>253.91125</v>
      </c>
      <c r="L22" s="45">
        <f>IF(AB21-AA21*(B22-B21)&gt;0, L21-Y21*(B22-B21)*3600-AD22*Model!$B$16, 0)</f>
        <v>1776.1276903109053</v>
      </c>
      <c r="M22" s="56">
        <f t="shared" si="2"/>
        <v>104.00601983941863</v>
      </c>
      <c r="N22" s="56">
        <f>Model!$B$13*I22*K22/(Model!$B$13*I22-L22*287*K22)</f>
        <v>377.00601983941863</v>
      </c>
      <c r="O22" s="56">
        <f t="shared" si="3"/>
        <v>315.45863491970931</v>
      </c>
      <c r="P22" s="56">
        <f t="shared" si="4"/>
        <v>42.458634919709311</v>
      </c>
      <c r="Q22" s="62">
        <f t="shared" si="5"/>
        <v>2.7014563079299361E-2</v>
      </c>
      <c r="R22" s="33">
        <f t="shared" si="6"/>
        <v>1.8015698031649768E-5</v>
      </c>
      <c r="S22" s="45">
        <f>0.37*Model!$B$10*(Q22^2*(N22-K22)*I22/(R22*O22^2))^0.33333*(N22-K22)</f>
        <v>942885.41402147932</v>
      </c>
      <c r="T22" s="50">
        <f>Model!$B$32+(90-Model!$B$6)*SIN(RADIANS(-15*(E22+6)))</f>
        <v>-31.619472402513487</v>
      </c>
      <c r="U22" s="45">
        <f t="shared" si="7"/>
        <v>0</v>
      </c>
      <c r="V22" s="50">
        <f t="shared" si="8"/>
        <v>99999</v>
      </c>
      <c r="W22" s="45">
        <f t="shared" si="9"/>
        <v>0</v>
      </c>
      <c r="X22" s="45">
        <f>0.3*W22*Model!$B$9</f>
        <v>0</v>
      </c>
      <c r="Y22" s="33">
        <f>(S22-X22)/Model!$B$11</f>
        <v>2.0227081712356095E-2</v>
      </c>
      <c r="Z22" s="45">
        <f t="shared" si="10"/>
        <v>0</v>
      </c>
      <c r="AA22" s="56">
        <f>Y22/Model!$B$12*3600</f>
        <v>130.96082759674823</v>
      </c>
      <c r="AB22" s="50">
        <f t="shared" si="16"/>
        <v>1663.8239113545355</v>
      </c>
      <c r="AC22" s="50">
        <f t="shared" si="17"/>
        <v>136.17608864546446</v>
      </c>
      <c r="AD22" s="15">
        <f>IF(AE22=0, Model!$B$19, 0 )</f>
        <v>0</v>
      </c>
      <c r="AE22" s="50">
        <f>IF(AE21+AB21-AB22&lt;Model!$B$19*Model!$B$18, AE21+AB21-AB22,  0)</f>
        <v>136.17608864546446</v>
      </c>
      <c r="AF22" s="15">
        <f t="shared" si="11"/>
        <v>1.0000000000000002</v>
      </c>
      <c r="AG22" s="50">
        <f t="shared" si="12"/>
        <v>0</v>
      </c>
    </row>
    <row r="23" spans="2:33" x14ac:dyDescent="0.25">
      <c r="B23" s="13">
        <f t="shared" si="13"/>
        <v>1.0500000000000003</v>
      </c>
      <c r="C23" s="13">
        <f>B23+Model!$B$4</f>
        <v>3.0500000000000003</v>
      </c>
      <c r="D23" s="13">
        <f t="shared" si="14"/>
        <v>1</v>
      </c>
      <c r="E23" s="13">
        <f t="shared" si="15"/>
        <v>3.0500000000000003</v>
      </c>
      <c r="F23" s="14">
        <f>IF(AB23&gt;0, VLOOKUP(B23,Model!$A$40:$B$60, 2), 0)</f>
        <v>300</v>
      </c>
      <c r="G23" s="13">
        <f>IF(AB23&gt;0, VLOOKUP(B23,Model!$A$39:$C$58, 3), 0)</f>
        <v>0</v>
      </c>
      <c r="H23" s="13">
        <f t="shared" si="0"/>
        <v>0</v>
      </c>
      <c r="I23" s="46">
        <f>Model!$B$21*EXP((-0.029*9.81*F23)/(8.31*(273+J23)))</f>
        <v>100357.4491247143</v>
      </c>
      <c r="J23" s="13">
        <f>IF(Model!$B$31="Summer",  IF(F23&lt;=2000,  Model!$B$20-Model!$B$35*F23/1000,  IF(F23&lt;Model!$B$36,  Model!$B$33-6.5*F23/1000,  Model!$B$38)),     IF(F23&lt;=2000,  Model!$B$20-Model!$B$35*F23/1000,  IF(F23&lt;Model!$B$36,  Model!$B$33-5.4*F23/1000,   Model!$B$38)))</f>
        <v>-19.088750000000001</v>
      </c>
      <c r="K23" s="13">
        <f t="shared" si="1"/>
        <v>253.91125</v>
      </c>
      <c r="L23" s="46">
        <f>IF(AB22-AA22*(B23-B22)&gt;0, L22-Y22*(B23-B22)*3600-AD23*Model!$B$16, 0)</f>
        <v>1772.4868156026812</v>
      </c>
      <c r="M23" s="57">
        <f t="shared" si="2"/>
        <v>103.63173165878021</v>
      </c>
      <c r="N23" s="57">
        <f>Model!$B$13*I23*K23/(Model!$B$13*I23-L23*287*K23)</f>
        <v>376.63173165878021</v>
      </c>
      <c r="O23" s="57">
        <f t="shared" si="3"/>
        <v>315.27149082939013</v>
      </c>
      <c r="P23" s="57">
        <f t="shared" si="4"/>
        <v>42.271490829390103</v>
      </c>
      <c r="Q23" s="63">
        <f t="shared" si="5"/>
        <v>2.7001275848886699E-2</v>
      </c>
      <c r="R23" s="17">
        <f t="shared" si="6"/>
        <v>1.7996235046256572E-5</v>
      </c>
      <c r="S23" s="46">
        <f>0.37*Model!$B$10*(Q23^2*(N23-K23)*I23/(R23*O23^2))^0.33333*(N23-K23)</f>
        <v>939466.65725469834</v>
      </c>
      <c r="T23" s="51">
        <f>Model!$B$32+(90-Model!$B$6)*SIN(RADIANS(-15*(E23+6)))</f>
        <v>-31.293401155443132</v>
      </c>
      <c r="U23" s="46">
        <f t="shared" si="7"/>
        <v>0</v>
      </c>
      <c r="V23" s="51">
        <f t="shared" si="8"/>
        <v>99999</v>
      </c>
      <c r="W23" s="46">
        <f t="shared" si="9"/>
        <v>0</v>
      </c>
      <c r="X23" s="46">
        <f>0.3*W23*Model!$B$9</f>
        <v>0</v>
      </c>
      <c r="Y23" s="17">
        <f>(S23-X23)/Model!$B$11</f>
        <v>2.0153741440624227E-2</v>
      </c>
      <c r="Z23" s="46">
        <f t="shared" si="10"/>
        <v>0</v>
      </c>
      <c r="AA23" s="57">
        <f>Y23/Model!$B$12*3600</f>
        <v>130.48598387886736</v>
      </c>
      <c r="AB23" s="51">
        <f t="shared" si="16"/>
        <v>1657.275869974698</v>
      </c>
      <c r="AC23" s="51">
        <f t="shared" si="17"/>
        <v>142.72413002530197</v>
      </c>
      <c r="AD23" s="13">
        <f>IF(AE23=0, Model!$B$19, 0 )</f>
        <v>0</v>
      </c>
      <c r="AE23" s="51">
        <f>IF(AE22+AB22-AB23&lt;Model!$B$19*Model!$B$18, AE22+AB22-AB23,  0)</f>
        <v>142.72413002530197</v>
      </c>
      <c r="AF23" s="13">
        <f t="shared" si="11"/>
        <v>1.0500000000000003</v>
      </c>
      <c r="AG23" s="50">
        <f t="shared" si="12"/>
        <v>0</v>
      </c>
    </row>
    <row r="24" spans="2:33" x14ac:dyDescent="0.25">
      <c r="B24" s="15">
        <f t="shared" si="13"/>
        <v>1.1000000000000003</v>
      </c>
      <c r="C24" s="15">
        <f>B24+Model!$B$4</f>
        <v>3.1000000000000005</v>
      </c>
      <c r="D24" s="15">
        <f t="shared" si="14"/>
        <v>1</v>
      </c>
      <c r="E24" s="15">
        <f t="shared" ref="E24:E34" si="18">C24-24*(D24-1)</f>
        <v>3.1000000000000005</v>
      </c>
      <c r="F24" s="16">
        <f>IF(AB24&gt;0, VLOOKUP(B24,Model!$A$40:$B$60, 2), 0)</f>
        <v>300</v>
      </c>
      <c r="G24" s="15">
        <f>IF(AB24&gt;0, VLOOKUP(B24,Model!$A$39:$C$58, 3), 0)</f>
        <v>0</v>
      </c>
      <c r="H24" s="15">
        <f t="shared" si="0"/>
        <v>0</v>
      </c>
      <c r="I24" s="45">
        <f>Model!$B$21*EXP((-0.029*9.81*F24)/(8.31*(273+J24)))</f>
        <v>100357.4491247143</v>
      </c>
      <c r="J24" s="15">
        <f>IF(Model!$B$31="Summer",  IF(F24&lt;=2000,  Model!$B$20-Model!$B$35*F24/1000,  IF(F24&lt;Model!$B$36,  Model!$B$33-6.5*F24/1000,  Model!$B$38)),     IF(F24&lt;=2000,  Model!$B$20-Model!$B$35*F24/1000,  IF(F24&lt;Model!$B$36,  Model!$B$33-5.4*F24/1000,   Model!$B$38)))</f>
        <v>-19.088750000000001</v>
      </c>
      <c r="K24" s="15">
        <f t="shared" si="1"/>
        <v>253.91125</v>
      </c>
      <c r="L24" s="45">
        <f>IF(AB23-AA23*(B24-B23)&gt;0, L23-Y23*(B24-B23)*3600-AD24*Model!$B$16, 0)</f>
        <v>1768.8591421433689</v>
      </c>
      <c r="M24" s="56">
        <f t="shared" si="2"/>
        <v>103.25953900156992</v>
      </c>
      <c r="N24" s="56">
        <f>Model!$B$13*I24*K24/(Model!$B$13*I24-L24*287*K24)</f>
        <v>376.25953900156992</v>
      </c>
      <c r="O24" s="56">
        <f t="shared" si="3"/>
        <v>315.08539450078496</v>
      </c>
      <c r="P24" s="56">
        <f t="shared" si="4"/>
        <v>42.085394500784957</v>
      </c>
      <c r="Q24" s="62">
        <f t="shared" si="5"/>
        <v>2.6988063009555731E-2</v>
      </c>
      <c r="R24" s="33">
        <f t="shared" si="6"/>
        <v>1.7976881028081634E-5</v>
      </c>
      <c r="S24" s="45">
        <f>0.37*Model!$B$10*(Q24^2*(N24-K24)*I24/(R24*O24^2))^0.33333*(N24-K24)</f>
        <v>936068.25075921032</v>
      </c>
      <c r="T24" s="50">
        <f>Model!$B$32+(90-Model!$B$6)*SIN(RADIANS(-15*(E24+6)))</f>
        <v>-30.963145210265697</v>
      </c>
      <c r="U24" s="45">
        <f t="shared" si="7"/>
        <v>0</v>
      </c>
      <c r="V24" s="50">
        <f t="shared" si="8"/>
        <v>99999</v>
      </c>
      <c r="W24" s="45">
        <f t="shared" si="9"/>
        <v>0</v>
      </c>
      <c r="X24" s="45">
        <f>0.3*W24*Model!$B$9</f>
        <v>0</v>
      </c>
      <c r="Y24" s="33">
        <f>(S24-X24)/Model!$B$11</f>
        <v>2.0080837729469277E-2</v>
      </c>
      <c r="Z24" s="45">
        <f t="shared" si="10"/>
        <v>0</v>
      </c>
      <c r="AA24" s="56">
        <f>Y24/Model!$B$12*3600</f>
        <v>130.013966685112</v>
      </c>
      <c r="AB24" s="50">
        <f t="shared" si="16"/>
        <v>1650.7515707807547</v>
      </c>
      <c r="AC24" s="50">
        <f t="shared" si="17"/>
        <v>149.24842921924528</v>
      </c>
      <c r="AD24" s="15">
        <f>IF(AE24=0, Model!$B$19, 0 )</f>
        <v>0</v>
      </c>
      <c r="AE24" s="50">
        <f>IF(AE23+AB23-AB24&lt;Model!$B$19*Model!$B$18, AE23+AB23-AB24,  0)</f>
        <v>149.24842921924528</v>
      </c>
      <c r="AF24" s="15">
        <f t="shared" si="11"/>
        <v>1.1000000000000003</v>
      </c>
      <c r="AG24" s="50">
        <f t="shared" si="12"/>
        <v>0</v>
      </c>
    </row>
    <row r="25" spans="2:33" x14ac:dyDescent="0.25">
      <c r="B25" s="13">
        <f t="shared" si="13"/>
        <v>1.1500000000000004</v>
      </c>
      <c r="C25" s="13">
        <f>B25+Model!$B$4</f>
        <v>3.1500000000000004</v>
      </c>
      <c r="D25" s="13">
        <f t="shared" si="14"/>
        <v>1</v>
      </c>
      <c r="E25" s="13">
        <f t="shared" si="18"/>
        <v>3.1500000000000004</v>
      </c>
      <c r="F25" s="14">
        <f>IF(AB25&gt;0, VLOOKUP(B25,Model!$A$40:$B$60, 2), 0)</f>
        <v>300</v>
      </c>
      <c r="G25" s="13">
        <f>IF(AB25&gt;0, VLOOKUP(B25,Model!$A$39:$C$58, 3), 0)</f>
        <v>0</v>
      </c>
      <c r="H25" s="13">
        <f t="shared" si="0"/>
        <v>0</v>
      </c>
      <c r="I25" s="46">
        <f>Model!$B$21*EXP((-0.029*9.81*F25)/(8.31*(273+J25)))</f>
        <v>100357.4491247143</v>
      </c>
      <c r="J25" s="13">
        <f>IF(Model!$B$31="Summer",  IF(F25&lt;=2000,  Model!$B$20-Model!$B$35*F25/1000,  IF(F25&lt;Model!$B$36,  Model!$B$33-6.5*F25/1000,  Model!$B$38)),     IF(F25&lt;=2000,  Model!$B$20-Model!$B$35*F25/1000,  IF(F25&lt;Model!$B$36,  Model!$B$33-5.4*F25/1000,   Model!$B$38)))</f>
        <v>-19.088750000000001</v>
      </c>
      <c r="K25" s="13">
        <f t="shared" si="1"/>
        <v>253.91125</v>
      </c>
      <c r="L25" s="46">
        <f>IF(AB24-AA24*(B25-B24)&gt;0, L24-Y24*(B25-B24)*3600-AD25*Model!$B$16, 0)</f>
        <v>1765.2445913520644</v>
      </c>
      <c r="M25" s="57">
        <f t="shared" si="2"/>
        <v>102.88942361153977</v>
      </c>
      <c r="N25" s="57">
        <f>Model!$B$13*I25*K25/(Model!$B$13*I25-L25*287*K25)</f>
        <v>375.88942361153977</v>
      </c>
      <c r="O25" s="57">
        <f t="shared" si="3"/>
        <v>314.90033680576988</v>
      </c>
      <c r="P25" s="57">
        <f t="shared" si="4"/>
        <v>41.900336805769882</v>
      </c>
      <c r="Q25" s="63">
        <f t="shared" si="5"/>
        <v>2.6974923913209662E-2</v>
      </c>
      <c r="R25" s="17">
        <f t="shared" si="6"/>
        <v>1.7957635027800067E-5</v>
      </c>
      <c r="S25" s="46">
        <f>0.37*Model!$B$10*(Q25^2*(N25-K25)*I25/(R25*O25^2))^0.33333*(N25-K25)</f>
        <v>932690.01441586972</v>
      </c>
      <c r="T25" s="51">
        <f>Model!$B$32+(90-Model!$B$6)*SIN(RADIANS(-15*(E25+6)))</f>
        <v>-30.628761154637282</v>
      </c>
      <c r="U25" s="46">
        <f t="shared" si="7"/>
        <v>0</v>
      </c>
      <c r="V25" s="51">
        <f t="shared" si="8"/>
        <v>99999</v>
      </c>
      <c r="W25" s="46">
        <f t="shared" si="9"/>
        <v>0</v>
      </c>
      <c r="X25" s="46">
        <f>0.3*W25*Model!$B$9</f>
        <v>0</v>
      </c>
      <c r="Y25" s="17">
        <f>(S25-X25)/Model!$B$11</f>
        <v>2.0008366714917295E-2</v>
      </c>
      <c r="Z25" s="46">
        <f t="shared" si="10"/>
        <v>0</v>
      </c>
      <c r="AA25" s="57">
        <f>Y25/Model!$B$12*3600</f>
        <v>129.5447509980707</v>
      </c>
      <c r="AB25" s="51">
        <f t="shared" si="16"/>
        <v>1644.2508724464992</v>
      </c>
      <c r="AC25" s="51">
        <f t="shared" si="17"/>
        <v>155.74912755350078</v>
      </c>
      <c r="AD25" s="13">
        <f>IF(AE25=0, Model!$B$19, 0 )</f>
        <v>0</v>
      </c>
      <c r="AE25" s="51">
        <f>IF(AE24+AB24-AB25&lt;Model!$B$19*Model!$B$18, AE24+AB24-AB25,  0)</f>
        <v>155.74912755350078</v>
      </c>
      <c r="AF25" s="13">
        <f t="shared" si="11"/>
        <v>1.1500000000000004</v>
      </c>
      <c r="AG25" s="50">
        <f t="shared" si="12"/>
        <v>0</v>
      </c>
    </row>
    <row r="26" spans="2:33" x14ac:dyDescent="0.25">
      <c r="B26" s="15">
        <f t="shared" si="13"/>
        <v>1.2000000000000004</v>
      </c>
      <c r="C26" s="15">
        <f>B26+Model!$B$4</f>
        <v>3.2</v>
      </c>
      <c r="D26" s="15">
        <f t="shared" si="14"/>
        <v>1</v>
      </c>
      <c r="E26" s="15">
        <f t="shared" si="18"/>
        <v>3.2</v>
      </c>
      <c r="F26" s="16">
        <f>IF(AB26&gt;0, VLOOKUP(B26,Model!$A$40:$B$60, 2), 0)</f>
        <v>300</v>
      </c>
      <c r="G26" s="15">
        <f>IF(AB26&gt;0, VLOOKUP(B26,Model!$A$39:$C$58, 3), 0)</f>
        <v>0</v>
      </c>
      <c r="H26" s="15">
        <f t="shared" si="0"/>
        <v>0</v>
      </c>
      <c r="I26" s="45">
        <f>Model!$B$21*EXP((-0.029*9.81*F26)/(8.31*(273+J26)))</f>
        <v>100357.4491247143</v>
      </c>
      <c r="J26" s="15">
        <f>IF(Model!$B$31="Summer",  IF(F26&lt;=2000,  Model!$B$20-Model!$B$35*F26/1000,  IF(F26&lt;Model!$B$36,  Model!$B$33-6.5*F26/1000,  Model!$B$38)),     IF(F26&lt;=2000,  Model!$B$20-Model!$B$35*F26/1000,  IF(F26&lt;Model!$B$36,  Model!$B$33-5.4*F26/1000,   Model!$B$38)))</f>
        <v>-19.088750000000001</v>
      </c>
      <c r="K26" s="15">
        <f t="shared" si="1"/>
        <v>253.91125</v>
      </c>
      <c r="L26" s="45">
        <f>IF(AB25-AA25*(B26-B25)&gt;0, L25-Y25*(B26-B25)*3600-AD26*Model!$B$16, 0)</f>
        <v>1761.6430853433792</v>
      </c>
      <c r="M26" s="56">
        <f t="shared" si="2"/>
        <v>102.52136745152819</v>
      </c>
      <c r="N26" s="56">
        <f>Model!$B$13*I26*K26/(Model!$B$13*I26-L26*287*K26)</f>
        <v>375.52136745152819</v>
      </c>
      <c r="O26" s="56">
        <f t="shared" si="3"/>
        <v>314.71630872576407</v>
      </c>
      <c r="P26" s="56">
        <f t="shared" si="4"/>
        <v>41.716308725764094</v>
      </c>
      <c r="Q26" s="62">
        <f t="shared" si="5"/>
        <v>2.696185791952925E-2</v>
      </c>
      <c r="R26" s="33">
        <f t="shared" si="6"/>
        <v>1.7938496107479462E-5</v>
      </c>
      <c r="S26" s="45">
        <f>0.37*Model!$B$10*(Q26^2*(N26-K26)*I26/(R26*O26^2))^0.33333*(N26-K26)</f>
        <v>929331.77027170651</v>
      </c>
      <c r="T26" s="50">
        <f>Model!$B$32+(90-Model!$B$6)*SIN(RADIANS(-15*(E26+6)))</f>
        <v>-30.290306283544364</v>
      </c>
      <c r="U26" s="45">
        <f t="shared" si="7"/>
        <v>0</v>
      </c>
      <c r="V26" s="50">
        <f t="shared" si="8"/>
        <v>99999</v>
      </c>
      <c r="W26" s="45">
        <f t="shared" si="9"/>
        <v>0</v>
      </c>
      <c r="X26" s="45">
        <f>0.3*W26*Model!$B$9</f>
        <v>0</v>
      </c>
      <c r="Y26" s="33">
        <f>(S26-X26)/Model!$B$11</f>
        <v>1.9936324579463833E-2</v>
      </c>
      <c r="Z26" s="45">
        <f t="shared" si="10"/>
        <v>0</v>
      </c>
      <c r="AA26" s="56">
        <f>Y26/Model!$B$12*3600</f>
        <v>129.07831210120014</v>
      </c>
      <c r="AB26" s="50">
        <f t="shared" si="16"/>
        <v>1637.7736348965957</v>
      </c>
      <c r="AC26" s="50">
        <f t="shared" si="17"/>
        <v>162.22636510340431</v>
      </c>
      <c r="AD26" s="15">
        <f>IF(AE26=0, Model!$B$19, 0 )</f>
        <v>0</v>
      </c>
      <c r="AE26" s="50">
        <f>IF(AE25+AB25-AB26&lt;Model!$B$19*Model!$B$18, AE25+AB25-AB26,  0)</f>
        <v>162.22636510340431</v>
      </c>
      <c r="AF26" s="15">
        <f t="shared" si="11"/>
        <v>1.2000000000000004</v>
      </c>
      <c r="AG26" s="50">
        <f t="shared" si="12"/>
        <v>0</v>
      </c>
    </row>
    <row r="27" spans="2:33" x14ac:dyDescent="0.25">
      <c r="B27" s="13">
        <f t="shared" si="13"/>
        <v>1.2500000000000004</v>
      </c>
      <c r="C27" s="13">
        <f>B27+Model!$B$4</f>
        <v>3.2500000000000004</v>
      </c>
      <c r="D27" s="13">
        <f t="shared" si="14"/>
        <v>1</v>
      </c>
      <c r="E27" s="13">
        <f t="shared" si="18"/>
        <v>3.2500000000000004</v>
      </c>
      <c r="F27" s="14">
        <f>IF(AB27&gt;0, VLOOKUP(B27,Model!$A$40:$B$60, 2), 0)</f>
        <v>300</v>
      </c>
      <c r="G27" s="13">
        <f>IF(AB27&gt;0, VLOOKUP(B27,Model!$A$39:$C$58, 3), 0)</f>
        <v>0</v>
      </c>
      <c r="H27" s="13">
        <f t="shared" si="0"/>
        <v>0</v>
      </c>
      <c r="I27" s="46">
        <f>Model!$B$21*EXP((-0.029*9.81*F27)/(8.31*(273+J27)))</f>
        <v>100357.4491247143</v>
      </c>
      <c r="J27" s="13">
        <f>IF(Model!$B$31="Summer",  IF(F27&lt;=2000,  Model!$B$20-Model!$B$35*F27/1000,  IF(F27&lt;Model!$B$36,  Model!$B$33-6.5*F27/1000,  Model!$B$38)),     IF(F27&lt;=2000,  Model!$B$20-Model!$B$35*F27/1000,  IF(F27&lt;Model!$B$36,  Model!$B$33-5.4*F27/1000,   Model!$B$38)))</f>
        <v>-19.088750000000001</v>
      </c>
      <c r="K27" s="13">
        <f t="shared" si="1"/>
        <v>253.91125</v>
      </c>
      <c r="L27" s="46">
        <f>IF(AB26-AA26*(B27-B26)&gt;0, L26-Y26*(B27-B26)*3600-AD27*Model!$B$16, 0)</f>
        <v>1758.0545469190756</v>
      </c>
      <c r="M27" s="57">
        <f t="shared" si="2"/>
        <v>102.155352700104</v>
      </c>
      <c r="N27" s="57">
        <f>Model!$B$13*I27*K27/(Model!$B$13*I27-L27*287*K27)</f>
        <v>375.155352700104</v>
      </c>
      <c r="O27" s="57">
        <f t="shared" si="3"/>
        <v>314.533301350052</v>
      </c>
      <c r="P27" s="57">
        <f t="shared" si="4"/>
        <v>41.533301350052</v>
      </c>
      <c r="Q27" s="63">
        <f t="shared" si="5"/>
        <v>2.6948864395853693E-2</v>
      </c>
      <c r="R27" s="17">
        <f t="shared" si="6"/>
        <v>1.7919463340405407E-5</v>
      </c>
      <c r="S27" s="46">
        <f>0.37*Model!$B$10*(Q27^2*(N27-K27)*I27/(R27*O27^2))^0.33333*(N27-K27)</f>
        <v>925993.34250679647</v>
      </c>
      <c r="T27" s="51">
        <f>Model!$B$32+(90-Model!$B$6)*SIN(RADIANS(-15*(E27+6)))</f>
        <v>-29.947838589486736</v>
      </c>
      <c r="U27" s="46">
        <f t="shared" si="7"/>
        <v>0</v>
      </c>
      <c r="V27" s="51">
        <f t="shared" si="8"/>
        <v>99999</v>
      </c>
      <c r="W27" s="46">
        <f t="shared" si="9"/>
        <v>0</v>
      </c>
      <c r="X27" s="46">
        <f>0.3*W27*Model!$B$9</f>
        <v>0</v>
      </c>
      <c r="Y27" s="17">
        <f>(S27-X27)/Model!$B$11</f>
        <v>1.9864707551363218E-2</v>
      </c>
      <c r="Z27" s="46">
        <f t="shared" si="10"/>
        <v>0</v>
      </c>
      <c r="AA27" s="57">
        <f>Y27/Model!$B$12*3600</f>
        <v>128.61462557422342</v>
      </c>
      <c r="AB27" s="51">
        <f t="shared" si="16"/>
        <v>1631.3197192915356</v>
      </c>
      <c r="AC27" s="51">
        <f t="shared" si="17"/>
        <v>168.68028070846435</v>
      </c>
      <c r="AD27" s="13">
        <f>IF(AE27=0, Model!$B$19, 0 )</f>
        <v>0</v>
      </c>
      <c r="AE27" s="51">
        <f>IF(AE26+AB26-AB27&lt;Model!$B$19*Model!$B$18, AE26+AB26-AB27,  0)</f>
        <v>168.68028070846435</v>
      </c>
      <c r="AF27" s="13">
        <f t="shared" si="11"/>
        <v>1.2500000000000004</v>
      </c>
      <c r="AG27" s="50">
        <f t="shared" si="12"/>
        <v>0</v>
      </c>
    </row>
    <row r="28" spans="2:33" x14ac:dyDescent="0.25">
      <c r="B28" s="15">
        <f t="shared" si="13"/>
        <v>1.3000000000000005</v>
      </c>
      <c r="C28" s="15">
        <f>B28+Model!$B$4</f>
        <v>3.3000000000000007</v>
      </c>
      <c r="D28" s="15">
        <f t="shared" si="14"/>
        <v>1</v>
      </c>
      <c r="E28" s="15">
        <f t="shared" si="18"/>
        <v>3.3000000000000007</v>
      </c>
      <c r="F28" s="16">
        <f>IF(AB28&gt;0, VLOOKUP(B28,Model!$A$40:$B$60, 2), 0)</f>
        <v>300</v>
      </c>
      <c r="G28" s="15">
        <f>IF(AB28&gt;0, VLOOKUP(B28,Model!$A$39:$C$58, 3), 0)</f>
        <v>0</v>
      </c>
      <c r="H28" s="15">
        <f t="shared" si="0"/>
        <v>0</v>
      </c>
      <c r="I28" s="45">
        <f>Model!$B$21*EXP((-0.029*9.81*F28)/(8.31*(273+J28)))</f>
        <v>100357.4491247143</v>
      </c>
      <c r="J28" s="15">
        <f>IF(Model!$B$31="Summer",  IF(F28&lt;=2000,  Model!$B$20-Model!$B$35*F28/1000,  IF(F28&lt;Model!$B$36,  Model!$B$33-6.5*F28/1000,  Model!$B$38)),     IF(F28&lt;=2000,  Model!$B$20-Model!$B$35*F28/1000,  IF(F28&lt;Model!$B$36,  Model!$B$33-5.4*F28/1000,   Model!$B$38)))</f>
        <v>-19.088750000000001</v>
      </c>
      <c r="K28" s="15">
        <f t="shared" si="1"/>
        <v>253.91125</v>
      </c>
      <c r="L28" s="45">
        <f>IF(AB27-AA27*(B28-B27)&gt;0, L27-Y27*(B28-B27)*3600-AD28*Model!$B$16, 0)</f>
        <v>1754.4788995598303</v>
      </c>
      <c r="M28" s="56">
        <f t="shared" si="2"/>
        <v>101.79136174827306</v>
      </c>
      <c r="N28" s="56">
        <f>Model!$B$13*I28*K28/(Model!$B$13*I28-L28*287*K28)</f>
        <v>374.79136174827306</v>
      </c>
      <c r="O28" s="56">
        <f t="shared" si="3"/>
        <v>314.35130587413653</v>
      </c>
      <c r="P28" s="56">
        <f t="shared" si="4"/>
        <v>41.351305874136528</v>
      </c>
      <c r="Q28" s="62">
        <f t="shared" si="5"/>
        <v>2.6935942717063694E-2</v>
      </c>
      <c r="R28" s="33">
        <f t="shared" si="6"/>
        <v>1.7900535810910199E-5</v>
      </c>
      <c r="S28" s="45">
        <f>0.37*Model!$B$10*(Q28^2*(N28-K28)*I28/(R28*O28^2))^0.33333*(N28-K28)</f>
        <v>922674.55740174325</v>
      </c>
      <c r="T28" s="50">
        <f>Model!$B$32+(90-Model!$B$6)*SIN(RADIANS(-15*(E28+6)))</f>
        <v>-29.601416752540754</v>
      </c>
      <c r="U28" s="45">
        <f t="shared" si="7"/>
        <v>0</v>
      </c>
      <c r="V28" s="50">
        <f t="shared" si="8"/>
        <v>99999</v>
      </c>
      <c r="W28" s="45">
        <f t="shared" si="9"/>
        <v>0</v>
      </c>
      <c r="X28" s="45">
        <f>0.3*W28*Model!$B$9</f>
        <v>0</v>
      </c>
      <c r="Y28" s="33">
        <f>(S28-X28)/Model!$B$11</f>
        <v>1.9793511903930992E-2</v>
      </c>
      <c r="Z28" s="45">
        <f t="shared" si="10"/>
        <v>0</v>
      </c>
      <c r="AA28" s="56">
        <f>Y28/Model!$B$12*3600</f>
        <v>128.15366728861395</v>
      </c>
      <c r="AB28" s="50">
        <f t="shared" si="16"/>
        <v>1624.8889880128245</v>
      </c>
      <c r="AC28" s="50">
        <f t="shared" si="17"/>
        <v>175.11101198717552</v>
      </c>
      <c r="AD28" s="15">
        <f>IF(AE28=0, Model!$B$19, 0 )</f>
        <v>0</v>
      </c>
      <c r="AE28" s="50">
        <f>IF(AE27+AB27-AB28&lt;Model!$B$19*Model!$B$18, AE27+AB27-AB28,  0)</f>
        <v>175.11101198717552</v>
      </c>
      <c r="AF28" s="15">
        <f t="shared" si="11"/>
        <v>1.3000000000000005</v>
      </c>
      <c r="AG28" s="50">
        <f t="shared" si="12"/>
        <v>0</v>
      </c>
    </row>
    <row r="29" spans="2:33" x14ac:dyDescent="0.25">
      <c r="B29" s="13">
        <f t="shared" si="13"/>
        <v>1.3500000000000005</v>
      </c>
      <c r="C29" s="13">
        <f>B29+Model!$B$4</f>
        <v>3.3500000000000005</v>
      </c>
      <c r="D29" s="13">
        <f t="shared" si="14"/>
        <v>1</v>
      </c>
      <c r="E29" s="13">
        <f t="shared" si="18"/>
        <v>3.3500000000000005</v>
      </c>
      <c r="F29" s="14">
        <f>IF(AB29&gt;0, VLOOKUP(B29,Model!$A$40:$B$60, 2), 0)</f>
        <v>300</v>
      </c>
      <c r="G29" s="13">
        <f>IF(AB29&gt;0, VLOOKUP(B29,Model!$A$39:$C$58, 3), 0)</f>
        <v>0</v>
      </c>
      <c r="H29" s="13">
        <f t="shared" si="0"/>
        <v>0</v>
      </c>
      <c r="I29" s="46">
        <f>Model!$B$21*EXP((-0.029*9.81*F29)/(8.31*(273+J29)))</f>
        <v>100357.4491247143</v>
      </c>
      <c r="J29" s="13">
        <f>IF(Model!$B$31="Summer",  IF(F29&lt;=2000,  Model!$B$20-Model!$B$35*F29/1000,  IF(F29&lt;Model!$B$36,  Model!$B$33-6.5*F29/1000,  Model!$B$38)),     IF(F29&lt;=2000,  Model!$B$20-Model!$B$35*F29/1000,  IF(F29&lt;Model!$B$36,  Model!$B$33-5.4*F29/1000,   Model!$B$38)))</f>
        <v>-19.088750000000001</v>
      </c>
      <c r="K29" s="13">
        <f t="shared" si="1"/>
        <v>253.91125</v>
      </c>
      <c r="L29" s="46">
        <f>IF(AB28-AA28*(B29-B28)&gt;0, L28-Y28*(B29-B28)*3600-AD29*Model!$B$16, 0)</f>
        <v>1750.9160674171228</v>
      </c>
      <c r="M29" s="57">
        <f t="shared" si="2"/>
        <v>101.42937719624587</v>
      </c>
      <c r="N29" s="57">
        <f>Model!$B$13*I29*K29/(Model!$B$13*I29-L29*287*K29)</f>
        <v>374.42937719624587</v>
      </c>
      <c r="O29" s="57">
        <f t="shared" si="3"/>
        <v>314.1703135981229</v>
      </c>
      <c r="P29" s="57">
        <f t="shared" si="4"/>
        <v>41.170313598122931</v>
      </c>
      <c r="Q29" s="63">
        <f t="shared" si="5"/>
        <v>2.6923092265466728E-2</v>
      </c>
      <c r="R29" s="17">
        <f t="shared" si="6"/>
        <v>1.7881712614204777E-5</v>
      </c>
      <c r="S29" s="46">
        <f>0.37*Model!$B$10*(Q29^2*(N29-K29)*I29/(R29*O29^2))^0.33333*(N29-K29)</f>
        <v>919375.24330575869</v>
      </c>
      <c r="T29" s="51">
        <f>Model!$B$32+(90-Model!$B$6)*SIN(RADIANS(-15*(E29+6)))</f>
        <v>-29.251100130304778</v>
      </c>
      <c r="U29" s="46">
        <f t="shared" si="7"/>
        <v>0</v>
      </c>
      <c r="V29" s="51">
        <f t="shared" si="8"/>
        <v>99999</v>
      </c>
      <c r="W29" s="46">
        <f t="shared" si="9"/>
        <v>0</v>
      </c>
      <c r="X29" s="46">
        <f>0.3*W29*Model!$B$9</f>
        <v>0</v>
      </c>
      <c r="Y29" s="17">
        <f>(S29-X29)/Model!$B$11</f>
        <v>1.9722733954859139E-2</v>
      </c>
      <c r="Z29" s="46">
        <f t="shared" si="10"/>
        <v>0</v>
      </c>
      <c r="AA29" s="57">
        <f>Y29/Model!$B$12*3600</f>
        <v>127.69541340316155</v>
      </c>
      <c r="AB29" s="51">
        <f t="shared" si="16"/>
        <v>1618.4813046483937</v>
      </c>
      <c r="AC29" s="51">
        <f t="shared" si="17"/>
        <v>181.51869535160631</v>
      </c>
      <c r="AD29" s="13">
        <f>IF(AE29=0, Model!$B$19, 0 )</f>
        <v>0</v>
      </c>
      <c r="AE29" s="51">
        <f>IF(AE28+AB28-AB29&lt;Model!$B$19*Model!$B$18, AE28+AB28-AB29,  0)</f>
        <v>181.51869535160631</v>
      </c>
      <c r="AF29" s="13">
        <f t="shared" si="11"/>
        <v>1.3500000000000005</v>
      </c>
      <c r="AG29" s="50">
        <f t="shared" si="12"/>
        <v>0</v>
      </c>
    </row>
    <row r="30" spans="2:33" x14ac:dyDescent="0.25">
      <c r="B30" s="15">
        <f t="shared" si="13"/>
        <v>1.4000000000000006</v>
      </c>
      <c r="C30" s="15">
        <f>B30+Model!$B$4</f>
        <v>3.4000000000000004</v>
      </c>
      <c r="D30" s="15">
        <f t="shared" si="14"/>
        <v>1</v>
      </c>
      <c r="E30" s="15">
        <f t="shared" si="18"/>
        <v>3.4000000000000004</v>
      </c>
      <c r="F30" s="16">
        <f>IF(AB30&gt;0, VLOOKUP(B30,Model!$A$40:$B$60, 2), 0)</f>
        <v>300</v>
      </c>
      <c r="G30" s="15">
        <f>IF(AB30&gt;0, VLOOKUP(B30,Model!$A$39:$C$58, 3), 0)</f>
        <v>0</v>
      </c>
      <c r="H30" s="15">
        <f t="shared" si="0"/>
        <v>0</v>
      </c>
      <c r="I30" s="45">
        <f>Model!$B$21*EXP((-0.029*9.81*F30)/(8.31*(273+J30)))</f>
        <v>100357.4491247143</v>
      </c>
      <c r="J30" s="15">
        <f>IF(Model!$B$31="Summer",  IF(F30&lt;=2000,  Model!$B$20-Model!$B$35*F30/1000,  IF(F30&lt;Model!$B$36,  Model!$B$33-6.5*F30/1000,  Model!$B$38)),     IF(F30&lt;=2000,  Model!$B$20-Model!$B$35*F30/1000,  IF(F30&lt;Model!$B$36,  Model!$B$33-5.4*F30/1000,   Model!$B$38)))</f>
        <v>-19.088750000000001</v>
      </c>
      <c r="K30" s="15">
        <f t="shared" si="1"/>
        <v>253.91125</v>
      </c>
      <c r="L30" s="45">
        <f>IF(AB29-AA29*(B30-B29)&gt;0, L29-Y29*(B30-B29)*3600-AD30*Model!$B$16, 0)</f>
        <v>1747.3659753052482</v>
      </c>
      <c r="M30" s="56">
        <f t="shared" si="2"/>
        <v>101.06938185026559</v>
      </c>
      <c r="N30" s="56">
        <f>Model!$B$13*I30*K30/(Model!$B$13*I30-L30*287*K30)</f>
        <v>374.06938185026559</v>
      </c>
      <c r="O30" s="56">
        <f t="shared" si="3"/>
        <v>313.99031592513279</v>
      </c>
      <c r="P30" s="56">
        <f t="shared" si="4"/>
        <v>40.990315925132791</v>
      </c>
      <c r="Q30" s="62">
        <f t="shared" si="5"/>
        <v>2.6910312430684428E-2</v>
      </c>
      <c r="R30" s="33">
        <f t="shared" si="6"/>
        <v>1.7862992856213808E-5</v>
      </c>
      <c r="S30" s="45">
        <f>0.37*Model!$B$10*(Q30^2*(N30-K30)*I30/(R30*O30^2))^0.33333*(N30-K30)</f>
        <v>916095.23060534673</v>
      </c>
      <c r="T30" s="50">
        <f>Model!$B$32+(90-Model!$B$6)*SIN(RADIANS(-15*(E30+6)))</f>
        <v>-28.896948747728633</v>
      </c>
      <c r="U30" s="45">
        <f t="shared" si="7"/>
        <v>0</v>
      </c>
      <c r="V30" s="50">
        <f t="shared" si="8"/>
        <v>99999</v>
      </c>
      <c r="W30" s="45">
        <f t="shared" si="9"/>
        <v>0</v>
      </c>
      <c r="X30" s="45">
        <f>0.3*W30*Model!$B$9</f>
        <v>0</v>
      </c>
      <c r="Y30" s="33">
        <f>(S30-X30)/Model!$B$11</f>
        <v>1.9652370065544284E-2</v>
      </c>
      <c r="Z30" s="45">
        <f t="shared" si="10"/>
        <v>0</v>
      </c>
      <c r="AA30" s="56">
        <f>Y30/Model!$B$12*3600</f>
        <v>127.23984035962307</v>
      </c>
      <c r="AB30" s="50">
        <f t="shared" si="16"/>
        <v>1612.0965339782356</v>
      </c>
      <c r="AC30" s="50">
        <f t="shared" si="17"/>
        <v>187.90346602176442</v>
      </c>
      <c r="AD30" s="15">
        <f>IF(AE30=0, Model!$B$19, 0 )</f>
        <v>0</v>
      </c>
      <c r="AE30" s="50">
        <f>IF(AE29+AB29-AB30&lt;Model!$B$19*Model!$B$18, AE29+AB29-AB30,  0)</f>
        <v>187.90346602176442</v>
      </c>
      <c r="AF30" s="15">
        <f t="shared" si="11"/>
        <v>1.4000000000000006</v>
      </c>
      <c r="AG30" s="50">
        <f t="shared" si="12"/>
        <v>0</v>
      </c>
    </row>
    <row r="31" spans="2:33" x14ac:dyDescent="0.25">
      <c r="B31" s="13">
        <f t="shared" si="13"/>
        <v>1.4500000000000006</v>
      </c>
      <c r="C31" s="13">
        <f>B31+Model!$B$4</f>
        <v>3.4500000000000006</v>
      </c>
      <c r="D31" s="13">
        <f t="shared" si="14"/>
        <v>1</v>
      </c>
      <c r="E31" s="13">
        <f t="shared" si="18"/>
        <v>3.4500000000000006</v>
      </c>
      <c r="F31" s="14">
        <f>IF(AB31&gt;0, VLOOKUP(B31,Model!$A$40:$B$60, 2), 0)</f>
        <v>300</v>
      </c>
      <c r="G31" s="13">
        <f>IF(AB31&gt;0, VLOOKUP(B31,Model!$A$39:$C$58, 3), 0)</f>
        <v>0</v>
      </c>
      <c r="H31" s="13">
        <f t="shared" si="0"/>
        <v>0</v>
      </c>
      <c r="I31" s="46">
        <f>Model!$B$21*EXP((-0.029*9.81*F31)/(8.31*(273+J31)))</f>
        <v>100357.4491247143</v>
      </c>
      <c r="J31" s="13">
        <f>IF(Model!$B$31="Summer",  IF(F31&lt;=2000,  Model!$B$20-Model!$B$35*F31/1000,  IF(F31&lt;Model!$B$36,  Model!$B$33-6.5*F31/1000,  Model!$B$38)),     IF(F31&lt;=2000,  Model!$B$20-Model!$B$35*F31/1000,  IF(F31&lt;Model!$B$36,  Model!$B$33-5.4*F31/1000,   Model!$B$38)))</f>
        <v>-19.088750000000001</v>
      </c>
      <c r="K31" s="13">
        <f t="shared" si="1"/>
        <v>253.91125</v>
      </c>
      <c r="L31" s="46">
        <f>IF(AB30-AA30*(B31-B30)&gt;0, L30-Y30*(B31-B30)*3600-AD31*Model!$B$16, 0)</f>
        <v>1743.8285486934501</v>
      </c>
      <c r="M31" s="57">
        <f t="shared" si="2"/>
        <v>100.71135871949343</v>
      </c>
      <c r="N31" s="57">
        <f>Model!$B$13*I31*K31/(Model!$B$13*I31-L31*287*K31)</f>
        <v>373.71135871949343</v>
      </c>
      <c r="O31" s="57">
        <f t="shared" si="3"/>
        <v>313.81130435974671</v>
      </c>
      <c r="P31" s="57">
        <f t="shared" si="4"/>
        <v>40.811304359746714</v>
      </c>
      <c r="Q31" s="63">
        <f t="shared" si="5"/>
        <v>2.6897602609542017E-2</v>
      </c>
      <c r="R31" s="17">
        <f t="shared" si="6"/>
        <v>1.7844375653413656E-5</v>
      </c>
      <c r="S31" s="46">
        <f>0.37*Model!$B$10*(Q31^2*(N31-K31)*I31/(R31*O31^2))^0.33333*(N31-K31)</f>
        <v>912834.35169354163</v>
      </c>
      <c r="T31" s="51">
        <f>Model!$B$32+(90-Model!$B$6)*SIN(RADIANS(-15*(E31+6)))</f>
        <v>-28.539023286828495</v>
      </c>
      <c r="U31" s="46">
        <f t="shared" si="7"/>
        <v>0</v>
      </c>
      <c r="V31" s="51">
        <f t="shared" si="8"/>
        <v>99999</v>
      </c>
      <c r="W31" s="46">
        <f t="shared" si="9"/>
        <v>0</v>
      </c>
      <c r="X31" s="46">
        <f>0.3*W31*Model!$B$9</f>
        <v>0</v>
      </c>
      <c r="Y31" s="17">
        <f>(S31-X31)/Model!$B$11</f>
        <v>1.9582416640427796E-2</v>
      </c>
      <c r="Z31" s="46">
        <f t="shared" si="10"/>
        <v>0</v>
      </c>
      <c r="AA31" s="57">
        <f>Y31/Model!$B$12*3600</f>
        <v>126.78692487844984</v>
      </c>
      <c r="AB31" s="51">
        <f t="shared" si="16"/>
        <v>1605.7345419602543</v>
      </c>
      <c r="AC31" s="51">
        <f t="shared" si="17"/>
        <v>194.26545803974568</v>
      </c>
      <c r="AD31" s="13">
        <f>IF(AE31=0, Model!$B$19, 0 )</f>
        <v>0</v>
      </c>
      <c r="AE31" s="51">
        <f>IF(AE30+AB30-AB31&lt;Model!$B$19*Model!$B$18, AE30+AB30-AB31,  0)</f>
        <v>194.26545803974568</v>
      </c>
      <c r="AF31" s="13">
        <f t="shared" si="11"/>
        <v>1.4500000000000006</v>
      </c>
      <c r="AG31" s="50">
        <f t="shared" si="12"/>
        <v>0</v>
      </c>
    </row>
    <row r="32" spans="2:33" x14ac:dyDescent="0.25">
      <c r="B32" s="15">
        <f t="shared" si="13"/>
        <v>1.5000000000000007</v>
      </c>
      <c r="C32" s="15">
        <f>B32+Model!$B$4</f>
        <v>3.5000000000000009</v>
      </c>
      <c r="D32" s="15">
        <f t="shared" si="14"/>
        <v>1</v>
      </c>
      <c r="E32" s="15">
        <f t="shared" si="18"/>
        <v>3.5000000000000009</v>
      </c>
      <c r="F32" s="16">
        <f>IF(AB32&gt;0, VLOOKUP(B32,Model!$A$40:$B$60, 2), 0)</f>
        <v>300</v>
      </c>
      <c r="G32" s="15">
        <f>IF(AB32&gt;0, VLOOKUP(B32,Model!$A$39:$C$58, 3), 0)</f>
        <v>0</v>
      </c>
      <c r="H32" s="15">
        <f t="shared" si="0"/>
        <v>0</v>
      </c>
      <c r="I32" s="45">
        <f>Model!$B$21*EXP((-0.029*9.81*F32)/(8.31*(273+J32)))</f>
        <v>100357.4491247143</v>
      </c>
      <c r="J32" s="15">
        <f>IF(Model!$B$31="Summer",  IF(F32&lt;=2000,  Model!$B$20-Model!$B$35*F32/1000,  IF(F32&lt;Model!$B$36,  Model!$B$33-6.5*F32/1000,  Model!$B$38)),     IF(F32&lt;=2000,  Model!$B$20-Model!$B$35*F32/1000,  IF(F32&lt;Model!$B$36,  Model!$B$33-5.4*F32/1000,   Model!$B$38)))</f>
        <v>-19.088750000000001</v>
      </c>
      <c r="K32" s="15">
        <f t="shared" si="1"/>
        <v>253.91125</v>
      </c>
      <c r="L32" s="45">
        <f>IF(AB31-AA31*(B32-B31)&gt;0, L31-Y31*(B32-B31)*3600-AD32*Model!$B$16, 0)</f>
        <v>1740.3037136981732</v>
      </c>
      <c r="M32" s="56">
        <f t="shared" si="2"/>
        <v>100.35529101295253</v>
      </c>
      <c r="N32" s="56">
        <f>Model!$B$13*I32*K32/(Model!$B$13*I32-L32*287*K32)</f>
        <v>373.35529101295253</v>
      </c>
      <c r="O32" s="56">
        <f t="shared" si="3"/>
        <v>313.63327050647626</v>
      </c>
      <c r="P32" s="56">
        <f t="shared" si="4"/>
        <v>40.633270506476265</v>
      </c>
      <c r="Q32" s="62">
        <f t="shared" si="5"/>
        <v>2.6884962205959817E-2</v>
      </c>
      <c r="R32" s="33">
        <f t="shared" si="6"/>
        <v>1.7825860132673531E-5</v>
      </c>
      <c r="S32" s="45">
        <f>0.37*Model!$B$10*(Q32^2*(N32-K32)*I32/(R32*O32^2))^0.33333*(N32-K32)</f>
        <v>909592.44093973329</v>
      </c>
      <c r="T32" s="50">
        <f>Model!$B$32+(90-Model!$B$6)*SIN(RADIANS(-15*(E32+6)))</f>
        <v>-28.177385076289553</v>
      </c>
      <c r="U32" s="45">
        <f t="shared" si="7"/>
        <v>0</v>
      </c>
      <c r="V32" s="50">
        <f t="shared" si="8"/>
        <v>99999</v>
      </c>
      <c r="W32" s="45">
        <f t="shared" si="9"/>
        <v>0</v>
      </c>
      <c r="X32" s="45">
        <f>0.3*W32*Model!$B$9</f>
        <v>0</v>
      </c>
      <c r="Y32" s="33">
        <f>(S32-X32)/Model!$B$11</f>
        <v>1.9512870126348458E-2</v>
      </c>
      <c r="Z32" s="45">
        <f t="shared" si="10"/>
        <v>0</v>
      </c>
      <c r="AA32" s="56">
        <f>Y32/Model!$B$12*3600</f>
        <v>126.33664395459635</v>
      </c>
      <c r="AB32" s="50">
        <f t="shared" si="16"/>
        <v>1599.3951957163317</v>
      </c>
      <c r="AC32" s="50">
        <f t="shared" si="17"/>
        <v>200.60480428366827</v>
      </c>
      <c r="AD32" s="15">
        <f>IF(AE32=0, Model!$B$19, 0 )</f>
        <v>0</v>
      </c>
      <c r="AE32" s="50">
        <f>IF(AE31+AB31-AB32&lt;Model!$B$19*Model!$B$18, AE31+AB31-AB32,  0)</f>
        <v>200.60480428366827</v>
      </c>
      <c r="AF32" s="15">
        <f t="shared" si="11"/>
        <v>1.5000000000000007</v>
      </c>
      <c r="AG32" s="50">
        <f t="shared" si="12"/>
        <v>0</v>
      </c>
    </row>
    <row r="33" spans="2:33" x14ac:dyDescent="0.25">
      <c r="B33" s="13">
        <f t="shared" si="13"/>
        <v>1.5500000000000007</v>
      </c>
      <c r="C33" s="13">
        <f>B33+Model!$B$4</f>
        <v>3.5500000000000007</v>
      </c>
      <c r="D33" s="13">
        <f t="shared" si="14"/>
        <v>1</v>
      </c>
      <c r="E33" s="13">
        <f t="shared" si="18"/>
        <v>3.5500000000000007</v>
      </c>
      <c r="F33" s="14">
        <f>IF(AB33&gt;0, VLOOKUP(B33,Model!$A$40:$B$60, 2), 0)</f>
        <v>300</v>
      </c>
      <c r="G33" s="13">
        <f>IF(AB33&gt;0, VLOOKUP(B33,Model!$A$39:$C$58, 3), 0)</f>
        <v>0</v>
      </c>
      <c r="H33" s="13">
        <f t="shared" si="0"/>
        <v>0</v>
      </c>
      <c r="I33" s="46">
        <f>Model!$B$21*EXP((-0.029*9.81*F33)/(8.31*(273+J33)))</f>
        <v>100357.4491247143</v>
      </c>
      <c r="J33" s="13">
        <f>IF(Model!$B$31="Summer",  IF(F33&lt;=2000,  Model!$B$20-Model!$B$35*F33/1000,  IF(F33&lt;Model!$B$36,  Model!$B$33-6.5*F33/1000,  Model!$B$38)),     IF(F33&lt;=2000,  Model!$B$20-Model!$B$35*F33/1000,  IF(F33&lt;Model!$B$36,  Model!$B$33-5.4*F33/1000,   Model!$B$38)))</f>
        <v>-19.088750000000001</v>
      </c>
      <c r="K33" s="13">
        <f t="shared" si="1"/>
        <v>253.91125</v>
      </c>
      <c r="L33" s="46">
        <f>IF(AB32-AA32*(B33-B32)&gt;0, L32-Y32*(B33-B32)*3600-AD33*Model!$B$16, 0)</f>
        <v>1736.7913970754305</v>
      </c>
      <c r="M33" s="57">
        <f t="shared" si="2"/>
        <v>100.00116213652711</v>
      </c>
      <c r="N33" s="57">
        <f>Model!$B$13*I33*K33/(Model!$B$13*I33-L33*287*K33)</f>
        <v>373.00116213652711</v>
      </c>
      <c r="O33" s="57">
        <f t="shared" si="3"/>
        <v>313.45620606826355</v>
      </c>
      <c r="P33" s="57">
        <f t="shared" si="4"/>
        <v>40.456206068263555</v>
      </c>
      <c r="Q33" s="63">
        <f t="shared" si="5"/>
        <v>2.6872390630846711E-2</v>
      </c>
      <c r="R33" s="17">
        <f t="shared" si="6"/>
        <v>1.7807445431099409E-5</v>
      </c>
      <c r="S33" s="46">
        <f>0.37*Model!$B$10*(Q33^2*(N33-K33)*I33/(R33*O33^2))^0.33333*(N33-K33)</f>
        <v>906369.33466002787</v>
      </c>
      <c r="T33" s="51">
        <f>Model!$B$32+(90-Model!$B$6)*SIN(RADIANS(-15*(E33+6)))</f>
        <v>-27.812096080957396</v>
      </c>
      <c r="U33" s="46">
        <f t="shared" si="7"/>
        <v>0</v>
      </c>
      <c r="V33" s="51">
        <f t="shared" si="8"/>
        <v>99999</v>
      </c>
      <c r="W33" s="46">
        <f t="shared" si="9"/>
        <v>0</v>
      </c>
      <c r="X33" s="46">
        <f>0.3*W33*Model!$B$9</f>
        <v>0</v>
      </c>
      <c r="Y33" s="17">
        <f>(S33-X33)/Model!$B$11</f>
        <v>1.9443727011906636E-2</v>
      </c>
      <c r="Z33" s="46">
        <f t="shared" si="10"/>
        <v>0</v>
      </c>
      <c r="AA33" s="57">
        <f>Y33/Model!$B$12*3600</f>
        <v>125.88897485340388</v>
      </c>
      <c r="AB33" s="51">
        <f t="shared" si="16"/>
        <v>1593.0783635186019</v>
      </c>
      <c r="AC33" s="51">
        <f t="shared" si="17"/>
        <v>206.92163648139808</v>
      </c>
      <c r="AD33" s="13">
        <f>IF(AE33=0, Model!$B$19, 0 )</f>
        <v>0</v>
      </c>
      <c r="AE33" s="51">
        <f>IF(AE32+AB32-AB33&lt;Model!$B$19*Model!$B$18, AE32+AB32-AB33,  0)</f>
        <v>206.92163648139808</v>
      </c>
      <c r="AF33" s="13">
        <f t="shared" si="11"/>
        <v>1.5500000000000007</v>
      </c>
      <c r="AG33" s="50">
        <f t="shared" si="12"/>
        <v>0</v>
      </c>
    </row>
    <row r="34" spans="2:33" x14ac:dyDescent="0.25">
      <c r="B34" s="15">
        <f t="shared" si="13"/>
        <v>1.6000000000000008</v>
      </c>
      <c r="C34" s="15">
        <f>B34+Model!$B$4</f>
        <v>3.6000000000000005</v>
      </c>
      <c r="D34" s="15">
        <f t="shared" si="14"/>
        <v>1</v>
      </c>
      <c r="E34" s="15">
        <f t="shared" si="18"/>
        <v>3.6000000000000005</v>
      </c>
      <c r="F34" s="16">
        <f>IF(AB34&gt;0, VLOOKUP(B34,Model!$A$40:$B$60, 2), 0)</f>
        <v>300</v>
      </c>
      <c r="G34" s="15">
        <f>IF(AB34&gt;0, VLOOKUP(B34,Model!$A$39:$C$58, 3), 0)</f>
        <v>0</v>
      </c>
      <c r="H34" s="15">
        <f t="shared" si="0"/>
        <v>0</v>
      </c>
      <c r="I34" s="45">
        <f>Model!$B$21*EXP((-0.029*9.81*F34)/(8.31*(273+J34)))</f>
        <v>100357.4491247143</v>
      </c>
      <c r="J34" s="15">
        <f>IF(Model!$B$31="Summer",  IF(F34&lt;=2000,  Model!$B$20-Model!$B$35*F34/1000,  IF(F34&lt;Model!$B$36,  Model!$B$33-6.5*F34/1000,  Model!$B$38)),     IF(F34&lt;=2000,  Model!$B$20-Model!$B$35*F34/1000,  IF(F34&lt;Model!$B$36,  Model!$B$33-5.4*F34/1000,   Model!$B$38)))</f>
        <v>-19.088750000000001</v>
      </c>
      <c r="K34" s="15">
        <f t="shared" si="1"/>
        <v>253.91125</v>
      </c>
      <c r="L34" s="45">
        <f>IF(AB33-AA33*(B34-B33)&gt;0, L33-Y33*(B34-B33)*3600-AD34*Model!$B$16, 0)</f>
        <v>1733.2915262132874</v>
      </c>
      <c r="M34" s="56">
        <f t="shared" si="2"/>
        <v>99.64895569001618</v>
      </c>
      <c r="N34" s="56">
        <f>Model!$B$13*I34*K34/(Model!$B$13*I34-L34*287*K34)</f>
        <v>372.64895569001618</v>
      </c>
      <c r="O34" s="56">
        <f t="shared" si="3"/>
        <v>313.28010284500806</v>
      </c>
      <c r="P34" s="56">
        <f t="shared" si="4"/>
        <v>40.280102845008088</v>
      </c>
      <c r="Q34" s="62">
        <f t="shared" si="5"/>
        <v>2.6859887301995573E-2</v>
      </c>
      <c r="R34" s="33">
        <f t="shared" si="6"/>
        <v>1.7789130695880834E-5</v>
      </c>
      <c r="S34" s="45">
        <f>0.37*Model!$B$10*(Q34^2*(N34-K34)*I34/(R34*O34^2))^0.33333*(N34-K34)</f>
        <v>903164.87108815322</v>
      </c>
      <c r="T34" s="50">
        <f>Model!$B$32+(90-Model!$B$6)*SIN(RADIANS(-15*(E34+6)))</f>
        <v>-27.443218891220873</v>
      </c>
      <c r="U34" s="45">
        <f t="shared" si="7"/>
        <v>0</v>
      </c>
      <c r="V34" s="50">
        <f t="shared" si="8"/>
        <v>99999</v>
      </c>
      <c r="W34" s="45">
        <f t="shared" si="9"/>
        <v>0</v>
      </c>
      <c r="X34" s="45">
        <f>0.3*W34*Model!$B$9</f>
        <v>0</v>
      </c>
      <c r="Y34" s="33">
        <f>(S34-X34)/Model!$B$11</f>
        <v>1.9374983826840143E-2</v>
      </c>
      <c r="Z34" s="45">
        <f t="shared" si="10"/>
        <v>0</v>
      </c>
      <c r="AA34" s="56">
        <f>Y34/Model!$B$12*3600</f>
        <v>125.44389510655908</v>
      </c>
      <c r="AB34" s="50">
        <f t="shared" si="16"/>
        <v>1586.7839147759316</v>
      </c>
      <c r="AC34" s="50">
        <f t="shared" si="17"/>
        <v>213.21608522406837</v>
      </c>
      <c r="AD34" s="15">
        <f>IF(AE34=0, Model!$B$19, 0 )</f>
        <v>0</v>
      </c>
      <c r="AE34" s="50">
        <f>IF(AE33+AB33-AB34&lt;Model!$B$19*Model!$B$18, AE33+AB33-AB34,  0)</f>
        <v>213.21608522406837</v>
      </c>
      <c r="AF34" s="15">
        <f t="shared" si="11"/>
        <v>1.6000000000000008</v>
      </c>
      <c r="AG34" s="50">
        <f t="shared" si="12"/>
        <v>0</v>
      </c>
    </row>
    <row r="35" spans="2:33" x14ac:dyDescent="0.25">
      <c r="B35" s="13">
        <f t="shared" si="13"/>
        <v>1.6500000000000008</v>
      </c>
      <c r="C35" s="13">
        <f>B35+Model!$B$4</f>
        <v>3.6500000000000008</v>
      </c>
      <c r="D35" s="13">
        <f t="shared" si="14"/>
        <v>1</v>
      </c>
      <c r="E35" s="13">
        <f t="shared" ref="E35:E98" si="19">C35-24*(D35-1)</f>
        <v>3.6500000000000008</v>
      </c>
      <c r="F35" s="14">
        <f>IF(AB35&gt;0, VLOOKUP(B35,Model!$A$40:$B$60, 2), 0)</f>
        <v>300</v>
      </c>
      <c r="G35" s="13">
        <f>IF(AB35&gt;0, VLOOKUP(B35,Model!$A$39:$C$58, 3), 0)</f>
        <v>0</v>
      </c>
      <c r="H35" s="13">
        <f t="shared" si="0"/>
        <v>0</v>
      </c>
      <c r="I35" s="46">
        <f>Model!$B$21*EXP((-0.029*9.81*F35)/(8.31*(273+J35)))</f>
        <v>100357.4491247143</v>
      </c>
      <c r="J35" s="13">
        <f>IF(Model!$B$31="Summer",  IF(F35&lt;=2000,  Model!$B$20-Model!$B$35*F35/1000,  IF(F35&lt;Model!$B$36,  Model!$B$33-6.5*F35/1000,  Model!$B$38)),     IF(F35&lt;=2000,  Model!$B$20-Model!$B$35*F35/1000,  IF(F35&lt;Model!$B$36,  Model!$B$33-5.4*F35/1000,   Model!$B$38)))</f>
        <v>-19.088750000000001</v>
      </c>
      <c r="K35" s="13">
        <f t="shared" si="1"/>
        <v>253.91125</v>
      </c>
      <c r="L35" s="46">
        <f>IF(AB34-AA34*(B35-B34)&gt;0, L34-Y34*(B35-B34)*3600-AD35*Model!$B$16, 0)</f>
        <v>1729.8040291244561</v>
      </c>
      <c r="M35" s="57">
        <f t="shared" si="2"/>
        <v>99.298655464241904</v>
      </c>
      <c r="N35" s="57">
        <f>Model!$B$13*I35*K35/(Model!$B$13*I35-L35*287*K35)</f>
        <v>372.2986554642419</v>
      </c>
      <c r="O35" s="57">
        <f t="shared" si="3"/>
        <v>313.10495273212098</v>
      </c>
      <c r="P35" s="57">
        <f t="shared" si="4"/>
        <v>40.10495273212095</v>
      </c>
      <c r="Q35" s="63">
        <f t="shared" si="5"/>
        <v>2.6847451643980589E-2</v>
      </c>
      <c r="R35" s="17">
        <f t="shared" si="6"/>
        <v>1.7770915084140581E-5</v>
      </c>
      <c r="S35" s="46">
        <f>0.37*Model!$B$10*(Q35^2*(N35-K35)*I35/(R35*O35^2))^0.33333*(N35-K35)</f>
        <v>899978.89034689986</v>
      </c>
      <c r="T35" s="51">
        <f>Model!$B$32+(90-Model!$B$6)*SIN(RADIANS(-15*(E35+6)))</f>
        <v>-27.070816712287499</v>
      </c>
      <c r="U35" s="46">
        <f t="shared" si="7"/>
        <v>0</v>
      </c>
      <c r="V35" s="51">
        <f t="shared" si="8"/>
        <v>99999</v>
      </c>
      <c r="W35" s="46">
        <f t="shared" si="9"/>
        <v>0</v>
      </c>
      <c r="X35" s="46">
        <f>0.3*W35*Model!$B$9</f>
        <v>0</v>
      </c>
      <c r="Y35" s="17">
        <f>(S35-X35)/Model!$B$11</f>
        <v>1.9306637141411561E-2</v>
      </c>
      <c r="Z35" s="46">
        <f t="shared" si="10"/>
        <v>0</v>
      </c>
      <c r="AA35" s="57">
        <f>Y35/Model!$B$12*3600</f>
        <v>125.00138250812756</v>
      </c>
      <c r="AB35" s="51">
        <f t="shared" si="16"/>
        <v>1580.5117200206037</v>
      </c>
      <c r="AC35" s="51">
        <f t="shared" si="17"/>
        <v>219.48827997939634</v>
      </c>
      <c r="AD35" s="13">
        <f>IF(AE35=0, Model!$B$19, 0 )</f>
        <v>0</v>
      </c>
      <c r="AE35" s="51">
        <f>IF(AE34+AB34-AB35&lt;Model!$B$19*Model!$B$18, AE34+AB34-AB35,  0)</f>
        <v>219.48827997939634</v>
      </c>
      <c r="AF35" s="13">
        <f t="shared" si="11"/>
        <v>1.6500000000000008</v>
      </c>
      <c r="AG35" s="50">
        <f t="shared" si="12"/>
        <v>0</v>
      </c>
    </row>
    <row r="36" spans="2:33" x14ac:dyDescent="0.25">
      <c r="B36" s="15">
        <f t="shared" si="13"/>
        <v>1.7000000000000008</v>
      </c>
      <c r="C36" s="15">
        <f>B36+Model!$B$4</f>
        <v>3.7000000000000011</v>
      </c>
      <c r="D36" s="15">
        <f t="shared" si="14"/>
        <v>1</v>
      </c>
      <c r="E36" s="15">
        <f t="shared" si="19"/>
        <v>3.7000000000000011</v>
      </c>
      <c r="F36" s="16">
        <f>IF(AB36&gt;0, VLOOKUP(B36,Model!$A$40:$B$60, 2), 0)</f>
        <v>300</v>
      </c>
      <c r="G36" s="15">
        <f>IF(AB36&gt;0, VLOOKUP(B36,Model!$A$39:$C$58, 3), 0)</f>
        <v>0</v>
      </c>
      <c r="H36" s="15">
        <f t="shared" si="0"/>
        <v>0</v>
      </c>
      <c r="I36" s="45">
        <f>Model!$B$21*EXP((-0.029*9.81*F36)/(8.31*(273+J36)))</f>
        <v>100357.4491247143</v>
      </c>
      <c r="J36" s="15">
        <f>IF(Model!$B$31="Summer",  IF(F36&lt;=2000,  Model!$B$20-Model!$B$35*F36/1000,  IF(F36&lt;Model!$B$36,  Model!$B$33-6.5*F36/1000,  Model!$B$38)),     IF(F36&lt;=2000,  Model!$B$20-Model!$B$35*F36/1000,  IF(F36&lt;Model!$B$36,  Model!$B$33-5.4*F36/1000,   Model!$B$38)))</f>
        <v>-19.088750000000001</v>
      </c>
      <c r="K36" s="15">
        <f t="shared" si="1"/>
        <v>253.91125</v>
      </c>
      <c r="L36" s="45">
        <f>IF(AB35-AA35*(B36-B35)&gt;0, L35-Y35*(B36-B35)*3600-AD36*Model!$B$16, 0)</f>
        <v>1726.3288344390021</v>
      </c>
      <c r="M36" s="56">
        <f t="shared" si="2"/>
        <v>98.950245438209265</v>
      </c>
      <c r="N36" s="56">
        <f>Model!$B$13*I36*K36/(Model!$B$13*I36-L36*287*K36)</f>
        <v>371.95024543820927</v>
      </c>
      <c r="O36" s="56">
        <f t="shared" si="3"/>
        <v>312.9307477191046</v>
      </c>
      <c r="P36" s="56">
        <f t="shared" si="4"/>
        <v>39.93074771910463</v>
      </c>
      <c r="Q36" s="62">
        <f t="shared" si="5"/>
        <v>2.6835083088056426E-2</v>
      </c>
      <c r="R36" s="33">
        <f t="shared" si="6"/>
        <v>1.7752797762786876E-5</v>
      </c>
      <c r="S36" s="45">
        <f>0.37*Model!$B$10*(Q36^2*(N36-K36)*I36/(R36*O36^2))^0.33333*(N36-K36)</f>
        <v>896811.23442006705</v>
      </c>
      <c r="T36" s="50">
        <f>Model!$B$32+(90-Model!$B$6)*SIN(RADIANS(-15*(E36+6)))</f>
        <v>-26.694953353353455</v>
      </c>
      <c r="U36" s="45">
        <f t="shared" si="7"/>
        <v>0</v>
      </c>
      <c r="V36" s="50">
        <f t="shared" si="8"/>
        <v>99999</v>
      </c>
      <c r="W36" s="45">
        <f t="shared" si="9"/>
        <v>0</v>
      </c>
      <c r="X36" s="45">
        <f>0.3*W36*Model!$B$9</f>
        <v>0</v>
      </c>
      <c r="Y36" s="33">
        <f>(S36-X36)/Model!$B$11</f>
        <v>1.9238683565806436E-2</v>
      </c>
      <c r="Z36" s="45">
        <f t="shared" si="10"/>
        <v>0</v>
      </c>
      <c r="AA36" s="56">
        <f>Y36/Model!$B$12*3600</f>
        <v>124.56141511065719</v>
      </c>
      <c r="AB36" s="50">
        <f t="shared" si="16"/>
        <v>1574.2616508951974</v>
      </c>
      <c r="AC36" s="50">
        <f t="shared" si="17"/>
        <v>225.73834910480264</v>
      </c>
      <c r="AD36" s="15">
        <f>IF(AE36=0, Model!$B$19, 0 )</f>
        <v>0</v>
      </c>
      <c r="AE36" s="50">
        <f>IF(AE35+AB35-AB36&lt;Model!$B$19*Model!$B$18, AE35+AB35-AB36,  0)</f>
        <v>225.73834910480264</v>
      </c>
      <c r="AF36" s="15">
        <f t="shared" si="11"/>
        <v>1.7000000000000008</v>
      </c>
      <c r="AG36" s="50">
        <f t="shared" si="12"/>
        <v>0</v>
      </c>
    </row>
    <row r="37" spans="2:33" x14ac:dyDescent="0.25">
      <c r="B37" s="13">
        <f t="shared" si="13"/>
        <v>1.7500000000000009</v>
      </c>
      <c r="C37" s="13">
        <f>B37+Model!$B$4</f>
        <v>3.7500000000000009</v>
      </c>
      <c r="D37" s="13">
        <f t="shared" si="14"/>
        <v>1</v>
      </c>
      <c r="E37" s="13">
        <f t="shared" si="19"/>
        <v>3.7500000000000009</v>
      </c>
      <c r="F37" s="14">
        <f>IF(AB37&gt;0, VLOOKUP(B37,Model!$A$40:$B$60, 2), 0)</f>
        <v>300</v>
      </c>
      <c r="G37" s="13">
        <f>IF(AB37&gt;0, VLOOKUP(B37,Model!$A$39:$C$58, 3), 0)</f>
        <v>0</v>
      </c>
      <c r="H37" s="13">
        <f t="shared" si="0"/>
        <v>0</v>
      </c>
      <c r="I37" s="46">
        <f>Model!$B$21*EXP((-0.029*9.81*F37)/(8.31*(273+J37)))</f>
        <v>100357.4491247143</v>
      </c>
      <c r="J37" s="13">
        <f>IF(Model!$B$31="Summer",  IF(F37&lt;=2000,  Model!$B$20-Model!$B$35*F37/1000,  IF(F37&lt;Model!$B$36,  Model!$B$33-6.5*F37/1000,  Model!$B$38)),     IF(F37&lt;=2000,  Model!$B$20-Model!$B$35*F37/1000,  IF(F37&lt;Model!$B$36,  Model!$B$33-5.4*F37/1000,   Model!$B$38)))</f>
        <v>-19.088750000000001</v>
      </c>
      <c r="K37" s="13">
        <f t="shared" si="1"/>
        <v>253.91125</v>
      </c>
      <c r="L37" s="46">
        <f>IF(AB36-AA36*(B37-B36)&gt;0, L36-Y36*(B37-B36)*3600-AD37*Model!$B$16, 0)</f>
        <v>1722.865871397157</v>
      </c>
      <c r="M37" s="57">
        <f t="shared" si="2"/>
        <v>98.60370977631743</v>
      </c>
      <c r="N37" s="57">
        <f>Model!$B$13*I37*K37/(Model!$B$13*I37-L37*287*K37)</f>
        <v>371.60370977631743</v>
      </c>
      <c r="O37" s="57">
        <f t="shared" si="3"/>
        <v>312.75747988815874</v>
      </c>
      <c r="P37" s="57">
        <f t="shared" si="4"/>
        <v>39.757479888158713</v>
      </c>
      <c r="Q37" s="63">
        <f t="shared" si="5"/>
        <v>2.6822781072059272E-2</v>
      </c>
      <c r="R37" s="17">
        <f t="shared" si="6"/>
        <v>1.7734777908368506E-5</v>
      </c>
      <c r="S37" s="46">
        <f>0.37*Model!$B$10*(Q37^2*(N37-K37)*I37/(R37*O37^2))^0.33333*(N37-K37)</f>
        <v>893661.74712491676</v>
      </c>
      <c r="T37" s="51">
        <f>Model!$B$32+(90-Model!$B$6)*SIN(RADIANS(-15*(E37+6)))</f>
        <v>-26.3156932166704</v>
      </c>
      <c r="U37" s="46">
        <f t="shared" si="7"/>
        <v>0</v>
      </c>
      <c r="V37" s="51">
        <f t="shared" si="8"/>
        <v>99999</v>
      </c>
      <c r="W37" s="46">
        <f t="shared" si="9"/>
        <v>0</v>
      </c>
      <c r="X37" s="46">
        <f>0.3*W37*Model!$B$9</f>
        <v>0</v>
      </c>
      <c r="Y37" s="17">
        <f>(S37-X37)/Model!$B$11</f>
        <v>1.9171119749542352E-2</v>
      </c>
      <c r="Z37" s="46">
        <f t="shared" si="10"/>
        <v>0</v>
      </c>
      <c r="AA37" s="57">
        <f>Y37/Model!$B$12*3600</f>
        <v>124.12397122135239</v>
      </c>
      <c r="AB37" s="51">
        <f t="shared" si="16"/>
        <v>1568.0335801396645</v>
      </c>
      <c r="AC37" s="51">
        <f t="shared" si="17"/>
        <v>231.96641986033546</v>
      </c>
      <c r="AD37" s="13">
        <f>IF(AE37=0, Model!$B$19, 0 )</f>
        <v>0</v>
      </c>
      <c r="AE37" s="51">
        <f>IF(AE36+AB36-AB37&lt;Model!$B$19*Model!$B$18, AE36+AB36-AB37,  0)</f>
        <v>231.96641986033546</v>
      </c>
      <c r="AF37" s="13">
        <f t="shared" si="11"/>
        <v>1.7500000000000009</v>
      </c>
      <c r="AG37" s="50">
        <f t="shared" si="12"/>
        <v>0</v>
      </c>
    </row>
    <row r="38" spans="2:33" x14ac:dyDescent="0.25">
      <c r="B38" s="15">
        <f t="shared" si="13"/>
        <v>1.8000000000000009</v>
      </c>
      <c r="C38" s="15">
        <f>B38+Model!$B$4</f>
        <v>3.8000000000000007</v>
      </c>
      <c r="D38" s="15">
        <f t="shared" si="14"/>
        <v>1</v>
      </c>
      <c r="E38" s="15">
        <f t="shared" si="19"/>
        <v>3.8000000000000007</v>
      </c>
      <c r="F38" s="16">
        <f>IF(AB38&gt;0, VLOOKUP(B38,Model!$A$40:$B$60, 2), 0)</f>
        <v>300</v>
      </c>
      <c r="G38" s="15">
        <f>IF(AB38&gt;0, VLOOKUP(B38,Model!$A$39:$C$58, 3), 0)</f>
        <v>0</v>
      </c>
      <c r="H38" s="15">
        <f t="shared" si="0"/>
        <v>0</v>
      </c>
      <c r="I38" s="45">
        <f>Model!$B$21*EXP((-0.029*9.81*F38)/(8.31*(273+J38)))</f>
        <v>100357.4491247143</v>
      </c>
      <c r="J38" s="15">
        <f>IF(Model!$B$31="Summer",  IF(F38&lt;=2000,  Model!$B$20-Model!$B$35*F38/1000,  IF(F38&lt;Model!$B$36,  Model!$B$33-6.5*F38/1000,  Model!$B$38)),     IF(F38&lt;=2000,  Model!$B$20-Model!$B$35*F38/1000,  IF(F38&lt;Model!$B$36,  Model!$B$33-5.4*F38/1000,   Model!$B$38)))</f>
        <v>-19.088750000000001</v>
      </c>
      <c r="K38" s="15">
        <f t="shared" si="1"/>
        <v>253.91125</v>
      </c>
      <c r="L38" s="45">
        <f>IF(AB37-AA37*(B38-B37)&gt;0, L37-Y37*(B38-B37)*3600-AD38*Model!$B$16, 0)</f>
        <v>1719.4150698422393</v>
      </c>
      <c r="M38" s="56">
        <f t="shared" si="2"/>
        <v>98.259032825622228</v>
      </c>
      <c r="N38" s="56">
        <f>Model!$B$13*I38*K38/(Model!$B$13*I38-L38*287*K38)</f>
        <v>371.25903282562223</v>
      </c>
      <c r="O38" s="56">
        <f t="shared" si="3"/>
        <v>312.58514141281114</v>
      </c>
      <c r="P38" s="56">
        <f t="shared" si="4"/>
        <v>39.585141412811112</v>
      </c>
      <c r="Q38" s="62">
        <f t="shared" si="5"/>
        <v>2.6810545040309591E-2</v>
      </c>
      <c r="R38" s="33">
        <f t="shared" si="6"/>
        <v>1.771685470693236E-5</v>
      </c>
      <c r="S38" s="45">
        <f>0.37*Model!$B$10*(Q38^2*(N38-K38)*I38/(R38*O38^2))^0.33333*(N38-K38)</f>
        <v>890530.27408513811</v>
      </c>
      <c r="T38" s="50">
        <f>Model!$B$32+(90-Model!$B$6)*SIN(RADIANS(-15*(E38+6)))</f>
        <v>-25.933101286510279</v>
      </c>
      <c r="U38" s="45">
        <f t="shared" si="7"/>
        <v>0</v>
      </c>
      <c r="V38" s="50">
        <f t="shared" si="8"/>
        <v>99999</v>
      </c>
      <c r="W38" s="45">
        <f t="shared" si="9"/>
        <v>0</v>
      </c>
      <c r="X38" s="45">
        <f>0.3*W38*Model!$B$9</f>
        <v>0</v>
      </c>
      <c r="Y38" s="33">
        <f>(S38-X38)/Model!$B$11</f>
        <v>1.9103942380888944E-2</v>
      </c>
      <c r="Z38" s="45">
        <f t="shared" si="10"/>
        <v>0</v>
      </c>
      <c r="AA38" s="56">
        <f>Y38/Model!$B$12*3600</f>
        <v>123.68902939831879</v>
      </c>
      <c r="AB38" s="50">
        <f t="shared" si="16"/>
        <v>1561.8273815785969</v>
      </c>
      <c r="AC38" s="50">
        <f t="shared" si="17"/>
        <v>238.17261842140306</v>
      </c>
      <c r="AD38" s="15">
        <f>IF(AE38=0, Model!$B$19, 0 )</f>
        <v>0</v>
      </c>
      <c r="AE38" s="50">
        <f>IF(AE37+AB37-AB38&lt;Model!$B$19*Model!$B$18, AE37+AB37-AB38,  0)</f>
        <v>238.17261842140306</v>
      </c>
      <c r="AF38" s="15">
        <f t="shared" si="11"/>
        <v>1.8000000000000009</v>
      </c>
      <c r="AG38" s="50">
        <f t="shared" si="12"/>
        <v>0</v>
      </c>
    </row>
    <row r="39" spans="2:33" x14ac:dyDescent="0.25">
      <c r="B39" s="13">
        <f t="shared" si="13"/>
        <v>1.850000000000001</v>
      </c>
      <c r="C39" s="13">
        <f>B39+Model!$B$4</f>
        <v>3.850000000000001</v>
      </c>
      <c r="D39" s="13">
        <f t="shared" si="14"/>
        <v>1</v>
      </c>
      <c r="E39" s="13">
        <f t="shared" si="19"/>
        <v>3.850000000000001</v>
      </c>
      <c r="F39" s="14">
        <f>IF(AB39&gt;0, VLOOKUP(B39,Model!$A$40:$B$60, 2), 0)</f>
        <v>300</v>
      </c>
      <c r="G39" s="13">
        <f>IF(AB39&gt;0, VLOOKUP(B39,Model!$A$39:$C$58, 3), 0)</f>
        <v>0</v>
      </c>
      <c r="H39" s="13">
        <f t="shared" si="0"/>
        <v>0</v>
      </c>
      <c r="I39" s="46">
        <f>Model!$B$21*EXP((-0.029*9.81*F39)/(8.31*(273+J39)))</f>
        <v>100357.4491247143</v>
      </c>
      <c r="J39" s="13">
        <f>IF(Model!$B$31="Summer",  IF(F39&lt;=2000,  Model!$B$20-Model!$B$35*F39/1000,  IF(F39&lt;Model!$B$36,  Model!$B$33-6.5*F39/1000,  Model!$B$38)),     IF(F39&lt;=2000,  Model!$B$20-Model!$B$35*F39/1000,  IF(F39&lt;Model!$B$36,  Model!$B$33-5.4*F39/1000,   Model!$B$38)))</f>
        <v>-19.088750000000001</v>
      </c>
      <c r="K39" s="13">
        <f t="shared" si="1"/>
        <v>253.91125</v>
      </c>
      <c r="L39" s="46">
        <f>IF(AB38-AA38*(B39-B38)&gt;0, L38-Y38*(B39-B38)*3600-AD39*Model!$B$16, 0)</f>
        <v>1715.9763602136793</v>
      </c>
      <c r="M39" s="57">
        <f t="shared" si="2"/>
        <v>97.916199113146092</v>
      </c>
      <c r="N39" s="57">
        <f>Model!$B$13*I39*K39/(Model!$B$13*I39-L39*287*K39)</f>
        <v>370.91619911314609</v>
      </c>
      <c r="O39" s="57">
        <f t="shared" si="3"/>
        <v>312.41372455657302</v>
      </c>
      <c r="P39" s="57">
        <f t="shared" si="4"/>
        <v>39.413724556573044</v>
      </c>
      <c r="Q39" s="63">
        <f t="shared" si="5"/>
        <v>2.6798374443516685E-2</v>
      </c>
      <c r="R39" s="17">
        <f t="shared" si="6"/>
        <v>1.7699027353883594E-5</v>
      </c>
      <c r="S39" s="46">
        <f>0.37*Model!$B$10*(Q39^2*(N39-K39)*I39/(R39*O39^2))^0.33333*(N39-K39)</f>
        <v>887416.66270427045</v>
      </c>
      <c r="T39" s="51">
        <f>Model!$B$32+(90-Model!$B$6)*SIN(RADIANS(-15*(E39+6)))</f>
        <v>-25.547243118030718</v>
      </c>
      <c r="U39" s="46">
        <f t="shared" si="7"/>
        <v>0</v>
      </c>
      <c r="V39" s="51">
        <f t="shared" si="8"/>
        <v>99999</v>
      </c>
      <c r="W39" s="46">
        <f t="shared" si="9"/>
        <v>0</v>
      </c>
      <c r="X39" s="46">
        <f>0.3*W39*Model!$B$9</f>
        <v>0</v>
      </c>
      <c r="Y39" s="17">
        <f>(S39-X39)/Model!$B$11</f>
        <v>1.9037148186297769E-2</v>
      </c>
      <c r="Z39" s="46">
        <f t="shared" si="10"/>
        <v>0</v>
      </c>
      <c r="AA39" s="57">
        <f>Y39/Model!$B$12*3600</f>
        <v>123.25656844687194</v>
      </c>
      <c r="AB39" s="51">
        <f t="shared" si="16"/>
        <v>1555.642930108681</v>
      </c>
      <c r="AC39" s="51">
        <f t="shared" si="17"/>
        <v>244.35706989131904</v>
      </c>
      <c r="AD39" s="13">
        <f>IF(AE39=0, Model!$B$19, 0 )</f>
        <v>0</v>
      </c>
      <c r="AE39" s="51">
        <f>IF(AE38+AB38-AB39&lt;Model!$B$19*Model!$B$18, AE38+AB38-AB39,  0)</f>
        <v>244.35706989131904</v>
      </c>
      <c r="AF39" s="13">
        <f t="shared" si="11"/>
        <v>1.850000000000001</v>
      </c>
      <c r="AG39" s="50">
        <f t="shared" si="12"/>
        <v>0</v>
      </c>
    </row>
    <row r="40" spans="2:33" x14ac:dyDescent="0.25">
      <c r="B40" s="15">
        <f t="shared" si="13"/>
        <v>1.900000000000001</v>
      </c>
      <c r="C40" s="15">
        <f>B40+Model!$B$4</f>
        <v>3.9000000000000012</v>
      </c>
      <c r="D40" s="15">
        <f t="shared" si="14"/>
        <v>1</v>
      </c>
      <c r="E40" s="15">
        <f t="shared" si="19"/>
        <v>3.9000000000000012</v>
      </c>
      <c r="F40" s="16">
        <f>IF(AB40&gt;0, VLOOKUP(B40,Model!$A$40:$B$60, 2), 0)</f>
        <v>300</v>
      </c>
      <c r="G40" s="15">
        <f>IF(AB40&gt;0, VLOOKUP(B40,Model!$A$39:$C$58, 3), 0)</f>
        <v>0</v>
      </c>
      <c r="H40" s="15">
        <f t="shared" si="0"/>
        <v>0</v>
      </c>
      <c r="I40" s="45">
        <f>Model!$B$21*EXP((-0.029*9.81*F40)/(8.31*(273+J40)))</f>
        <v>100357.4491247143</v>
      </c>
      <c r="J40" s="15">
        <f>IF(Model!$B$31="Summer",  IF(F40&lt;=2000,  Model!$B$20-Model!$B$35*F40/1000,  IF(F40&lt;Model!$B$36,  Model!$B$33-6.5*F40/1000,  Model!$B$38)),     IF(F40&lt;=2000,  Model!$B$20-Model!$B$35*F40/1000,  IF(F40&lt;Model!$B$36,  Model!$B$33-5.4*F40/1000,   Model!$B$38)))</f>
        <v>-19.088750000000001</v>
      </c>
      <c r="K40" s="15">
        <f t="shared" si="1"/>
        <v>253.91125</v>
      </c>
      <c r="L40" s="45">
        <f>IF(AB39-AA39*(B40-B39)&gt;0, L39-Y39*(B40-B39)*3600-AD40*Model!$B$16, 0)</f>
        <v>1712.5496735401457</v>
      </c>
      <c r="M40" s="56">
        <f t="shared" si="2"/>
        <v>97.575193343238084</v>
      </c>
      <c r="N40" s="56">
        <f>Model!$B$13*I40*K40/(Model!$B$13*I40-L40*287*K40)</f>
        <v>370.57519334323808</v>
      </c>
      <c r="O40" s="56">
        <f t="shared" si="3"/>
        <v>312.24322167161904</v>
      </c>
      <c r="P40" s="56">
        <f t="shared" si="4"/>
        <v>39.24322167161904</v>
      </c>
      <c r="Q40" s="62">
        <f t="shared" si="5"/>
        <v>2.6786268738684952E-2</v>
      </c>
      <c r="R40" s="33">
        <f t="shared" si="6"/>
        <v>1.7681295053848381E-5</v>
      </c>
      <c r="S40" s="45">
        <f>0.37*Model!$B$10*(Q40^2*(N40-K40)*I40/(R40*O40^2))^0.33333*(N40-K40)</f>
        <v>884320.76213962969</v>
      </c>
      <c r="T40" s="50">
        <f>Model!$B$32+(90-Model!$B$6)*SIN(RADIANS(-15*(E40+6)))</f>
        <v>-25.158184826042522</v>
      </c>
      <c r="U40" s="45">
        <f t="shared" si="7"/>
        <v>0</v>
      </c>
      <c r="V40" s="50">
        <f t="shared" si="8"/>
        <v>99999</v>
      </c>
      <c r="W40" s="45">
        <f t="shared" si="9"/>
        <v>0</v>
      </c>
      <c r="X40" s="45">
        <f>0.3*W40*Model!$B$9</f>
        <v>0</v>
      </c>
      <c r="Y40" s="33">
        <f>(S40-X40)/Model!$B$11</f>
        <v>1.8970733929842963E-2</v>
      </c>
      <c r="Z40" s="45">
        <f t="shared" si="10"/>
        <v>0</v>
      </c>
      <c r="AA40" s="56">
        <f>Y40/Model!$B$12*3600</f>
        <v>122.82656741591596</v>
      </c>
      <c r="AB40" s="50">
        <f t="shared" si="16"/>
        <v>1549.4801016863373</v>
      </c>
      <c r="AC40" s="50">
        <f t="shared" si="17"/>
        <v>250.51989831366268</v>
      </c>
      <c r="AD40" s="15">
        <f>IF(AE40=0, Model!$B$19, 0 )</f>
        <v>0</v>
      </c>
      <c r="AE40" s="50">
        <f>IF(AE39+AB39-AB40&lt;Model!$B$19*Model!$B$18, AE39+AB39-AB40,  0)</f>
        <v>250.51989831366268</v>
      </c>
      <c r="AF40" s="15">
        <f t="shared" si="11"/>
        <v>1.900000000000001</v>
      </c>
      <c r="AG40" s="50">
        <f t="shared" si="12"/>
        <v>0</v>
      </c>
    </row>
    <row r="41" spans="2:33" x14ac:dyDescent="0.25">
      <c r="B41" s="13">
        <f t="shared" si="13"/>
        <v>1.9500000000000011</v>
      </c>
      <c r="C41" s="13">
        <f>B41+Model!$B$4</f>
        <v>3.9500000000000011</v>
      </c>
      <c r="D41" s="13">
        <f t="shared" si="14"/>
        <v>1</v>
      </c>
      <c r="E41" s="13">
        <f t="shared" si="19"/>
        <v>3.9500000000000011</v>
      </c>
      <c r="F41" s="14">
        <f>IF(AB41&gt;0, VLOOKUP(B41,Model!$A$40:$B$60, 2), 0)</f>
        <v>300</v>
      </c>
      <c r="G41" s="13">
        <f>IF(AB41&gt;0, VLOOKUP(B41,Model!$A$39:$C$58, 3), 0)</f>
        <v>0</v>
      </c>
      <c r="H41" s="13">
        <f t="shared" si="0"/>
        <v>0</v>
      </c>
      <c r="I41" s="46">
        <f>Model!$B$21*EXP((-0.029*9.81*F41)/(8.31*(273+J41)))</f>
        <v>100357.4491247143</v>
      </c>
      <c r="J41" s="13">
        <f>IF(Model!$B$31="Summer",  IF(F41&lt;=2000,  Model!$B$20-Model!$B$35*F41/1000,  IF(F41&lt;Model!$B$36,  Model!$B$33-6.5*F41/1000,  Model!$B$38)),     IF(F41&lt;=2000,  Model!$B$20-Model!$B$35*F41/1000,  IF(F41&lt;Model!$B$36,  Model!$B$33-5.4*F41/1000,   Model!$B$38)))</f>
        <v>-19.088750000000001</v>
      </c>
      <c r="K41" s="13">
        <f t="shared" si="1"/>
        <v>253.91125</v>
      </c>
      <c r="L41" s="46">
        <f>IF(AB40-AA40*(B41-B40)&gt;0, L40-Y40*(B41-B40)*3600-AD41*Model!$B$16, 0)</f>
        <v>1709.134941432774</v>
      </c>
      <c r="M41" s="57">
        <f t="shared" si="2"/>
        <v>97.236000394979271</v>
      </c>
      <c r="N41" s="57">
        <f>Model!$B$13*I41*K41/(Model!$B$13*I41-L41*287*K41)</f>
        <v>370.23600039497927</v>
      </c>
      <c r="O41" s="57">
        <f t="shared" si="3"/>
        <v>312.0736251974896</v>
      </c>
      <c r="P41" s="57">
        <f t="shared" si="4"/>
        <v>39.073625197489633</v>
      </c>
      <c r="Q41" s="63">
        <f t="shared" si="5"/>
        <v>2.6774227389021764E-2</v>
      </c>
      <c r="R41" s="17">
        <f t="shared" si="6"/>
        <v>1.766365702053892E-5</v>
      </c>
      <c r="S41" s="46">
        <f>0.37*Model!$B$10*(Q41^2*(N41-K41)*I41/(R41*O41^2))^0.33333*(N41-K41)</f>
        <v>881242.42327667284</v>
      </c>
      <c r="T41" s="51">
        <f>Model!$B$32+(90-Model!$B$6)*SIN(RADIANS(-15*(E41+6)))</f>
        <v>-24.765993073681134</v>
      </c>
      <c r="U41" s="46">
        <f t="shared" si="7"/>
        <v>0</v>
      </c>
      <c r="V41" s="51">
        <f t="shared" si="8"/>
        <v>99999</v>
      </c>
      <c r="W41" s="46">
        <f t="shared" si="9"/>
        <v>0</v>
      </c>
      <c r="X41" s="46">
        <f>0.3*W41*Model!$B$9</f>
        <v>0</v>
      </c>
      <c r="Y41" s="17">
        <f>(S41-X41)/Model!$B$11</f>
        <v>1.8904696412671305E-2</v>
      </c>
      <c r="Z41" s="46">
        <f t="shared" si="10"/>
        <v>0</v>
      </c>
      <c r="AA41" s="57">
        <f>Y41/Model!$B$12*3600</f>
        <v>122.39900559438281</v>
      </c>
      <c r="AB41" s="51">
        <f t="shared" si="16"/>
        <v>1543.3387733155416</v>
      </c>
      <c r="AC41" s="51">
        <f t="shared" si="17"/>
        <v>256.66122668445837</v>
      </c>
      <c r="AD41" s="13">
        <f>IF(AE41=0, Model!$B$19, 0 )</f>
        <v>0</v>
      </c>
      <c r="AE41" s="51">
        <f>IF(AE40+AB40-AB41&lt;Model!$B$19*Model!$B$18, AE40+AB40-AB41,  0)</f>
        <v>256.66122668445837</v>
      </c>
      <c r="AF41" s="13">
        <f t="shared" si="11"/>
        <v>1.9500000000000011</v>
      </c>
      <c r="AG41" s="50">
        <f t="shared" si="12"/>
        <v>0</v>
      </c>
    </row>
    <row r="42" spans="2:33" x14ac:dyDescent="0.25">
      <c r="B42" s="15">
        <f t="shared" si="13"/>
        <v>2.0000000000000009</v>
      </c>
      <c r="C42" s="15">
        <f>B42+Model!$B$4</f>
        <v>4.0000000000000009</v>
      </c>
      <c r="D42" s="15">
        <f t="shared" si="14"/>
        <v>1</v>
      </c>
      <c r="E42" s="15">
        <f t="shared" si="19"/>
        <v>4.0000000000000009</v>
      </c>
      <c r="F42" s="16">
        <f>IF(AB42&gt;0, VLOOKUP(B42,Model!$A$40:$B$60, 2), 0)</f>
        <v>300</v>
      </c>
      <c r="G42" s="15">
        <f>IF(AB42&gt;0, VLOOKUP(B42,Model!$A$39:$C$58, 3), 0)</f>
        <v>1</v>
      </c>
      <c r="H42" s="15">
        <f t="shared" si="0"/>
        <v>97</v>
      </c>
      <c r="I42" s="45">
        <f>Model!$B$21*EXP((-0.029*9.81*F42)/(8.31*(273+J42)))</f>
        <v>100357.4491247143</v>
      </c>
      <c r="J42" s="15">
        <f>IF(Model!$B$31="Summer",  IF(F42&lt;=2000,  Model!$B$20-Model!$B$35*F42/1000,  IF(F42&lt;Model!$B$36,  Model!$B$33-6.5*F42/1000,  Model!$B$38)),     IF(F42&lt;=2000,  Model!$B$20-Model!$B$35*F42/1000,  IF(F42&lt;Model!$B$36,  Model!$B$33-5.4*F42/1000,   Model!$B$38)))</f>
        <v>-19.088750000000001</v>
      </c>
      <c r="K42" s="15">
        <f t="shared" si="1"/>
        <v>253.91125</v>
      </c>
      <c r="L42" s="45">
        <f>IF(AB41-AA41*(B42-B41)&gt;0, L41-Y41*(B42-B41)*3600-AD42*Model!$B$16, 0)</f>
        <v>1705.7320960784932</v>
      </c>
      <c r="M42" s="56">
        <f t="shared" si="2"/>
        <v>96.898605319635976</v>
      </c>
      <c r="N42" s="56">
        <f>Model!$B$13*I42*K42/(Model!$B$13*I42-L42*287*K42)</f>
        <v>369.89860531963598</v>
      </c>
      <c r="O42" s="56">
        <f t="shared" si="3"/>
        <v>311.90492765981799</v>
      </c>
      <c r="P42" s="56">
        <f t="shared" si="4"/>
        <v>38.904927659817986</v>
      </c>
      <c r="Q42" s="62">
        <f t="shared" si="5"/>
        <v>2.6762249863847079E-2</v>
      </c>
      <c r="R42" s="33">
        <f t="shared" si="6"/>
        <v>1.7646112476621069E-5</v>
      </c>
      <c r="S42" s="45">
        <f>0.37*Model!$B$10*(Q42^2*(N42-K42)*I42/(R42*O42^2))^0.33333*(N42-K42)</f>
        <v>878181.49870383879</v>
      </c>
      <c r="T42" s="50">
        <f>Model!$B$32+(90-Model!$B$6)*SIN(RADIANS(-15*(E42+6)))</f>
        <v>-24.37073506098432</v>
      </c>
      <c r="U42" s="45">
        <f t="shared" si="7"/>
        <v>0</v>
      </c>
      <c r="V42" s="50">
        <f t="shared" si="8"/>
        <v>99999</v>
      </c>
      <c r="W42" s="45">
        <f t="shared" si="9"/>
        <v>4.2253521126760563E-2</v>
      </c>
      <c r="X42" s="45">
        <f>0.3*W42*Model!$B$9</f>
        <v>3.8275201289827652</v>
      </c>
      <c r="Y42" s="33">
        <f>(S42-X42)/Model!$B$11</f>
        <v>1.8838950363267399E-2</v>
      </c>
      <c r="Z42" s="45">
        <f t="shared" si="10"/>
        <v>4.3584613597895578E-4</v>
      </c>
      <c r="AA42" s="56">
        <f>Y42/Model!$B$12*3600</f>
        <v>121.97333088937124</v>
      </c>
      <c r="AB42" s="50">
        <f t="shared" si="16"/>
        <v>1537.2188230358224</v>
      </c>
      <c r="AC42" s="50">
        <f t="shared" si="17"/>
        <v>262.78117696417758</v>
      </c>
      <c r="AD42" s="15">
        <f>IF(AE42=0, Model!$B$19, 0 )</f>
        <v>0</v>
      </c>
      <c r="AE42" s="50">
        <f>IF(AE41+AB41-AB42&lt;Model!$B$19*Model!$B$18, AE41+AB41-AB42,  0)</f>
        <v>262.78117696417758</v>
      </c>
      <c r="AF42" s="15">
        <f t="shared" si="11"/>
        <v>2.0000000000000009</v>
      </c>
      <c r="AG42" s="50">
        <f t="shared" si="12"/>
        <v>0</v>
      </c>
    </row>
    <row r="43" spans="2:33" x14ac:dyDescent="0.25">
      <c r="B43" s="13">
        <f t="shared" si="13"/>
        <v>2.0500000000000007</v>
      </c>
      <c r="C43" s="13">
        <f>B43+Model!$B$4</f>
        <v>4.0500000000000007</v>
      </c>
      <c r="D43" s="13">
        <f t="shared" si="14"/>
        <v>1</v>
      </c>
      <c r="E43" s="13">
        <f t="shared" si="19"/>
        <v>4.0500000000000007</v>
      </c>
      <c r="F43" s="14">
        <f>IF(AB43&gt;0, VLOOKUP(B43,Model!$A$40:$B$60, 2), 0)</f>
        <v>300</v>
      </c>
      <c r="G43" s="13">
        <f>IF(AB43&gt;0, VLOOKUP(B43,Model!$A$39:$C$58, 3), 0)</f>
        <v>1</v>
      </c>
      <c r="H43" s="13">
        <f t="shared" si="0"/>
        <v>97</v>
      </c>
      <c r="I43" s="46">
        <f>Model!$B$21*EXP((-0.029*9.81*F43)/(8.31*(273+J43)))</f>
        <v>100357.4491247143</v>
      </c>
      <c r="J43" s="13">
        <f>IF(Model!$B$31="Summer",  IF(F43&lt;=2000,  Model!$B$20-Model!$B$35*F43/1000,  IF(F43&lt;Model!$B$36,  Model!$B$33-6.5*F43/1000,  Model!$B$38)),     IF(F43&lt;=2000,  Model!$B$20-Model!$B$35*F43/1000,  IF(F43&lt;Model!$B$36,  Model!$B$33-5.4*F43/1000,   Model!$B$38)))</f>
        <v>-19.088750000000001</v>
      </c>
      <c r="K43" s="13">
        <f t="shared" si="1"/>
        <v>253.91125</v>
      </c>
      <c r="L43" s="46">
        <f>IF(AB42-AA42*(B43-B42)&gt;0, L42-Y42*(B43-B42)*3600-AD43*Model!$B$16, 0)</f>
        <v>1702.3410850131052</v>
      </c>
      <c r="M43" s="57">
        <f t="shared" si="2"/>
        <v>96.562994799580906</v>
      </c>
      <c r="N43" s="57">
        <f>Model!$B$13*I43*K43/(Model!$B$13*I43-L43*287*K43)</f>
        <v>369.56299479958091</v>
      </c>
      <c r="O43" s="57">
        <f t="shared" si="3"/>
        <v>311.73712239979045</v>
      </c>
      <c r="P43" s="57">
        <f t="shared" si="4"/>
        <v>38.737404089931296</v>
      </c>
      <c r="Q43" s="63">
        <f t="shared" si="5"/>
        <v>2.6750335690385124E-2</v>
      </c>
      <c r="R43" s="17">
        <f t="shared" si="6"/>
        <v>1.7628660729578205E-5</v>
      </c>
      <c r="S43" s="46">
        <f>0.37*Model!$B$10*(Q43^2*(N43-K43)*I43/(R43*O43^2))^0.33333*(N43-K43)</f>
        <v>875137.85593906045</v>
      </c>
      <c r="T43" s="51">
        <f>Model!$B$32+(90-Model!$B$6)*SIN(RADIANS(-15*(E43+6)))</f>
        <v>-23.972478513377744</v>
      </c>
      <c r="U43" s="46">
        <f t="shared" si="7"/>
        <v>0</v>
      </c>
      <c r="V43" s="51">
        <f t="shared" si="8"/>
        <v>99999</v>
      </c>
      <c r="W43" s="46">
        <f t="shared" si="9"/>
        <v>4.2253521126760563E-2</v>
      </c>
      <c r="X43" s="46">
        <f>0.3*W43*Model!$B$9</f>
        <v>3.8275201289827652</v>
      </c>
      <c r="Y43" s="17">
        <f>(S43-X43)/Model!$B$11</f>
        <v>1.8773657157973429E-2</v>
      </c>
      <c r="Z43" s="46">
        <f t="shared" si="10"/>
        <v>4.3736196566147536E-4</v>
      </c>
      <c r="AA43" s="57">
        <f>Y43/Model!$B$12*3600</f>
        <v>121.55058813669231</v>
      </c>
      <c r="AB43" s="51">
        <f t="shared" si="16"/>
        <v>1531.1201564913538</v>
      </c>
      <c r="AC43" s="51">
        <f t="shared" si="17"/>
        <v>268.87984350864622</v>
      </c>
      <c r="AD43" s="13">
        <f>IF(AE43=0, Model!$B$19, 0 )</f>
        <v>0</v>
      </c>
      <c r="AE43" s="51">
        <f>IF(AE42+AB42-AB43&lt;Model!$B$19*Model!$B$18, AE42+AB42-AB43,  0)</f>
        <v>268.87984350864622</v>
      </c>
      <c r="AF43" s="13">
        <f t="shared" si="11"/>
        <v>2.0500000000000007</v>
      </c>
      <c r="AG43" s="50">
        <f t="shared" si="12"/>
        <v>0</v>
      </c>
    </row>
    <row r="44" spans="2:33" x14ac:dyDescent="0.25">
      <c r="B44" s="15">
        <f t="shared" si="13"/>
        <v>2.1000000000000005</v>
      </c>
      <c r="C44" s="15">
        <f>B44+Model!$B$4</f>
        <v>4.1000000000000005</v>
      </c>
      <c r="D44" s="15">
        <f t="shared" si="14"/>
        <v>1</v>
      </c>
      <c r="E44" s="15">
        <f t="shared" si="19"/>
        <v>4.1000000000000005</v>
      </c>
      <c r="F44" s="16">
        <f>IF(AB44&gt;0, VLOOKUP(B44,Model!$A$40:$B$60, 2), 0)</f>
        <v>300</v>
      </c>
      <c r="G44" s="15">
        <f>IF(AB44&gt;0, VLOOKUP(B44,Model!$A$39:$C$58, 3), 0)</f>
        <v>1</v>
      </c>
      <c r="H44" s="15">
        <f t="shared" si="0"/>
        <v>97</v>
      </c>
      <c r="I44" s="45">
        <f>Model!$B$21*EXP((-0.029*9.81*F44)/(8.31*(273+J44)))</f>
        <v>100357.4491247143</v>
      </c>
      <c r="J44" s="15">
        <f>IF(Model!$B$31="Summer",  IF(F44&lt;=2000,  Model!$B$20-Model!$B$35*F44/1000,  IF(F44&lt;Model!$B$36,  Model!$B$33-6.5*F44/1000,  Model!$B$38)),     IF(F44&lt;=2000,  Model!$B$20-Model!$B$35*F44/1000,  IF(F44&lt;Model!$B$36,  Model!$B$33-5.4*F44/1000,   Model!$B$38)))</f>
        <v>-19.088750000000001</v>
      </c>
      <c r="K44" s="15">
        <f t="shared" si="1"/>
        <v>253.91125</v>
      </c>
      <c r="L44" s="45">
        <f>IF(AB43-AA43*(B44-B43)&gt;0, L43-Y43*(B44-B43)*3600-AD44*Model!$B$16, 0)</f>
        <v>1698.9618267246699</v>
      </c>
      <c r="M44" s="56">
        <f t="shared" si="2"/>
        <v>96.229152751233016</v>
      </c>
      <c r="N44" s="56">
        <f>Model!$B$13*I44*K44/(Model!$B$13*I44-L44*287*K44)</f>
        <v>369.22915275123302</v>
      </c>
      <c r="O44" s="56">
        <f t="shared" si="3"/>
        <v>311.57020137561653</v>
      </c>
      <c r="P44" s="56">
        <f t="shared" si="4"/>
        <v>38.570483065757351</v>
      </c>
      <c r="Q44" s="62">
        <f t="shared" si="5"/>
        <v>2.6738484297668775E-2</v>
      </c>
      <c r="R44" s="33">
        <f t="shared" si="6"/>
        <v>1.7611300943064117E-5</v>
      </c>
      <c r="S44" s="45">
        <f>0.37*Model!$B$10*(Q44^2*(N44-K44)*I44/(R44*O44^2))^0.33333*(N44-K44)</f>
        <v>872111.33754862472</v>
      </c>
      <c r="T44" s="50">
        <f>Model!$B$32+(90-Model!$B$6)*SIN(RADIANS(-15*(E44+6)))</f>
        <v>-23.571291670070597</v>
      </c>
      <c r="U44" s="45">
        <f t="shared" si="7"/>
        <v>0</v>
      </c>
      <c r="V44" s="50">
        <f t="shared" si="8"/>
        <v>99999</v>
      </c>
      <c r="W44" s="45">
        <f t="shared" si="9"/>
        <v>4.2253521126760563E-2</v>
      </c>
      <c r="X44" s="45">
        <f>0.3*W44*Model!$B$9</f>
        <v>3.8275201289827652</v>
      </c>
      <c r="Y44" s="33">
        <f>(S44-X44)/Model!$B$11</f>
        <v>1.8708731310275568E-2</v>
      </c>
      <c r="Z44" s="45">
        <f t="shared" si="10"/>
        <v>4.3887975814433912E-4</v>
      </c>
      <c r="AA44" s="56">
        <f>Y44/Model!$B$12*3600</f>
        <v>121.13022385143123</v>
      </c>
      <c r="AB44" s="50">
        <f t="shared" si="16"/>
        <v>1525.0426270845192</v>
      </c>
      <c r="AC44" s="50">
        <f t="shared" si="17"/>
        <v>274.95737291548085</v>
      </c>
      <c r="AD44" s="15">
        <f>IF(AE44=0, Model!$B$19, 0 )</f>
        <v>0</v>
      </c>
      <c r="AE44" s="50">
        <f>IF(AE43+AB43-AB44&lt;Model!$B$19*Model!$B$18, AE43+AB43-AB44,  0)</f>
        <v>274.95737291548085</v>
      </c>
      <c r="AF44" s="15">
        <f t="shared" si="11"/>
        <v>2.1000000000000005</v>
      </c>
      <c r="AG44" s="50">
        <f t="shared" si="12"/>
        <v>0</v>
      </c>
    </row>
    <row r="45" spans="2:33" x14ac:dyDescent="0.25">
      <c r="B45" s="13">
        <f t="shared" si="13"/>
        <v>2.1500000000000004</v>
      </c>
      <c r="C45" s="13">
        <f>B45+Model!$B$4</f>
        <v>4.1500000000000004</v>
      </c>
      <c r="D45" s="13">
        <f t="shared" si="14"/>
        <v>1</v>
      </c>
      <c r="E45" s="13">
        <f t="shared" si="19"/>
        <v>4.1500000000000004</v>
      </c>
      <c r="F45" s="14">
        <f>IF(AB45&gt;0, VLOOKUP(B45,Model!$A$40:$B$60, 2), 0)</f>
        <v>300</v>
      </c>
      <c r="G45" s="13">
        <f>IF(AB45&gt;0, VLOOKUP(B45,Model!$A$39:$C$58, 3), 0)</f>
        <v>1</v>
      </c>
      <c r="H45" s="13">
        <f t="shared" si="0"/>
        <v>97</v>
      </c>
      <c r="I45" s="46">
        <f>Model!$B$21*EXP((-0.029*9.81*F45)/(8.31*(273+J45)))</f>
        <v>100357.4491247143</v>
      </c>
      <c r="J45" s="13">
        <f>IF(Model!$B$31="Summer",  IF(F45&lt;=2000,  Model!$B$20-Model!$B$35*F45/1000,  IF(F45&lt;Model!$B$36,  Model!$B$33-6.5*F45/1000,  Model!$B$38)),     IF(F45&lt;=2000,  Model!$B$20-Model!$B$35*F45/1000,  IF(F45&lt;Model!$B$36,  Model!$B$33-5.4*F45/1000,   Model!$B$38)))</f>
        <v>-19.088750000000001</v>
      </c>
      <c r="K45" s="13">
        <f t="shared" si="1"/>
        <v>253.91125</v>
      </c>
      <c r="L45" s="46">
        <f>IF(AB44-AA44*(B45-B44)&gt;0, L44-Y44*(B45-B44)*3600-AD45*Model!$B$16, 0)</f>
        <v>1695.5942550888203</v>
      </c>
      <c r="M45" s="57">
        <f t="shared" si="2"/>
        <v>95.897064727689042</v>
      </c>
      <c r="N45" s="57">
        <f>Model!$B$13*I45*K45/(Model!$B$13*I45-L45*287*K45)</f>
        <v>368.89706472768904</v>
      </c>
      <c r="O45" s="57">
        <f t="shared" si="3"/>
        <v>311.40415736384455</v>
      </c>
      <c r="P45" s="57">
        <f t="shared" si="4"/>
        <v>38.404439053985364</v>
      </c>
      <c r="Q45" s="63">
        <f t="shared" si="5"/>
        <v>2.6726695172832965E-2</v>
      </c>
      <c r="R45" s="17">
        <f t="shared" si="6"/>
        <v>1.7594032365839834E-5</v>
      </c>
      <c r="S45" s="46">
        <f>0.37*Model!$B$10*(Q45^2*(N45-K45)*I45/(R45*O45^2))^0.33333*(N45-K45)</f>
        <v>869101.80108444614</v>
      </c>
      <c r="T45" s="51">
        <f>Model!$B$32+(90-Model!$B$6)*SIN(RADIANS(-15*(E45+6)))</f>
        <v>-23.16724327236323</v>
      </c>
      <c r="U45" s="46">
        <f t="shared" si="7"/>
        <v>0</v>
      </c>
      <c r="V45" s="51">
        <f t="shared" si="8"/>
        <v>99999</v>
      </c>
      <c r="W45" s="46">
        <f t="shared" si="9"/>
        <v>4.2253521126760563E-2</v>
      </c>
      <c r="X45" s="46">
        <f>0.3*W45*Model!$B$9</f>
        <v>3.8275201289827652</v>
      </c>
      <c r="Y45" s="17">
        <f>(S45-X45)/Model!$B$11</f>
        <v>1.864416976433159E-2</v>
      </c>
      <c r="Z45" s="46">
        <f t="shared" si="10"/>
        <v>4.4039951639806402E-4</v>
      </c>
      <c r="AA45" s="57">
        <f>Y45/Model!$B$12*3600</f>
        <v>120.71221824844875</v>
      </c>
      <c r="AB45" s="51">
        <f t="shared" si="16"/>
        <v>1518.9861158919475</v>
      </c>
      <c r="AC45" s="51">
        <f t="shared" si="17"/>
        <v>281.01388410805248</v>
      </c>
      <c r="AD45" s="13">
        <f>IF(AE45=0, Model!$B$19, 0 )</f>
        <v>0</v>
      </c>
      <c r="AE45" s="51">
        <f>IF(AE44+AB44-AB45&lt;Model!$B$19*Model!$B$18, AE44+AB44-AB45,  0)</f>
        <v>281.01388410805248</v>
      </c>
      <c r="AF45" s="13">
        <f t="shared" si="11"/>
        <v>2.1500000000000004</v>
      </c>
      <c r="AG45" s="50">
        <f t="shared" si="12"/>
        <v>0</v>
      </c>
    </row>
    <row r="46" spans="2:33" x14ac:dyDescent="0.25">
      <c r="B46" s="15">
        <f t="shared" si="13"/>
        <v>2.2000000000000002</v>
      </c>
      <c r="C46" s="15">
        <f>B46+Model!$B$4</f>
        <v>4.2</v>
      </c>
      <c r="D46" s="15">
        <f t="shared" si="14"/>
        <v>1</v>
      </c>
      <c r="E46" s="15">
        <f t="shared" si="19"/>
        <v>4.2</v>
      </c>
      <c r="F46" s="16">
        <f>IF(AB46&gt;0, VLOOKUP(B46,Model!$A$40:$B$60, 2), 0)</f>
        <v>300</v>
      </c>
      <c r="G46" s="15">
        <f>IF(AB46&gt;0, VLOOKUP(B46,Model!$A$39:$C$58, 3), 0)</f>
        <v>1</v>
      </c>
      <c r="H46" s="15">
        <f t="shared" si="0"/>
        <v>97</v>
      </c>
      <c r="I46" s="45">
        <f>Model!$B$21*EXP((-0.029*9.81*F46)/(8.31*(273+J46)))</f>
        <v>100357.4491247143</v>
      </c>
      <c r="J46" s="15">
        <f>IF(Model!$B$31="Summer",  IF(F46&lt;=2000,  Model!$B$20-Model!$B$35*F46/1000,  IF(F46&lt;Model!$B$36,  Model!$B$33-6.5*F46/1000,  Model!$B$38)),     IF(F46&lt;=2000,  Model!$B$20-Model!$B$35*F46/1000,  IF(F46&lt;Model!$B$36,  Model!$B$33-5.4*F46/1000,   Model!$B$38)))</f>
        <v>-19.088750000000001</v>
      </c>
      <c r="K46" s="15">
        <f t="shared" si="1"/>
        <v>253.91125</v>
      </c>
      <c r="L46" s="45">
        <f>IF(AB45-AA45*(B46-B45)&gt;0, L45-Y45*(B46-B45)*3600-AD46*Model!$B$16, 0)</f>
        <v>1692.2383045312406</v>
      </c>
      <c r="M46" s="56">
        <f t="shared" si="2"/>
        <v>95.566716444480107</v>
      </c>
      <c r="N46" s="56">
        <f>Model!$B$13*I46*K46/(Model!$B$13*I46-L46*287*K46)</f>
        <v>368.56671644448011</v>
      </c>
      <c r="O46" s="56">
        <f t="shared" si="3"/>
        <v>311.23898322224005</v>
      </c>
      <c r="P46" s="56">
        <f t="shared" si="4"/>
        <v>38.239264912380897</v>
      </c>
      <c r="Q46" s="62">
        <f t="shared" si="5"/>
        <v>2.6714967808779043E-2</v>
      </c>
      <c r="R46" s="33">
        <f t="shared" si="6"/>
        <v>1.7576854255112966E-5</v>
      </c>
      <c r="S46" s="45">
        <f>0.37*Model!$B$10*(Q46^2*(N46-K46)*I46/(R46*O46^2))^0.33333*(N46-K46)</f>
        <v>866109.10570508323</v>
      </c>
      <c r="T46" s="50">
        <f>Model!$B$32+(90-Model!$B$6)*SIN(RADIANS(-15*(E46+6)))</f>
        <v>-22.760402551868463</v>
      </c>
      <c r="U46" s="45">
        <f t="shared" si="7"/>
        <v>0</v>
      </c>
      <c r="V46" s="50">
        <f t="shared" si="8"/>
        <v>99999</v>
      </c>
      <c r="W46" s="45">
        <f t="shared" si="9"/>
        <v>4.2253521126760563E-2</v>
      </c>
      <c r="X46" s="45">
        <f>0.3*W46*Model!$B$9</f>
        <v>3.8275201289827652</v>
      </c>
      <c r="Y46" s="33">
        <f>(S46-X46)/Model!$B$11</f>
        <v>1.857996949876551E-2</v>
      </c>
      <c r="Z46" s="45">
        <f t="shared" si="10"/>
        <v>4.4192124338270902E-4</v>
      </c>
      <c r="AA46" s="56">
        <f>Y46/Model!$B$12*3600</f>
        <v>120.29655176575845</v>
      </c>
      <c r="AB46" s="50">
        <f t="shared" si="16"/>
        <v>1512.950504979525</v>
      </c>
      <c r="AC46" s="50">
        <f t="shared" si="17"/>
        <v>287.04949502047498</v>
      </c>
      <c r="AD46" s="15">
        <f>IF(AE46=0, Model!$B$19, 0 )</f>
        <v>0</v>
      </c>
      <c r="AE46" s="50">
        <f>IF(AE45+AB45-AB46&lt;Model!$B$19*Model!$B$18, AE45+AB45-AB46,  0)</f>
        <v>287.04949502047498</v>
      </c>
      <c r="AF46" s="15">
        <f t="shared" si="11"/>
        <v>2.2000000000000002</v>
      </c>
      <c r="AG46" s="50">
        <f t="shared" si="12"/>
        <v>0</v>
      </c>
    </row>
    <row r="47" spans="2:33" x14ac:dyDescent="0.25">
      <c r="B47" s="13">
        <f t="shared" si="13"/>
        <v>2.25</v>
      </c>
      <c r="C47" s="13">
        <f>B47+Model!$B$4</f>
        <v>4.25</v>
      </c>
      <c r="D47" s="13">
        <f t="shared" si="14"/>
        <v>1</v>
      </c>
      <c r="E47" s="13">
        <f t="shared" si="19"/>
        <v>4.25</v>
      </c>
      <c r="F47" s="14">
        <f>IF(AB47&gt;0, VLOOKUP(B47,Model!$A$40:$B$60, 2), 0)</f>
        <v>300</v>
      </c>
      <c r="G47" s="13">
        <f>IF(AB47&gt;0, VLOOKUP(B47,Model!$A$39:$C$58, 3), 0)</f>
        <v>1</v>
      </c>
      <c r="H47" s="13">
        <f t="shared" si="0"/>
        <v>97</v>
      </c>
      <c r="I47" s="46">
        <f>Model!$B$21*EXP((-0.029*9.81*F47)/(8.31*(273+J47)))</f>
        <v>100357.4491247143</v>
      </c>
      <c r="J47" s="13">
        <f>IF(Model!$B$31="Summer",  IF(F47&lt;=2000,  Model!$B$20-Model!$B$35*F47/1000,  IF(F47&lt;Model!$B$36,  Model!$B$33-6.5*F47/1000,  Model!$B$38)),     IF(F47&lt;=2000,  Model!$B$20-Model!$B$35*F47/1000,  IF(F47&lt;Model!$B$36,  Model!$B$33-5.4*F47/1000,   Model!$B$38)))</f>
        <v>-19.088750000000001</v>
      </c>
      <c r="K47" s="13">
        <f t="shared" si="1"/>
        <v>253.91125</v>
      </c>
      <c r="L47" s="46">
        <f>IF(AB46-AA46*(B47-B46)&gt;0, L46-Y46*(B47-B46)*3600-AD47*Model!$B$16, 0)</f>
        <v>1688.8939100214627</v>
      </c>
      <c r="M47" s="57">
        <f t="shared" si="2"/>
        <v>95.238093777241943</v>
      </c>
      <c r="N47" s="57">
        <f>Model!$B$13*I47*K47/(Model!$B$13*I47-L47*287*K47)</f>
        <v>368.23809377724194</v>
      </c>
      <c r="O47" s="57">
        <f t="shared" si="3"/>
        <v>311.07467188862097</v>
      </c>
      <c r="P47" s="57">
        <f t="shared" si="4"/>
        <v>38.074953578761814</v>
      </c>
      <c r="Q47" s="63">
        <f t="shared" si="5"/>
        <v>2.6703301704092089E-2</v>
      </c>
      <c r="R47" s="17">
        <f t="shared" si="6"/>
        <v>1.755976587641658E-5</v>
      </c>
      <c r="S47" s="46">
        <f>0.37*Model!$B$10*(Q47^2*(N47-K47)*I47/(R47*O47^2))^0.33333*(N47-K47)</f>
        <v>863133.11215271719</v>
      </c>
      <c r="T47" s="51">
        <f>Model!$B$32+(90-Model!$B$6)*SIN(RADIANS(-15*(E47+6)))</f>
        <v>-22.350839218649369</v>
      </c>
      <c r="U47" s="46">
        <f t="shared" si="7"/>
        <v>0</v>
      </c>
      <c r="V47" s="51">
        <f t="shared" si="8"/>
        <v>99999</v>
      </c>
      <c r="W47" s="46">
        <f t="shared" si="9"/>
        <v>4.2253521126760563E-2</v>
      </c>
      <c r="X47" s="46">
        <f>0.3*W47*Model!$B$9</f>
        <v>3.8275201289827652</v>
      </c>
      <c r="Y47" s="17">
        <f>(S47-X47)/Model!$B$11</f>
        <v>1.8516127526173723E-2</v>
      </c>
      <c r="Z47" s="46">
        <f t="shared" si="10"/>
        <v>4.4344494204800577E-4</v>
      </c>
      <c r="AA47" s="57">
        <f>Y47/Model!$B$12*3600</f>
        <v>119.88320506132889</v>
      </c>
      <c r="AB47" s="51">
        <f t="shared" si="16"/>
        <v>1506.935677391237</v>
      </c>
      <c r="AC47" s="51">
        <f t="shared" si="17"/>
        <v>293.06432260876295</v>
      </c>
      <c r="AD47" s="13">
        <f>IF(AE47=0, Model!$B$19, 0 )</f>
        <v>0</v>
      </c>
      <c r="AE47" s="51">
        <f>IF(AE46+AB46-AB47&lt;Model!$B$19*Model!$B$18, AE46+AB46-AB47,  0)</f>
        <v>293.06432260876295</v>
      </c>
      <c r="AF47" s="13">
        <f t="shared" si="11"/>
        <v>2.25</v>
      </c>
      <c r="AG47" s="50">
        <f t="shared" si="12"/>
        <v>0</v>
      </c>
    </row>
    <row r="48" spans="2:33" x14ac:dyDescent="0.25">
      <c r="B48" s="15">
        <f t="shared" si="13"/>
        <v>2.2999999999999998</v>
      </c>
      <c r="C48" s="15">
        <f>B48+Model!$B$4</f>
        <v>4.3</v>
      </c>
      <c r="D48" s="15">
        <f t="shared" si="14"/>
        <v>1</v>
      </c>
      <c r="E48" s="15">
        <f t="shared" si="19"/>
        <v>4.3</v>
      </c>
      <c r="F48" s="16">
        <f>IF(AB48&gt;0, VLOOKUP(B48,Model!$A$40:$B$60, 2), 0)</f>
        <v>300</v>
      </c>
      <c r="G48" s="15">
        <f>IF(AB48&gt;0, VLOOKUP(B48,Model!$A$39:$C$58, 3), 0)</f>
        <v>1</v>
      </c>
      <c r="H48" s="15">
        <f t="shared" si="0"/>
        <v>97</v>
      </c>
      <c r="I48" s="45">
        <f>Model!$B$21*EXP((-0.029*9.81*F48)/(8.31*(273+J48)))</f>
        <v>100357.4491247143</v>
      </c>
      <c r="J48" s="15">
        <f>IF(Model!$B$31="Summer",  IF(F48&lt;=2000,  Model!$B$20-Model!$B$35*F48/1000,  IF(F48&lt;Model!$B$36,  Model!$B$33-6.5*F48/1000,  Model!$B$38)),     IF(F48&lt;=2000,  Model!$B$20-Model!$B$35*F48/1000,  IF(F48&lt;Model!$B$36,  Model!$B$33-5.4*F48/1000,   Model!$B$38)))</f>
        <v>-19.088750000000001</v>
      </c>
      <c r="K48" s="15">
        <f t="shared" si="1"/>
        <v>253.91125</v>
      </c>
      <c r="L48" s="45">
        <f>IF(AB47-AA47*(B48-B47)&gt;0, L47-Y47*(B48-B47)*3600-AD48*Model!$B$16, 0)</f>
        <v>1685.5610070667515</v>
      </c>
      <c r="M48" s="56">
        <f t="shared" si="2"/>
        <v>94.911182759423411</v>
      </c>
      <c r="N48" s="56">
        <f>Model!$B$13*I48*K48/(Model!$B$13*I48-L48*287*K48)</f>
        <v>367.91118275942341</v>
      </c>
      <c r="O48" s="56">
        <f t="shared" si="3"/>
        <v>310.91121637971173</v>
      </c>
      <c r="P48" s="56">
        <f t="shared" si="4"/>
        <v>37.911498069852549</v>
      </c>
      <c r="Q48" s="62">
        <f t="shared" si="5"/>
        <v>2.6691696362959535E-2</v>
      </c>
      <c r="R48" s="33">
        <f t="shared" si="6"/>
        <v>1.7542766503490022E-5</v>
      </c>
      <c r="S48" s="45">
        <f>0.37*Model!$B$10*(Q48^2*(N48-K48)*I48/(R48*O48^2))^0.33333*(N48-K48)</f>
        <v>860173.6827305113</v>
      </c>
      <c r="T48" s="50">
        <f>Model!$B$32+(90-Model!$B$6)*SIN(RADIANS(-15*(E48+6)))</f>
        <v>-21.938623449274651</v>
      </c>
      <c r="U48" s="45">
        <f t="shared" si="7"/>
        <v>0</v>
      </c>
      <c r="V48" s="50">
        <f t="shared" si="8"/>
        <v>99999</v>
      </c>
      <c r="W48" s="45">
        <f t="shared" si="9"/>
        <v>4.2253521126760563E-2</v>
      </c>
      <c r="X48" s="45">
        <f>0.3*W48*Model!$B$9</f>
        <v>3.8275201289827652</v>
      </c>
      <c r="Y48" s="33">
        <f>(S48-X48)/Model!$B$11</f>
        <v>1.8452640892639326E-2</v>
      </c>
      <c r="Z48" s="45">
        <f t="shared" si="10"/>
        <v>4.449706153334978E-4</v>
      </c>
      <c r="AA48" s="56">
        <f>Y48/Model!$B$12*3600</f>
        <v>119.47215900993943</v>
      </c>
      <c r="AB48" s="50">
        <f t="shared" si="16"/>
        <v>1500.9415171381706</v>
      </c>
      <c r="AC48" s="50">
        <f t="shared" si="17"/>
        <v>299.05848286182936</v>
      </c>
      <c r="AD48" s="15">
        <f>IF(AE48=0, Model!$B$19, 0 )</f>
        <v>0</v>
      </c>
      <c r="AE48" s="50">
        <f>IF(AE47+AB47-AB48&lt;Model!$B$19*Model!$B$18, AE47+AB47-AB48,  0)</f>
        <v>299.05848286182936</v>
      </c>
      <c r="AF48" s="15">
        <f t="shared" si="11"/>
        <v>2.2999999999999998</v>
      </c>
      <c r="AG48" s="50">
        <f t="shared" si="12"/>
        <v>0</v>
      </c>
    </row>
    <row r="49" spans="2:33" x14ac:dyDescent="0.25">
      <c r="B49" s="13">
        <f t="shared" si="13"/>
        <v>2.3499999999999996</v>
      </c>
      <c r="C49" s="13">
        <f>B49+Model!$B$4</f>
        <v>4.3499999999999996</v>
      </c>
      <c r="D49" s="13">
        <f t="shared" si="14"/>
        <v>1</v>
      </c>
      <c r="E49" s="13">
        <f t="shared" si="19"/>
        <v>4.3499999999999996</v>
      </c>
      <c r="F49" s="14">
        <f>IF(AB49&gt;0, VLOOKUP(B49,Model!$A$40:$B$60, 2), 0)</f>
        <v>300</v>
      </c>
      <c r="G49" s="13">
        <f>IF(AB49&gt;0, VLOOKUP(B49,Model!$A$39:$C$58, 3), 0)</f>
        <v>1</v>
      </c>
      <c r="H49" s="13">
        <f t="shared" si="0"/>
        <v>97</v>
      </c>
      <c r="I49" s="46">
        <f>Model!$B$21*EXP((-0.029*9.81*F49)/(8.31*(273+J49)))</f>
        <v>100357.4491247143</v>
      </c>
      <c r="J49" s="13">
        <f>IF(Model!$B$31="Summer",  IF(F49&lt;=2000,  Model!$B$20-Model!$B$35*F49/1000,  IF(F49&lt;Model!$B$36,  Model!$B$33-6.5*F49/1000,  Model!$B$38)),     IF(F49&lt;=2000,  Model!$B$20-Model!$B$35*F49/1000,  IF(F49&lt;Model!$B$36,  Model!$B$33-5.4*F49/1000,   Model!$B$38)))</f>
        <v>-19.088750000000001</v>
      </c>
      <c r="K49" s="13">
        <f t="shared" si="1"/>
        <v>253.91125</v>
      </c>
      <c r="L49" s="46">
        <f>IF(AB48-AA48*(B49-B48)&gt;0, L48-Y48*(B49-B48)*3600-AD49*Model!$B$16, 0)</f>
        <v>1682.2395317060764</v>
      </c>
      <c r="M49" s="57">
        <f t="shared" si="2"/>
        <v>94.585969580036988</v>
      </c>
      <c r="N49" s="57">
        <f>Model!$B$13*I49*K49/(Model!$B$13*I49-L49*287*K49)</f>
        <v>367.58596958003699</v>
      </c>
      <c r="O49" s="57">
        <f t="shared" si="3"/>
        <v>310.74860979001846</v>
      </c>
      <c r="P49" s="57">
        <f t="shared" si="4"/>
        <v>37.748891480159337</v>
      </c>
      <c r="Q49" s="63">
        <f t="shared" si="5"/>
        <v>2.6680151295091312E-2</v>
      </c>
      <c r="R49" s="17">
        <f t="shared" si="6"/>
        <v>1.7525855418161919E-5</v>
      </c>
      <c r="S49" s="46">
        <f>0.37*Model!$B$10*(Q49^2*(N49-K49)*I49/(R49*O49^2))^0.33333*(N49-K49)</f>
        <v>857230.68128038256</v>
      </c>
      <c r="T49" s="51">
        <f>Model!$B$32+(90-Model!$B$6)*SIN(RADIANS(-15*(E49+6)))</f>
        <v>-21.523825874794301</v>
      </c>
      <c r="U49" s="46">
        <f t="shared" si="7"/>
        <v>0</v>
      </c>
      <c r="V49" s="51">
        <f t="shared" si="8"/>
        <v>99999</v>
      </c>
      <c r="W49" s="46">
        <f t="shared" si="9"/>
        <v>4.2253521126760563E-2</v>
      </c>
      <c r="X49" s="46">
        <f>0.3*W49*Model!$B$9</f>
        <v>3.8275201289827652</v>
      </c>
      <c r="Y49" s="17">
        <f>(S49-X49)/Model!$B$11</f>
        <v>1.8389506677255252E-2</v>
      </c>
      <c r="Z49" s="46">
        <f t="shared" si="10"/>
        <v>4.464982661686676E-4</v>
      </c>
      <c r="AA49" s="57">
        <f>Y49/Model!$B$12*3600</f>
        <v>119.06339470009246</v>
      </c>
      <c r="AB49" s="51">
        <f t="shared" si="16"/>
        <v>1494.9679091876737</v>
      </c>
      <c r="AC49" s="51">
        <f t="shared" si="17"/>
        <v>305.03209081232626</v>
      </c>
      <c r="AD49" s="13">
        <f>IF(AE49=0, Model!$B$19, 0 )</f>
        <v>0</v>
      </c>
      <c r="AE49" s="51">
        <f>IF(AE48+AB48-AB49&lt;Model!$B$19*Model!$B$18, AE48+AB48-AB49,  0)</f>
        <v>305.03209081232626</v>
      </c>
      <c r="AF49" s="13">
        <f t="shared" si="11"/>
        <v>2.3499999999999996</v>
      </c>
      <c r="AG49" s="50">
        <f t="shared" si="12"/>
        <v>0</v>
      </c>
    </row>
    <row r="50" spans="2:33" x14ac:dyDescent="0.25">
      <c r="B50" s="15">
        <f t="shared" si="13"/>
        <v>2.3999999999999995</v>
      </c>
      <c r="C50" s="15">
        <f>B50+Model!$B$4</f>
        <v>4.3999999999999995</v>
      </c>
      <c r="D50" s="15">
        <f t="shared" si="14"/>
        <v>1</v>
      </c>
      <c r="E50" s="15">
        <f t="shared" si="19"/>
        <v>4.3999999999999995</v>
      </c>
      <c r="F50" s="16">
        <f>IF(AB50&gt;0, VLOOKUP(B50,Model!$A$40:$B$60, 2), 0)</f>
        <v>300</v>
      </c>
      <c r="G50" s="15">
        <f>IF(AB50&gt;0, VLOOKUP(B50,Model!$A$39:$C$58, 3), 0)</f>
        <v>1</v>
      </c>
      <c r="H50" s="15">
        <f t="shared" si="0"/>
        <v>97</v>
      </c>
      <c r="I50" s="45">
        <f>Model!$B$21*EXP((-0.029*9.81*F50)/(8.31*(273+J50)))</f>
        <v>100357.4491247143</v>
      </c>
      <c r="J50" s="15">
        <f>IF(Model!$B$31="Summer",  IF(F50&lt;=2000,  Model!$B$20-Model!$B$35*F50/1000,  IF(F50&lt;Model!$B$36,  Model!$B$33-6.5*F50/1000,  Model!$B$38)),     IF(F50&lt;=2000,  Model!$B$20-Model!$B$35*F50/1000,  IF(F50&lt;Model!$B$36,  Model!$B$33-5.4*F50/1000,   Model!$B$38)))</f>
        <v>-19.088750000000001</v>
      </c>
      <c r="K50" s="15">
        <f t="shared" si="1"/>
        <v>253.91125</v>
      </c>
      <c r="L50" s="45">
        <f>IF(AB49-AA49*(B50-B49)&gt;0, L49-Y49*(B50-B49)*3600-AD50*Model!$B$16, 0)</f>
        <v>1678.9294205041704</v>
      </c>
      <c r="M50" s="56">
        <f t="shared" si="2"/>
        <v>94.262440581446697</v>
      </c>
      <c r="N50" s="56">
        <f>Model!$B$13*I50*K50/(Model!$B$13*I50-L50*287*K50)</f>
        <v>367.2624405814467</v>
      </c>
      <c r="O50" s="56">
        <f t="shared" si="3"/>
        <v>310.58684529072332</v>
      </c>
      <c r="P50" s="56">
        <f t="shared" si="4"/>
        <v>37.587126980864191</v>
      </c>
      <c r="Q50" s="62">
        <f t="shared" si="5"/>
        <v>2.6668666015641357E-2</v>
      </c>
      <c r="R50" s="33">
        <f t="shared" si="6"/>
        <v>1.7509031910235221E-5</v>
      </c>
      <c r="S50" s="45">
        <f>0.37*Model!$B$10*(Q50^2*(N50-K50)*I50/(R50*O50^2))^0.33333*(N50-K50)</f>
        <v>854303.97316113813</v>
      </c>
      <c r="T50" s="50">
        <f>Model!$B$32+(90-Model!$B$6)*SIN(RADIANS(-15*(E50+6)))</f>
        <v>-21.106517568637351</v>
      </c>
      <c r="U50" s="45">
        <f t="shared" si="7"/>
        <v>0</v>
      </c>
      <c r="V50" s="50">
        <f t="shared" si="8"/>
        <v>99999</v>
      </c>
      <c r="W50" s="45">
        <f t="shared" si="9"/>
        <v>4.2253521126760563E-2</v>
      </c>
      <c r="X50" s="45">
        <f>0.3*W50*Model!$B$9</f>
        <v>3.8275201289827652</v>
      </c>
      <c r="Y50" s="33">
        <f>(S50-X50)/Model!$B$11</f>
        <v>1.8326721991655241E-2</v>
      </c>
      <c r="Z50" s="45">
        <f t="shared" si="10"/>
        <v>4.4802789747307208E-4</v>
      </c>
      <c r="AA50" s="56">
        <f>Y50/Model!$B$12*3600</f>
        <v>118.65689343097679</v>
      </c>
      <c r="AB50" s="50">
        <f t="shared" si="16"/>
        <v>1489.0147394526691</v>
      </c>
      <c r="AC50" s="50">
        <f t="shared" si="17"/>
        <v>310.98526054733088</v>
      </c>
      <c r="AD50" s="15">
        <f>IF(AE50=0, Model!$B$19, 0 )</f>
        <v>0</v>
      </c>
      <c r="AE50" s="50">
        <f>IF(AE49+AB49-AB50&lt;Model!$B$19*Model!$B$18, AE49+AB49-AB50,  0)</f>
        <v>310.98526054733088</v>
      </c>
      <c r="AF50" s="15">
        <f t="shared" si="11"/>
        <v>2.3999999999999995</v>
      </c>
      <c r="AG50" s="50">
        <f t="shared" si="12"/>
        <v>0</v>
      </c>
    </row>
    <row r="51" spans="2:33" x14ac:dyDescent="0.25">
      <c r="B51" s="13">
        <f t="shared" si="13"/>
        <v>2.4499999999999993</v>
      </c>
      <c r="C51" s="13">
        <f>B51+Model!$B$4</f>
        <v>4.4499999999999993</v>
      </c>
      <c r="D51" s="13">
        <f t="shared" si="14"/>
        <v>1</v>
      </c>
      <c r="E51" s="13">
        <f t="shared" si="19"/>
        <v>4.4499999999999993</v>
      </c>
      <c r="F51" s="14">
        <f>IF(AB51&gt;0, VLOOKUP(B51,Model!$A$40:$B$60, 2), 0)</f>
        <v>300</v>
      </c>
      <c r="G51" s="13">
        <f>IF(AB51&gt;0, VLOOKUP(B51,Model!$A$39:$C$58, 3), 0)</f>
        <v>1</v>
      </c>
      <c r="H51" s="13">
        <f t="shared" si="0"/>
        <v>97</v>
      </c>
      <c r="I51" s="46">
        <f>Model!$B$21*EXP((-0.029*9.81*F51)/(8.31*(273+J51)))</f>
        <v>100357.4491247143</v>
      </c>
      <c r="J51" s="13">
        <f>IF(Model!$B$31="Summer",  IF(F51&lt;=2000,  Model!$B$20-Model!$B$35*F51/1000,  IF(F51&lt;Model!$B$36,  Model!$B$33-6.5*F51/1000,  Model!$B$38)),     IF(F51&lt;=2000,  Model!$B$20-Model!$B$35*F51/1000,  IF(F51&lt;Model!$B$36,  Model!$B$33-5.4*F51/1000,   Model!$B$38)))</f>
        <v>-19.088750000000001</v>
      </c>
      <c r="K51" s="13">
        <f t="shared" si="1"/>
        <v>253.91125</v>
      </c>
      <c r="L51" s="46">
        <f>IF(AB50-AA50*(B51-B50)&gt;0, L50-Y50*(B51-B50)*3600-AD51*Model!$B$16, 0)</f>
        <v>1675.6306105456724</v>
      </c>
      <c r="M51" s="57">
        <f t="shared" si="2"/>
        <v>93.940582257195558</v>
      </c>
      <c r="N51" s="57">
        <f>Model!$B$13*I51*K51/(Model!$B$13*I51-L51*287*K51)</f>
        <v>366.94058225719556</v>
      </c>
      <c r="O51" s="57">
        <f t="shared" si="3"/>
        <v>310.42591612859781</v>
      </c>
      <c r="P51" s="57">
        <f t="shared" si="4"/>
        <v>37.426197818738622</v>
      </c>
      <c r="Q51" s="63">
        <f t="shared" si="5"/>
        <v>2.6657240045130447E-2</v>
      </c>
      <c r="R51" s="17">
        <f t="shared" si="6"/>
        <v>1.7492295277374171E-5</v>
      </c>
      <c r="S51" s="46">
        <f>0.37*Model!$B$10*(Q51^2*(N51-K51)*I51/(R51*O51^2))^0.33333*(N51-K51)</f>
        <v>851393.42522700957</v>
      </c>
      <c r="T51" s="51">
        <f>Model!$B$32+(90-Model!$B$6)*SIN(RADIANS(-15*(E51+6)))</f>
        <v>-20.686770034433682</v>
      </c>
      <c r="U51" s="46">
        <f t="shared" si="7"/>
        <v>0</v>
      </c>
      <c r="V51" s="51">
        <f t="shared" si="8"/>
        <v>99999</v>
      </c>
      <c r="W51" s="46">
        <f t="shared" si="9"/>
        <v>4.2253521126760563E-2</v>
      </c>
      <c r="X51" s="46">
        <f>0.3*W51*Model!$B$9</f>
        <v>3.8275201289827652</v>
      </c>
      <c r="Y51" s="17">
        <f>(S51-X51)/Model!$B$11</f>
        <v>1.8264283979553375E-2</v>
      </c>
      <c r="Z51" s="46">
        <f t="shared" si="10"/>
        <v>4.4955951215646539E-4</v>
      </c>
      <c r="AA51" s="57">
        <f>Y51/Model!$B$12*3600</f>
        <v>118.25263670948635</v>
      </c>
      <c r="AB51" s="51">
        <f t="shared" si="16"/>
        <v>1483.0818947811204</v>
      </c>
      <c r="AC51" s="51">
        <f t="shared" si="17"/>
        <v>316.91810521887965</v>
      </c>
      <c r="AD51" s="13">
        <f>IF(AE51=0, Model!$B$19, 0 )</f>
        <v>0</v>
      </c>
      <c r="AE51" s="51">
        <f>IF(AE50+AB50-AB51&lt;Model!$B$19*Model!$B$18, AE50+AB50-AB51,  0)</f>
        <v>316.91810521887965</v>
      </c>
      <c r="AF51" s="13">
        <f t="shared" si="11"/>
        <v>2.4499999999999993</v>
      </c>
      <c r="AG51" s="50">
        <f t="shared" si="12"/>
        <v>0</v>
      </c>
    </row>
    <row r="52" spans="2:33" x14ac:dyDescent="0.25">
      <c r="B52" s="15">
        <f t="shared" si="13"/>
        <v>2.4999999999999991</v>
      </c>
      <c r="C52" s="15">
        <f>B52+Model!$B$4</f>
        <v>4.4999999999999991</v>
      </c>
      <c r="D52" s="15">
        <f t="shared" si="14"/>
        <v>1</v>
      </c>
      <c r="E52" s="15">
        <f t="shared" si="19"/>
        <v>4.4999999999999991</v>
      </c>
      <c r="F52" s="16">
        <f>IF(AB52&gt;0, VLOOKUP(B52,Model!$A$40:$B$60, 2), 0)</f>
        <v>300</v>
      </c>
      <c r="G52" s="15">
        <f>IF(AB52&gt;0, VLOOKUP(B52,Model!$A$39:$C$58, 3), 0)</f>
        <v>1</v>
      </c>
      <c r="H52" s="15">
        <f t="shared" si="0"/>
        <v>97</v>
      </c>
      <c r="I52" s="45">
        <f>Model!$B$21*EXP((-0.029*9.81*F52)/(8.31*(273+J52)))</f>
        <v>100357.4491247143</v>
      </c>
      <c r="J52" s="15">
        <f>IF(Model!$B$31="Summer",  IF(F52&lt;=2000,  Model!$B$20-Model!$B$35*F52/1000,  IF(F52&lt;Model!$B$36,  Model!$B$33-6.5*F52/1000,  Model!$B$38)),     IF(F52&lt;=2000,  Model!$B$20-Model!$B$35*F52/1000,  IF(F52&lt;Model!$B$36,  Model!$B$33-5.4*F52/1000,   Model!$B$38)))</f>
        <v>-19.088750000000001</v>
      </c>
      <c r="K52" s="15">
        <f t="shared" si="1"/>
        <v>253.91125</v>
      </c>
      <c r="L52" s="45">
        <f>IF(AB51-AA51*(B52-B51)&gt;0, L51-Y51*(B52-B51)*3600-AD52*Model!$B$16, 0)</f>
        <v>1672.3430394293528</v>
      </c>
      <c r="M52" s="56">
        <f t="shared" si="2"/>
        <v>93.62038124986907</v>
      </c>
      <c r="N52" s="56">
        <f>Model!$B$13*I52*K52/(Model!$B$13*I52-L52*287*K52)</f>
        <v>366.62038124986907</v>
      </c>
      <c r="O52" s="56">
        <f t="shared" si="3"/>
        <v>310.26581562493453</v>
      </c>
      <c r="P52" s="56">
        <f t="shared" si="4"/>
        <v>37.266097315075378</v>
      </c>
      <c r="Q52" s="62">
        <f t="shared" si="5"/>
        <v>2.6645872909370351E-2</v>
      </c>
      <c r="R52" s="33">
        <f t="shared" si="6"/>
        <v>1.747564482499319E-5</v>
      </c>
      <c r="S52" s="45">
        <f>0.37*Model!$B$10*(Q52^2*(N52-K52)*I52/(R52*O52^2))^0.33333*(N52-K52)</f>
        <v>848498.90580653597</v>
      </c>
      <c r="T52" s="50">
        <f>Model!$B$32+(90-Model!$B$6)*SIN(RADIANS(-15*(E52+6)))</f>
        <v>-20.264655193762469</v>
      </c>
      <c r="U52" s="45">
        <f t="shared" si="7"/>
        <v>0</v>
      </c>
      <c r="V52" s="50">
        <f t="shared" si="8"/>
        <v>99999</v>
      </c>
      <c r="W52" s="45">
        <f t="shared" si="9"/>
        <v>4.2253521126760563E-2</v>
      </c>
      <c r="X52" s="45">
        <f>0.3*W52*Model!$B$9</f>
        <v>3.8275201289827652</v>
      </c>
      <c r="Y52" s="33">
        <f>(S52-X52)/Model!$B$11</f>
        <v>1.8202189816291042E-2</v>
      </c>
      <c r="Z52" s="45">
        <f t="shared" si="10"/>
        <v>4.5109311311893052E-4</v>
      </c>
      <c r="AA52" s="56">
        <f>Y52/Model!$B$12*3600</f>
        <v>117.850606247287</v>
      </c>
      <c r="AB52" s="50">
        <f t="shared" si="16"/>
        <v>1477.1692629456461</v>
      </c>
      <c r="AC52" s="50">
        <f t="shared" si="17"/>
        <v>322.8307370543539</v>
      </c>
      <c r="AD52" s="15">
        <f>IF(AE52=0, Model!$B$19, 0 )</f>
        <v>0</v>
      </c>
      <c r="AE52" s="50">
        <f>IF(AE51+AB51-AB52&lt;Model!$B$19*Model!$B$18, AE51+AB51-AB52,  0)</f>
        <v>322.8307370543539</v>
      </c>
      <c r="AF52" s="15">
        <f t="shared" si="11"/>
        <v>2.4999999999999991</v>
      </c>
      <c r="AG52" s="50">
        <f t="shared" si="12"/>
        <v>0</v>
      </c>
    </row>
    <row r="53" spans="2:33" x14ac:dyDescent="0.25">
      <c r="B53" s="13">
        <f t="shared" si="13"/>
        <v>2.5499999999999989</v>
      </c>
      <c r="C53" s="13">
        <f>B53+Model!$B$4</f>
        <v>4.5499999999999989</v>
      </c>
      <c r="D53" s="13">
        <f t="shared" si="14"/>
        <v>1</v>
      </c>
      <c r="E53" s="13">
        <f t="shared" si="19"/>
        <v>4.5499999999999989</v>
      </c>
      <c r="F53" s="14">
        <f>IF(AB53&gt;0, VLOOKUP(B53,Model!$A$40:$B$60, 2), 0)</f>
        <v>300</v>
      </c>
      <c r="G53" s="13">
        <f>IF(AB53&gt;0, VLOOKUP(B53,Model!$A$39:$C$58, 3), 0)</f>
        <v>1</v>
      </c>
      <c r="H53" s="13">
        <f t="shared" si="0"/>
        <v>97</v>
      </c>
      <c r="I53" s="46">
        <f>Model!$B$21*EXP((-0.029*9.81*F53)/(8.31*(273+J53)))</f>
        <v>100357.4491247143</v>
      </c>
      <c r="J53" s="13">
        <f>IF(Model!$B$31="Summer",  IF(F53&lt;=2000,  Model!$B$20-Model!$B$35*F53/1000,  IF(F53&lt;Model!$B$36,  Model!$B$33-6.5*F53/1000,  Model!$B$38)),     IF(F53&lt;=2000,  Model!$B$20-Model!$B$35*F53/1000,  IF(F53&lt;Model!$B$36,  Model!$B$33-5.4*F53/1000,   Model!$B$38)))</f>
        <v>-19.088750000000001</v>
      </c>
      <c r="K53" s="13">
        <f t="shared" si="1"/>
        <v>253.91125</v>
      </c>
      <c r="L53" s="46">
        <f>IF(AB52-AA52*(B53-B52)&gt;0, L52-Y52*(B53-B52)*3600-AD53*Model!$B$16, 0)</f>
        <v>1669.0666452624205</v>
      </c>
      <c r="M53" s="57">
        <f t="shared" si="2"/>
        <v>93.301824348997229</v>
      </c>
      <c r="N53" s="57">
        <f>Model!$B$13*I53*K53/(Model!$B$13*I53-L53*287*K53)</f>
        <v>366.30182434899723</v>
      </c>
      <c r="O53" s="57">
        <f t="shared" si="3"/>
        <v>310.10653717449861</v>
      </c>
      <c r="P53" s="57">
        <f t="shared" si="4"/>
        <v>37.106818864639457</v>
      </c>
      <c r="Q53" s="63">
        <f t="shared" si="5"/>
        <v>2.6634564139389402E-2</v>
      </c>
      <c r="R53" s="17">
        <f t="shared" si="6"/>
        <v>1.7459079866147855E-5</v>
      </c>
      <c r="S53" s="46">
        <f>0.37*Model!$B$10*(Q53^2*(N53-K53)*I53/(R53*O53^2))^0.33333*(N53-K53)</f>
        <v>845620.28468183021</v>
      </c>
      <c r="T53" s="51">
        <f>Model!$B$32+(90-Model!$B$6)*SIN(RADIANS(-15*(E53+6)))</f>
        <v>-19.840245373828608</v>
      </c>
      <c r="U53" s="46">
        <f t="shared" si="7"/>
        <v>0</v>
      </c>
      <c r="V53" s="51">
        <f t="shared" si="8"/>
        <v>99999</v>
      </c>
      <c r="W53" s="46">
        <f t="shared" si="9"/>
        <v>4.2253521126760563E-2</v>
      </c>
      <c r="X53" s="46">
        <f>0.3*W53*Model!$B$9</f>
        <v>3.8275201289827652</v>
      </c>
      <c r="Y53" s="17">
        <f>(S53-X53)/Model!$B$11</f>
        <v>1.8140436708392174E-2</v>
      </c>
      <c r="Z53" s="46">
        <f t="shared" si="10"/>
        <v>4.5262870325099791E-4</v>
      </c>
      <c r="AA53" s="57">
        <f>Y53/Model!$B$12*3600</f>
        <v>117.45078395793682</v>
      </c>
      <c r="AB53" s="51">
        <f t="shared" si="16"/>
        <v>1471.2767326332819</v>
      </c>
      <c r="AC53" s="51">
        <f t="shared" si="17"/>
        <v>328.72326736671812</v>
      </c>
      <c r="AD53" s="13">
        <f>IF(AE53=0, Model!$B$19, 0 )</f>
        <v>0</v>
      </c>
      <c r="AE53" s="51">
        <f>IF(AE52+AB52-AB53&lt;Model!$B$19*Model!$B$18, AE52+AB52-AB53,  0)</f>
        <v>328.72326736671812</v>
      </c>
      <c r="AF53" s="13">
        <f t="shared" si="11"/>
        <v>2.5499999999999989</v>
      </c>
      <c r="AG53" s="50">
        <f t="shared" si="12"/>
        <v>0</v>
      </c>
    </row>
    <row r="54" spans="2:33" x14ac:dyDescent="0.25">
      <c r="B54" s="15">
        <f t="shared" si="13"/>
        <v>2.5999999999999988</v>
      </c>
      <c r="C54" s="15">
        <f>B54+Model!$B$4</f>
        <v>4.5999999999999988</v>
      </c>
      <c r="D54" s="15">
        <f t="shared" si="14"/>
        <v>1</v>
      </c>
      <c r="E54" s="15">
        <f t="shared" si="19"/>
        <v>4.5999999999999988</v>
      </c>
      <c r="F54" s="16">
        <f>IF(AB54&gt;0, VLOOKUP(B54,Model!$A$40:$B$60, 2), 0)</f>
        <v>300</v>
      </c>
      <c r="G54" s="15">
        <f>IF(AB54&gt;0, VLOOKUP(B54,Model!$A$39:$C$58, 3), 0)</f>
        <v>1</v>
      </c>
      <c r="H54" s="15">
        <f t="shared" si="0"/>
        <v>97</v>
      </c>
      <c r="I54" s="45">
        <f>Model!$B$21*EXP((-0.029*9.81*F54)/(8.31*(273+J54)))</f>
        <v>100357.4491247143</v>
      </c>
      <c r="J54" s="15">
        <f>IF(Model!$B$31="Summer",  IF(F54&lt;=2000,  Model!$B$20-Model!$B$35*F54/1000,  IF(F54&lt;Model!$B$36,  Model!$B$33-6.5*F54/1000,  Model!$B$38)),     IF(F54&lt;=2000,  Model!$B$20-Model!$B$35*F54/1000,  IF(F54&lt;Model!$B$36,  Model!$B$33-5.4*F54/1000,   Model!$B$38)))</f>
        <v>-19.088750000000001</v>
      </c>
      <c r="K54" s="15">
        <f t="shared" si="1"/>
        <v>253.91125</v>
      </c>
      <c r="L54" s="45">
        <f>IF(AB53-AA53*(B54-B53)&gt;0, L53-Y53*(B54-B53)*3600-AD54*Model!$B$16, 0)</f>
        <v>1665.80136665491</v>
      </c>
      <c r="M54" s="56">
        <f t="shared" si="2"/>
        <v>92.984898488990154</v>
      </c>
      <c r="N54" s="56">
        <f>Model!$B$13*I54*K54/(Model!$B$13*I54-L54*287*K54)</f>
        <v>365.98489848899015</v>
      </c>
      <c r="O54" s="56">
        <f t="shared" si="3"/>
        <v>309.94807424449505</v>
      </c>
      <c r="P54" s="56">
        <f t="shared" si="4"/>
        <v>36.94835593463592</v>
      </c>
      <c r="Q54" s="62">
        <f t="shared" si="5"/>
        <v>2.662331327135915E-2</v>
      </c>
      <c r="R54" s="33">
        <f t="shared" si="6"/>
        <v>1.7442599721427484E-5</v>
      </c>
      <c r="S54" s="45">
        <f>0.37*Model!$B$10*(Q54^2*(N54-K54)*I54/(R54*O54^2))^0.33333*(N54-K54)</f>
        <v>842757.43306817755</v>
      </c>
      <c r="T54" s="50">
        <f>Model!$B$32+(90-Model!$B$6)*SIN(RADIANS(-15*(E54+6)))</f>
        <v>-19.413613295069844</v>
      </c>
      <c r="U54" s="45">
        <f t="shared" si="7"/>
        <v>0</v>
      </c>
      <c r="V54" s="50">
        <f t="shared" si="8"/>
        <v>99999</v>
      </c>
      <c r="W54" s="45">
        <f t="shared" si="9"/>
        <v>4.2253521126760563E-2</v>
      </c>
      <c r="X54" s="45">
        <f>0.3*W54*Model!$B$9</f>
        <v>3.8275201289827652</v>
      </c>
      <c r="Y54" s="33">
        <f>(S54-X54)/Model!$B$11</f>
        <v>1.8079021893125571E-2</v>
      </c>
      <c r="Z54" s="45">
        <f t="shared" si="10"/>
        <v>4.5416628543377388E-4</v>
      </c>
      <c r="AA54" s="56">
        <f>Y54/Model!$B$12*3600</f>
        <v>117.05315195405252</v>
      </c>
      <c r="AB54" s="50">
        <f t="shared" si="16"/>
        <v>1465.404193435385</v>
      </c>
      <c r="AC54" s="50">
        <f t="shared" si="17"/>
        <v>334.59580656461503</v>
      </c>
      <c r="AD54" s="15">
        <f>IF(AE54=0, Model!$B$19, 0 )</f>
        <v>0</v>
      </c>
      <c r="AE54" s="50">
        <f>IF(AE53+AB53-AB54&lt;Model!$B$19*Model!$B$18, AE53+AB53-AB54,  0)</f>
        <v>334.59580656461503</v>
      </c>
      <c r="AF54" s="15">
        <f t="shared" si="11"/>
        <v>2.5999999999999988</v>
      </c>
      <c r="AG54" s="50">
        <f t="shared" si="12"/>
        <v>0</v>
      </c>
    </row>
    <row r="55" spans="2:33" x14ac:dyDescent="0.25">
      <c r="B55" s="13">
        <f t="shared" si="13"/>
        <v>2.6499999999999986</v>
      </c>
      <c r="C55" s="13">
        <f>B55+Model!$B$4</f>
        <v>4.6499999999999986</v>
      </c>
      <c r="D55" s="13">
        <f t="shared" si="14"/>
        <v>1</v>
      </c>
      <c r="E55" s="13">
        <f t="shared" si="19"/>
        <v>4.6499999999999986</v>
      </c>
      <c r="F55" s="14">
        <f>IF(AB55&gt;0, VLOOKUP(B55,Model!$A$40:$B$60, 2), 0)</f>
        <v>300</v>
      </c>
      <c r="G55" s="13">
        <f>IF(AB55&gt;0, VLOOKUP(B55,Model!$A$39:$C$58, 3), 0)</f>
        <v>1</v>
      </c>
      <c r="H55" s="13">
        <f t="shared" si="0"/>
        <v>97</v>
      </c>
      <c r="I55" s="46">
        <f>Model!$B$21*EXP((-0.029*9.81*F55)/(8.31*(273+J55)))</f>
        <v>100357.4491247143</v>
      </c>
      <c r="J55" s="13">
        <f>IF(Model!$B$31="Summer",  IF(F55&lt;=2000,  Model!$B$20-Model!$B$35*F55/1000,  IF(F55&lt;Model!$B$36,  Model!$B$33-6.5*F55/1000,  Model!$B$38)),     IF(F55&lt;=2000,  Model!$B$20-Model!$B$35*F55/1000,  IF(F55&lt;Model!$B$36,  Model!$B$33-5.4*F55/1000,   Model!$B$38)))</f>
        <v>-19.088750000000001</v>
      </c>
      <c r="K55" s="13">
        <f t="shared" si="1"/>
        <v>253.91125</v>
      </c>
      <c r="L55" s="46">
        <f>IF(AB54-AA54*(B55-B54)&gt;0, L54-Y54*(B55-B54)*3600-AD55*Model!$B$16, 0)</f>
        <v>1662.5471427141474</v>
      </c>
      <c r="M55" s="57">
        <f t="shared" si="2"/>
        <v>92.669590747111613</v>
      </c>
      <c r="N55" s="57">
        <f>Model!$B$13*I55*K55/(Model!$B$13*I55-L55*287*K55)</f>
        <v>365.66959074711161</v>
      </c>
      <c r="O55" s="57">
        <f t="shared" si="3"/>
        <v>309.79042037355578</v>
      </c>
      <c r="P55" s="57">
        <f t="shared" si="4"/>
        <v>36.790702063696649</v>
      </c>
      <c r="Q55" s="63">
        <f t="shared" si="5"/>
        <v>2.661211984652246E-2</v>
      </c>
      <c r="R55" s="17">
        <f t="shared" si="6"/>
        <v>1.7426203718849799E-5</v>
      </c>
      <c r="S55" s="46">
        <f>0.37*Model!$B$10*(Q55^2*(N55-K55)*I55/(R55*O55^2))^0.33333*(N55-K55)</f>
        <v>839910.22359400138</v>
      </c>
      <c r="T55" s="51">
        <f>Model!$B$32+(90-Model!$B$6)*SIN(RADIANS(-15*(E55+6)))</f>
        <v>-18.98483205869659</v>
      </c>
      <c r="U55" s="46">
        <f t="shared" si="7"/>
        <v>0</v>
      </c>
      <c r="V55" s="51">
        <f t="shared" si="8"/>
        <v>99999</v>
      </c>
      <c r="W55" s="46">
        <f t="shared" si="9"/>
        <v>4.2253521126760563E-2</v>
      </c>
      <c r="X55" s="46">
        <f>0.3*W55*Model!$B$9</f>
        <v>3.8275201289827652</v>
      </c>
      <c r="Y55" s="17">
        <f>(S55-X55)/Model!$B$11</f>
        <v>1.8017942638075133E-2</v>
      </c>
      <c r="Z55" s="46">
        <f t="shared" si="10"/>
        <v>4.5570586253905688E-4</v>
      </c>
      <c r="AA55" s="57">
        <f>Y55/Model!$B$12*3600</f>
        <v>116.65769254452672</v>
      </c>
      <c r="AB55" s="51">
        <f t="shared" si="16"/>
        <v>1459.5515358376824</v>
      </c>
      <c r="AC55" s="51">
        <f t="shared" si="17"/>
        <v>340.44846416231758</v>
      </c>
      <c r="AD55" s="13">
        <f>IF(AE55=0, Model!$B$19, 0 )</f>
        <v>0</v>
      </c>
      <c r="AE55" s="51">
        <f>IF(AE54+AB54-AB55&lt;Model!$B$19*Model!$B$18, AE54+AB54-AB55,  0)</f>
        <v>340.44846416231758</v>
      </c>
      <c r="AF55" s="13">
        <f t="shared" si="11"/>
        <v>2.6499999999999986</v>
      </c>
      <c r="AG55" s="50">
        <f t="shared" si="12"/>
        <v>0</v>
      </c>
    </row>
    <row r="56" spans="2:33" x14ac:dyDescent="0.25">
      <c r="B56" s="15">
        <f t="shared" si="13"/>
        <v>2.6999999999999984</v>
      </c>
      <c r="C56" s="15">
        <f>B56+Model!$B$4</f>
        <v>4.6999999999999984</v>
      </c>
      <c r="D56" s="15">
        <f t="shared" si="14"/>
        <v>1</v>
      </c>
      <c r="E56" s="15">
        <f t="shared" si="19"/>
        <v>4.6999999999999984</v>
      </c>
      <c r="F56" s="16">
        <f>IF(AB56&gt;0, VLOOKUP(B56,Model!$A$40:$B$60, 2), 0)</f>
        <v>300</v>
      </c>
      <c r="G56" s="15">
        <f>IF(AB56&gt;0, VLOOKUP(B56,Model!$A$39:$C$58, 3), 0)</f>
        <v>1</v>
      </c>
      <c r="H56" s="15">
        <f t="shared" si="0"/>
        <v>97</v>
      </c>
      <c r="I56" s="45">
        <f>Model!$B$21*EXP((-0.029*9.81*F56)/(8.31*(273+J56)))</f>
        <v>100357.4491247143</v>
      </c>
      <c r="J56" s="15">
        <f>IF(Model!$B$31="Summer",  IF(F56&lt;=2000,  Model!$B$20-Model!$B$35*F56/1000,  IF(F56&lt;Model!$B$36,  Model!$B$33-6.5*F56/1000,  Model!$B$38)),     IF(F56&lt;=2000,  Model!$B$20-Model!$B$35*F56/1000,  IF(F56&lt;Model!$B$36,  Model!$B$33-5.4*F56/1000,   Model!$B$38)))</f>
        <v>-19.088750000000001</v>
      </c>
      <c r="K56" s="15">
        <f t="shared" si="1"/>
        <v>253.91125</v>
      </c>
      <c r="L56" s="45">
        <f>IF(AB55-AA55*(B56-B55)&gt;0, L55-Y55*(B56-B55)*3600-AD56*Model!$B$16, 0)</f>
        <v>1659.303913039294</v>
      </c>
      <c r="M56" s="56">
        <f t="shared" si="2"/>
        <v>92.355888341484615</v>
      </c>
      <c r="N56" s="56">
        <f>Model!$B$13*I56*K56/(Model!$B$13*I56-L56*287*K56)</f>
        <v>365.35588834148462</v>
      </c>
      <c r="O56" s="56">
        <f t="shared" si="3"/>
        <v>309.63356917074231</v>
      </c>
      <c r="P56" s="56">
        <f t="shared" si="4"/>
        <v>36.63385086088315</v>
      </c>
      <c r="Q56" s="62">
        <f t="shared" si="5"/>
        <v>2.6600983411122704E-2</v>
      </c>
      <c r="R56" s="33">
        <f t="shared" si="6"/>
        <v>1.7409891193757201E-5</v>
      </c>
      <c r="S56" s="45">
        <f>0.37*Model!$B$10*(Q56^2*(N56-K56)*I56/(R56*O56^2))^0.33333*(N56-K56)</f>
        <v>837078.53028115828</v>
      </c>
      <c r="T56" s="50">
        <f>Model!$B$32+(90-Model!$B$6)*SIN(RADIANS(-15*(E56+6)))</f>
        <v>-18.553975134166315</v>
      </c>
      <c r="U56" s="45">
        <f t="shared" si="7"/>
        <v>0</v>
      </c>
      <c r="V56" s="50">
        <f t="shared" si="8"/>
        <v>99999</v>
      </c>
      <c r="W56" s="45">
        <f t="shared" si="9"/>
        <v>4.2253521126760563E-2</v>
      </c>
      <c r="X56" s="45">
        <f>0.3*W56*Model!$B$9</f>
        <v>3.8275201289827652</v>
      </c>
      <c r="Y56" s="33">
        <f>(S56-X56)/Model!$B$11</f>
        <v>1.7957196240717135E-2</v>
      </c>
      <c r="Z56" s="45">
        <f t="shared" si="10"/>
        <v>4.5724743742945793E-4</v>
      </c>
      <c r="AA56" s="56">
        <f>Y56/Model!$B$12*3600</f>
        <v>116.26438823179117</v>
      </c>
      <c r="AB56" s="50">
        <f t="shared" si="16"/>
        <v>1453.7186512104561</v>
      </c>
      <c r="AC56" s="50">
        <f t="shared" si="17"/>
        <v>346.28134878954393</v>
      </c>
      <c r="AD56" s="15">
        <f>IF(AE56=0, Model!$B$19, 0 )</f>
        <v>0</v>
      </c>
      <c r="AE56" s="50">
        <f>IF(AE55+AB55-AB56&lt;Model!$B$19*Model!$B$18, AE55+AB55-AB56,  0)</f>
        <v>346.28134878954393</v>
      </c>
      <c r="AF56" s="15">
        <f t="shared" si="11"/>
        <v>2.6999999999999984</v>
      </c>
      <c r="AG56" s="50">
        <f t="shared" si="12"/>
        <v>0</v>
      </c>
    </row>
    <row r="57" spans="2:33" x14ac:dyDescent="0.25">
      <c r="B57" s="13">
        <f t="shared" si="13"/>
        <v>2.7499999999999982</v>
      </c>
      <c r="C57" s="13">
        <f>B57+Model!$B$4</f>
        <v>4.7499999999999982</v>
      </c>
      <c r="D57" s="13">
        <f t="shared" si="14"/>
        <v>1</v>
      </c>
      <c r="E57" s="13">
        <f t="shared" si="19"/>
        <v>4.7499999999999982</v>
      </c>
      <c r="F57" s="14">
        <f>IF(AB57&gt;0, VLOOKUP(B57,Model!$A$40:$B$60, 2), 0)</f>
        <v>300</v>
      </c>
      <c r="G57" s="13">
        <f>IF(AB57&gt;0, VLOOKUP(B57,Model!$A$39:$C$58, 3), 0)</f>
        <v>1</v>
      </c>
      <c r="H57" s="13">
        <f t="shared" si="0"/>
        <v>97</v>
      </c>
      <c r="I57" s="46">
        <f>Model!$B$21*EXP((-0.029*9.81*F57)/(8.31*(273+J57)))</f>
        <v>100357.4491247143</v>
      </c>
      <c r="J57" s="13">
        <f>IF(Model!$B$31="Summer",  IF(F57&lt;=2000,  Model!$B$20-Model!$B$35*F57/1000,  IF(F57&lt;Model!$B$36,  Model!$B$33-6.5*F57/1000,  Model!$B$38)),     IF(F57&lt;=2000,  Model!$B$20-Model!$B$35*F57/1000,  IF(F57&lt;Model!$B$36,  Model!$B$33-5.4*F57/1000,   Model!$B$38)))</f>
        <v>-19.088750000000001</v>
      </c>
      <c r="K57" s="13">
        <f t="shared" si="1"/>
        <v>253.91125</v>
      </c>
      <c r="L57" s="46">
        <f>IF(AB56-AA56*(B57-B56)&gt;0, L56-Y56*(B57-B56)*3600-AD57*Model!$B$16, 0)</f>
        <v>1656.071617715965</v>
      </c>
      <c r="M57" s="57">
        <f t="shared" si="2"/>
        <v>92.043778629132703</v>
      </c>
      <c r="N57" s="57">
        <f>Model!$B$13*I57*K57/(Model!$B$13*I57-L57*287*K57)</f>
        <v>365.0437786291327</v>
      </c>
      <c r="O57" s="57">
        <f t="shared" si="3"/>
        <v>309.47751431456635</v>
      </c>
      <c r="P57" s="57">
        <f t="shared" si="4"/>
        <v>36.477796004707194</v>
      </c>
      <c r="Q57" s="63">
        <f t="shared" si="5"/>
        <v>2.6589903516334213E-2</v>
      </c>
      <c r="R57" s="17">
        <f t="shared" si="6"/>
        <v>1.7393661488714899E-5</v>
      </c>
      <c r="S57" s="46">
        <f>0.37*Model!$B$10*(Q57^2*(N57-K57)*I57/(R57*O57^2))^0.33333*(N57-K57)</f>
        <v>834262.22852556943</v>
      </c>
      <c r="T57" s="51">
        <f>Model!$B$32+(90-Model!$B$6)*SIN(RADIANS(-15*(E57+6)))</f>
        <v>-18.121116346595002</v>
      </c>
      <c r="U57" s="46">
        <f t="shared" si="7"/>
        <v>0</v>
      </c>
      <c r="V57" s="51">
        <f t="shared" si="8"/>
        <v>99999</v>
      </c>
      <c r="W57" s="46">
        <f t="shared" si="9"/>
        <v>4.2253521126760563E-2</v>
      </c>
      <c r="X57" s="46">
        <f>0.3*W57*Model!$B$9</f>
        <v>3.8275201289827652</v>
      </c>
      <c r="Y57" s="17">
        <f>(S57-X57)/Model!$B$11</f>
        <v>1.7896780028004728E-2</v>
      </c>
      <c r="Z57" s="46">
        <f t="shared" si="10"/>
        <v>4.5879101295851789E-4</v>
      </c>
      <c r="AA57" s="57">
        <f>Y57/Model!$B$12*3600</f>
        <v>115.87322170912643</v>
      </c>
      <c r="AB57" s="51">
        <f t="shared" si="16"/>
        <v>1447.9054317988666</v>
      </c>
      <c r="AC57" s="51">
        <f t="shared" si="17"/>
        <v>352.09456820113337</v>
      </c>
      <c r="AD57" s="13">
        <f>IF(AE57=0, Model!$B$19, 0 )</f>
        <v>0</v>
      </c>
      <c r="AE57" s="51">
        <f>IF(AE56+AB56-AB57&lt;Model!$B$19*Model!$B$18, AE56+AB56-AB57,  0)</f>
        <v>352.09456820113337</v>
      </c>
      <c r="AF57" s="13">
        <f t="shared" si="11"/>
        <v>2.7499999999999982</v>
      </c>
      <c r="AG57" s="50">
        <f t="shared" si="12"/>
        <v>0</v>
      </c>
    </row>
    <row r="58" spans="2:33" x14ac:dyDescent="0.25">
      <c r="B58" s="15">
        <f t="shared" si="13"/>
        <v>2.799999999999998</v>
      </c>
      <c r="C58" s="15">
        <f>B58+Model!$B$4</f>
        <v>4.799999999999998</v>
      </c>
      <c r="D58" s="15">
        <f t="shared" si="14"/>
        <v>1</v>
      </c>
      <c r="E58" s="15">
        <f t="shared" si="19"/>
        <v>4.799999999999998</v>
      </c>
      <c r="F58" s="16">
        <f>IF(AB58&gt;0, VLOOKUP(B58,Model!$A$40:$B$60, 2), 0)</f>
        <v>300</v>
      </c>
      <c r="G58" s="15">
        <f>IF(AB58&gt;0, VLOOKUP(B58,Model!$A$39:$C$58, 3), 0)</f>
        <v>1</v>
      </c>
      <c r="H58" s="15">
        <f t="shared" si="0"/>
        <v>97</v>
      </c>
      <c r="I58" s="45">
        <f>Model!$B$21*EXP((-0.029*9.81*F58)/(8.31*(273+J58)))</f>
        <v>100357.4491247143</v>
      </c>
      <c r="J58" s="15">
        <f>IF(Model!$B$31="Summer",  IF(F58&lt;=2000,  Model!$B$20-Model!$B$35*F58/1000,  IF(F58&lt;Model!$B$36,  Model!$B$33-6.5*F58/1000,  Model!$B$38)),     IF(F58&lt;=2000,  Model!$B$20-Model!$B$35*F58/1000,  IF(F58&lt;Model!$B$36,  Model!$B$33-5.4*F58/1000,   Model!$B$38)))</f>
        <v>-19.088750000000001</v>
      </c>
      <c r="K58" s="15">
        <f t="shared" si="1"/>
        <v>253.91125</v>
      </c>
      <c r="L58" s="45">
        <f>IF(AB57-AA57*(B58-B57)&gt;0, L57-Y57*(B58-B57)*3600-AD58*Model!$B$16, 0)</f>
        <v>1652.8501973109242</v>
      </c>
      <c r="M58" s="56">
        <f t="shared" si="2"/>
        <v>91.733249104052732</v>
      </c>
      <c r="N58" s="56">
        <f>Model!$B$13*I58*K58/(Model!$B$13*I58-L58*287*K58)</f>
        <v>364.73324910405273</v>
      </c>
      <c r="O58" s="56">
        <f t="shared" si="3"/>
        <v>309.32224955202639</v>
      </c>
      <c r="P58" s="56">
        <f t="shared" si="4"/>
        <v>36.322531242167209</v>
      </c>
      <c r="Q58" s="62">
        <f t="shared" si="5"/>
        <v>2.6578879718193876E-2</v>
      </c>
      <c r="R58" s="33">
        <f t="shared" si="6"/>
        <v>1.7377513953410744E-5</v>
      </c>
      <c r="S58" s="45">
        <f>0.37*Model!$B$10*(Q58^2*(N58-K58)*I58/(R58*O58^2))^0.33333*(N58-K58)</f>
        <v>831461.19507817528</v>
      </c>
      <c r="T58" s="50">
        <f>Model!$B$32+(90-Model!$B$6)*SIN(RADIANS(-15*(E58+6)))</f>
        <v>-17.686329864107517</v>
      </c>
      <c r="U58" s="45">
        <f t="shared" si="7"/>
        <v>0</v>
      </c>
      <c r="V58" s="50">
        <f t="shared" si="8"/>
        <v>99999</v>
      </c>
      <c r="W58" s="45">
        <f t="shared" si="9"/>
        <v>4.2253521126760563E-2</v>
      </c>
      <c r="X58" s="45">
        <f>0.3*W58*Model!$B$9</f>
        <v>3.8275201289827652</v>
      </c>
      <c r="Y58" s="33">
        <f>(S58-X58)/Model!$B$11</f>
        <v>1.7836691355959375E-2</v>
      </c>
      <c r="Z58" s="45">
        <f t="shared" si="10"/>
        <v>4.60336591970825E-4</v>
      </c>
      <c r="AA58" s="56">
        <f>Y58/Model!$B$12*3600</f>
        <v>115.48417585801674</v>
      </c>
      <c r="AB58" s="50">
        <f t="shared" si="16"/>
        <v>1442.1117707134104</v>
      </c>
      <c r="AC58" s="50">
        <f t="shared" si="17"/>
        <v>357.88822928658965</v>
      </c>
      <c r="AD58" s="15">
        <f>IF(AE58=0, Model!$B$19, 0 )</f>
        <v>0</v>
      </c>
      <c r="AE58" s="50">
        <f>IF(AE57+AB57-AB58&lt;Model!$B$19*Model!$B$18, AE57+AB57-AB58,  0)</f>
        <v>357.88822928658965</v>
      </c>
      <c r="AF58" s="15">
        <f t="shared" si="11"/>
        <v>2.799999999999998</v>
      </c>
      <c r="AG58" s="50">
        <f t="shared" si="12"/>
        <v>0</v>
      </c>
    </row>
    <row r="59" spans="2:33" x14ac:dyDescent="0.25">
      <c r="B59" s="13">
        <f t="shared" si="13"/>
        <v>2.8499999999999979</v>
      </c>
      <c r="C59" s="13">
        <f>B59+Model!$B$4</f>
        <v>4.8499999999999979</v>
      </c>
      <c r="D59" s="13">
        <f t="shared" si="14"/>
        <v>1</v>
      </c>
      <c r="E59" s="13">
        <f t="shared" si="19"/>
        <v>4.8499999999999979</v>
      </c>
      <c r="F59" s="14">
        <f>IF(AB59&gt;0, VLOOKUP(B59,Model!$A$40:$B$60, 2), 0)</f>
        <v>300</v>
      </c>
      <c r="G59" s="13">
        <f>IF(AB59&gt;0, VLOOKUP(B59,Model!$A$39:$C$58, 3), 0)</f>
        <v>1</v>
      </c>
      <c r="H59" s="13">
        <f t="shared" si="0"/>
        <v>97</v>
      </c>
      <c r="I59" s="46">
        <f>Model!$B$21*EXP((-0.029*9.81*F59)/(8.31*(273+J59)))</f>
        <v>100357.4491247143</v>
      </c>
      <c r="J59" s="13">
        <f>IF(Model!$B$31="Summer",  IF(F59&lt;=2000,  Model!$B$20-Model!$B$35*F59/1000,  IF(F59&lt;Model!$B$36,  Model!$B$33-6.5*F59/1000,  Model!$B$38)),     IF(F59&lt;=2000,  Model!$B$20-Model!$B$35*F59/1000,  IF(F59&lt;Model!$B$36,  Model!$B$33-5.4*F59/1000,   Model!$B$38)))</f>
        <v>-19.088750000000001</v>
      </c>
      <c r="K59" s="13">
        <f t="shared" si="1"/>
        <v>253.91125</v>
      </c>
      <c r="L59" s="46">
        <f>IF(AB58-AA58*(B59-B58)&gt;0, L58-Y58*(B59-B58)*3600-AD59*Model!$B$16, 0)</f>
        <v>1649.6395928668514</v>
      </c>
      <c r="M59" s="57">
        <f t="shared" si="2"/>
        <v>91.42428739532204</v>
      </c>
      <c r="N59" s="57">
        <f>Model!$B$13*I59*K59/(Model!$B$13*I59-L59*287*K59)</f>
        <v>364.42428739532204</v>
      </c>
      <c r="O59" s="57">
        <f t="shared" si="3"/>
        <v>309.16776869766102</v>
      </c>
      <c r="P59" s="57">
        <f t="shared" si="4"/>
        <v>36.168050387801863</v>
      </c>
      <c r="Q59" s="63">
        <f t="shared" si="5"/>
        <v>2.6567911577533933E-2</v>
      </c>
      <c r="R59" s="17">
        <f t="shared" si="6"/>
        <v>1.7361447944556744E-5</v>
      </c>
      <c r="S59" s="46">
        <f>0.37*Model!$B$10*(Q59^2*(N59-K59)*I59/(R59*O59^2))^0.33333*(N59-K59)</f>
        <v>828675.30802622472</v>
      </c>
      <c r="T59" s="51">
        <f>Model!$B$32+(90-Model!$B$6)*SIN(RADIANS(-15*(E59+6)))</f>
        <v>-17.249690185129325</v>
      </c>
      <c r="U59" s="46">
        <f t="shared" si="7"/>
        <v>0</v>
      </c>
      <c r="V59" s="51">
        <f t="shared" si="8"/>
        <v>99999</v>
      </c>
      <c r="W59" s="46">
        <f t="shared" si="9"/>
        <v>4.2253521126760563E-2</v>
      </c>
      <c r="X59" s="46">
        <f>0.3*W59*Model!$B$9</f>
        <v>3.8275201289827652</v>
      </c>
      <c r="Y59" s="17">
        <f>(S59-X59)/Model!$B$11</f>
        <v>1.7776927609269456E-2</v>
      </c>
      <c r="Z59" s="46">
        <f t="shared" si="10"/>
        <v>4.6188417730212342E-4</v>
      </c>
      <c r="AA59" s="57">
        <f>Y59/Model!$B$12*3600</f>
        <v>115.09723374555109</v>
      </c>
      <c r="AB59" s="51">
        <f t="shared" si="16"/>
        <v>1436.3375619205096</v>
      </c>
      <c r="AC59" s="51">
        <f t="shared" si="17"/>
        <v>363.66243807949036</v>
      </c>
      <c r="AD59" s="13">
        <f>IF(AE59=0, Model!$B$19, 0 )</f>
        <v>0</v>
      </c>
      <c r="AE59" s="51">
        <f>IF(AE58+AB58-AB59&lt;Model!$B$19*Model!$B$18, AE58+AB58-AB59,  0)</f>
        <v>363.66243807949036</v>
      </c>
      <c r="AF59" s="13">
        <f t="shared" si="11"/>
        <v>2.8499999999999979</v>
      </c>
      <c r="AG59" s="50">
        <f t="shared" si="12"/>
        <v>0</v>
      </c>
    </row>
    <row r="60" spans="2:33" x14ac:dyDescent="0.25">
      <c r="B60" s="15">
        <f t="shared" si="13"/>
        <v>2.8999999999999977</v>
      </c>
      <c r="C60" s="15">
        <f>B60+Model!$B$4</f>
        <v>4.8999999999999977</v>
      </c>
      <c r="D60" s="15">
        <f t="shared" si="14"/>
        <v>1</v>
      </c>
      <c r="E60" s="15">
        <f t="shared" si="19"/>
        <v>4.8999999999999977</v>
      </c>
      <c r="F60" s="16">
        <f>IF(AB60&gt;0, VLOOKUP(B60,Model!$A$40:$B$60, 2), 0)</f>
        <v>300</v>
      </c>
      <c r="G60" s="15">
        <f>IF(AB60&gt;0, VLOOKUP(B60,Model!$A$39:$C$58, 3), 0)</f>
        <v>1</v>
      </c>
      <c r="H60" s="15">
        <f t="shared" si="0"/>
        <v>97</v>
      </c>
      <c r="I60" s="45">
        <f>Model!$B$21*EXP((-0.029*9.81*F60)/(8.31*(273+J60)))</f>
        <v>100357.4491247143</v>
      </c>
      <c r="J60" s="15">
        <f>IF(Model!$B$31="Summer",  IF(F60&lt;=2000,  Model!$B$20-Model!$B$35*F60/1000,  IF(F60&lt;Model!$B$36,  Model!$B$33-6.5*F60/1000,  Model!$B$38)),     IF(F60&lt;=2000,  Model!$B$20-Model!$B$35*F60/1000,  IF(F60&lt;Model!$B$36,  Model!$B$33-5.4*F60/1000,   Model!$B$38)))</f>
        <v>-19.088750000000001</v>
      </c>
      <c r="K60" s="15">
        <f t="shared" si="1"/>
        <v>253.91125</v>
      </c>
      <c r="L60" s="45">
        <f>IF(AB59-AA59*(B60-B59)&gt;0, L59-Y59*(B60-B59)*3600-AD60*Model!$B$16, 0)</f>
        <v>1646.439745897183</v>
      </c>
      <c r="M60" s="56">
        <f t="shared" si="2"/>
        <v>91.116881265235634</v>
      </c>
      <c r="N60" s="56">
        <f>Model!$B$13*I60*K60/(Model!$B$13*I60-L60*287*K60)</f>
        <v>364.11688126523563</v>
      </c>
      <c r="O60" s="56">
        <f t="shared" si="3"/>
        <v>309.01406563261781</v>
      </c>
      <c r="P60" s="56">
        <f t="shared" si="4"/>
        <v>36.01434732275866</v>
      </c>
      <c r="Q60" s="62">
        <f t="shared" si="5"/>
        <v>2.6556998659915867E-2</v>
      </c>
      <c r="R60" s="33">
        <f t="shared" si="6"/>
        <v>1.7345462825792252E-5</v>
      </c>
      <c r="S60" s="45">
        <f>0.37*Model!$B$10*(Q60^2*(N60-K60)*I60/(R60*O60^2))^0.33333*(N60-K60)</f>
        <v>825904.446774857</v>
      </c>
      <c r="T60" s="50">
        <f>Model!$B$32+(90-Model!$B$6)*SIN(RADIANS(-15*(E60+6)))</f>
        <v>-16.811272125621628</v>
      </c>
      <c r="U60" s="45">
        <f t="shared" si="7"/>
        <v>0</v>
      </c>
      <c r="V60" s="50">
        <f t="shared" si="8"/>
        <v>99999</v>
      </c>
      <c r="W60" s="45">
        <f t="shared" si="9"/>
        <v>4.2253521126760563E-2</v>
      </c>
      <c r="X60" s="45">
        <f>0.3*W60*Model!$B$9</f>
        <v>3.8275201289827652</v>
      </c>
      <c r="Y60" s="33">
        <f>(S60-X60)/Model!$B$11</f>
        <v>1.7717486200895163E-2</v>
      </c>
      <c r="Z60" s="45">
        <f t="shared" si="10"/>
        <v>4.6343377177943129E-4</v>
      </c>
      <c r="AA60" s="56">
        <f>Y60/Model!$B$12*3600</f>
        <v>114.71237862186518</v>
      </c>
      <c r="AB60" s="50">
        <f t="shared" si="16"/>
        <v>1430.5827002332321</v>
      </c>
      <c r="AC60" s="50">
        <f t="shared" si="17"/>
        <v>369.41729976676788</v>
      </c>
      <c r="AD60" s="15">
        <f>IF(AE60=0, Model!$B$19, 0 )</f>
        <v>0</v>
      </c>
      <c r="AE60" s="50">
        <f>IF(AE59+AB59-AB60&lt;Model!$B$19*Model!$B$18, AE59+AB59-AB60,  0)</f>
        <v>369.41729976676788</v>
      </c>
      <c r="AF60" s="15">
        <f t="shared" si="11"/>
        <v>2.8999999999999977</v>
      </c>
      <c r="AG60" s="50">
        <f t="shared" si="12"/>
        <v>0</v>
      </c>
    </row>
    <row r="61" spans="2:33" x14ac:dyDescent="0.25">
      <c r="B61" s="13">
        <f t="shared" si="13"/>
        <v>2.9499999999999975</v>
      </c>
      <c r="C61" s="13">
        <f>B61+Model!$B$4</f>
        <v>4.9499999999999975</v>
      </c>
      <c r="D61" s="13">
        <f t="shared" si="14"/>
        <v>1</v>
      </c>
      <c r="E61" s="13">
        <f t="shared" si="19"/>
        <v>4.9499999999999975</v>
      </c>
      <c r="F61" s="14">
        <f>IF(AB61&gt;0, VLOOKUP(B61,Model!$A$40:$B$60, 2), 0)</f>
        <v>300</v>
      </c>
      <c r="G61" s="13">
        <f>IF(AB61&gt;0, VLOOKUP(B61,Model!$A$39:$C$58, 3), 0)</f>
        <v>1</v>
      </c>
      <c r="H61" s="13">
        <f t="shared" si="0"/>
        <v>97</v>
      </c>
      <c r="I61" s="46">
        <f>Model!$B$21*EXP((-0.029*9.81*F61)/(8.31*(273+J61)))</f>
        <v>100357.4491247143</v>
      </c>
      <c r="J61" s="13">
        <f>IF(Model!$B$31="Summer",  IF(F61&lt;=2000,  Model!$B$20-Model!$B$35*F61/1000,  IF(F61&lt;Model!$B$36,  Model!$B$33-6.5*F61/1000,  Model!$B$38)),     IF(F61&lt;=2000,  Model!$B$20-Model!$B$35*F61/1000,  IF(F61&lt;Model!$B$36,  Model!$B$33-5.4*F61/1000,   Model!$B$38)))</f>
        <v>-19.088750000000001</v>
      </c>
      <c r="K61" s="13">
        <f t="shared" si="1"/>
        <v>253.91125</v>
      </c>
      <c r="L61" s="46">
        <f>IF(AB60-AA60*(B61-B60)&gt;0, L60-Y60*(B61-B60)*3600-AD61*Model!$B$16, 0)</f>
        <v>1643.250598381022</v>
      </c>
      <c r="M61" s="57">
        <f t="shared" si="2"/>
        <v>90.811018607475773</v>
      </c>
      <c r="N61" s="57">
        <f>Model!$B$13*I61*K61/(Model!$B$13*I61-L61*287*K61)</f>
        <v>363.81101860747577</v>
      </c>
      <c r="O61" s="57">
        <f t="shared" si="3"/>
        <v>308.86113430373791</v>
      </c>
      <c r="P61" s="57">
        <f t="shared" si="4"/>
        <v>35.86141599387873</v>
      </c>
      <c r="Q61" s="63">
        <f t="shared" si="5"/>
        <v>2.6546140535565393E-2</v>
      </c>
      <c r="R61" s="17">
        <f t="shared" si="6"/>
        <v>1.7329557967588741E-5</v>
      </c>
      <c r="S61" s="46">
        <f>0.37*Model!$B$10*(Q61^2*(N61-K61)*I61/(R61*O61^2))^0.33333*(N61-K61)</f>
        <v>823148.4920290109</v>
      </c>
      <c r="T61" s="51">
        <f>Model!$B$32+(90-Model!$B$6)*SIN(RADIANS(-15*(E61+6)))</f>
        <v>-16.371150806261934</v>
      </c>
      <c r="U61" s="46">
        <f t="shared" si="7"/>
        <v>0</v>
      </c>
      <c r="V61" s="51">
        <f t="shared" si="8"/>
        <v>99999</v>
      </c>
      <c r="W61" s="46">
        <f t="shared" si="9"/>
        <v>4.2253521126760563E-2</v>
      </c>
      <c r="X61" s="46">
        <f>0.3*W61*Model!$B$9</f>
        <v>3.8275201289827652</v>
      </c>
      <c r="Y61" s="17">
        <f>(S61-X61)/Model!$B$11</f>
        <v>1.76583645716804E-2</v>
      </c>
      <c r="Z61" s="46">
        <f t="shared" si="10"/>
        <v>4.6498537822114712E-4</v>
      </c>
      <c r="AA61" s="57">
        <f>Y61/Model!$B$12*3600</f>
        <v>114.3295939176286</v>
      </c>
      <c r="AB61" s="51">
        <f t="shared" si="16"/>
        <v>1424.8470813021388</v>
      </c>
      <c r="AC61" s="51">
        <f t="shared" si="17"/>
        <v>375.1529186978612</v>
      </c>
      <c r="AD61" s="13">
        <f>IF(AE61=0, Model!$B$19, 0 )</f>
        <v>0</v>
      </c>
      <c r="AE61" s="51">
        <f>IF(AE60+AB60-AB61&lt;Model!$B$19*Model!$B$18, AE60+AB60-AB61,  0)</f>
        <v>375.1529186978612</v>
      </c>
      <c r="AF61" s="13">
        <f t="shared" si="11"/>
        <v>2.9499999999999975</v>
      </c>
      <c r="AG61" s="50">
        <f t="shared" si="12"/>
        <v>0</v>
      </c>
    </row>
    <row r="62" spans="2:33" x14ac:dyDescent="0.25">
      <c r="B62" s="15">
        <f t="shared" si="13"/>
        <v>2.9999999999999973</v>
      </c>
      <c r="C62" s="15">
        <f>B62+Model!$B$4</f>
        <v>4.9999999999999973</v>
      </c>
      <c r="D62" s="15">
        <f t="shared" si="14"/>
        <v>1</v>
      </c>
      <c r="E62" s="15">
        <f t="shared" si="19"/>
        <v>4.9999999999999973</v>
      </c>
      <c r="F62" s="16">
        <f>IF(AB62&gt;0, VLOOKUP(B62,Model!$A$40:$B$60, 2), 0)</f>
        <v>300</v>
      </c>
      <c r="G62" s="15">
        <f>IF(AB62&gt;0, VLOOKUP(B62,Model!$A$39:$C$58, 3), 0)</f>
        <v>1</v>
      </c>
      <c r="H62" s="15">
        <f t="shared" si="0"/>
        <v>97</v>
      </c>
      <c r="I62" s="45">
        <f>Model!$B$21*EXP((-0.029*9.81*F62)/(8.31*(273+J62)))</f>
        <v>100357.4491247143</v>
      </c>
      <c r="J62" s="15">
        <f>IF(Model!$B$31="Summer",  IF(F62&lt;=2000,  Model!$B$20-Model!$B$35*F62/1000,  IF(F62&lt;Model!$B$36,  Model!$B$33-6.5*F62/1000,  Model!$B$38)),     IF(F62&lt;=2000,  Model!$B$20-Model!$B$35*F62/1000,  IF(F62&lt;Model!$B$36,  Model!$B$33-5.4*F62/1000,   Model!$B$38)))</f>
        <v>-19.088750000000001</v>
      </c>
      <c r="K62" s="15">
        <f t="shared" si="1"/>
        <v>253.91125</v>
      </c>
      <c r="L62" s="45">
        <f>IF(AB61-AA61*(B62-B61)&gt;0, L61-Y61*(B62-B61)*3600-AD62*Model!$B$16, 0)</f>
        <v>1640.0720927581194</v>
      </c>
      <c r="M62" s="56">
        <f t="shared" si="2"/>
        <v>90.506687445311627</v>
      </c>
      <c r="N62" s="56">
        <f>Model!$B$13*I62*K62/(Model!$B$13*I62-L62*287*K62)</f>
        <v>363.50668744531163</v>
      </c>
      <c r="O62" s="56">
        <f t="shared" si="3"/>
        <v>308.70896872265581</v>
      </c>
      <c r="P62" s="56">
        <f t="shared" si="4"/>
        <v>35.709250412796656</v>
      </c>
      <c r="Q62" s="62">
        <f t="shared" si="5"/>
        <v>2.6535336779308562E-2</v>
      </c>
      <c r="R62" s="33">
        <f t="shared" si="6"/>
        <v>1.7313732747156203E-5</v>
      </c>
      <c r="S62" s="45">
        <f>0.37*Model!$B$10*(Q62^2*(N62-K62)*I62/(R62*O62^2))^0.33333*(N62-K62)</f>
        <v>820407.32577562425</v>
      </c>
      <c r="T62" s="50">
        <f>Model!$B$32+(90-Model!$B$6)*SIN(RADIANS(-15*(E62+6)))</f>
        <v>-15.929401639572587</v>
      </c>
      <c r="U62" s="45">
        <f t="shared" si="7"/>
        <v>0</v>
      </c>
      <c r="V62" s="50">
        <f t="shared" si="8"/>
        <v>99999</v>
      </c>
      <c r="W62" s="45">
        <f t="shared" si="9"/>
        <v>4.2253521126760563E-2</v>
      </c>
      <c r="X62" s="45">
        <f>0.3*W62*Model!$B$9</f>
        <v>3.8275201289827652</v>
      </c>
      <c r="Y62" s="33">
        <f>(S62-X62)/Model!$B$11</f>
        <v>1.7599560189970935E-2</v>
      </c>
      <c r="Z62" s="45">
        <f t="shared" si="10"/>
        <v>4.6653899943716076E-4</v>
      </c>
      <c r="AA62" s="56">
        <f>Y62/Model!$B$12*3600</f>
        <v>113.94886324157254</v>
      </c>
      <c r="AB62" s="50">
        <f t="shared" si="16"/>
        <v>1419.1306016062574</v>
      </c>
      <c r="AC62" s="50">
        <f t="shared" si="17"/>
        <v>380.86939839374259</v>
      </c>
      <c r="AD62" s="15">
        <f>IF(AE62=0, Model!$B$19, 0 )</f>
        <v>0</v>
      </c>
      <c r="AE62" s="50">
        <f>IF(AE61+AB61-AB62&lt;Model!$B$19*Model!$B$18, AE61+AB61-AB62,  0)</f>
        <v>380.86939839374259</v>
      </c>
      <c r="AF62" s="15">
        <f t="shared" si="11"/>
        <v>2.9999999999999973</v>
      </c>
      <c r="AG62" s="50">
        <f t="shared" si="12"/>
        <v>0</v>
      </c>
    </row>
    <row r="63" spans="2:33" x14ac:dyDescent="0.25">
      <c r="B63" s="13">
        <f t="shared" si="13"/>
        <v>3.0499999999999972</v>
      </c>
      <c r="C63" s="13">
        <f>B63+Model!$B$4</f>
        <v>5.0499999999999972</v>
      </c>
      <c r="D63" s="13">
        <f t="shared" si="14"/>
        <v>1</v>
      </c>
      <c r="E63" s="13">
        <f t="shared" si="19"/>
        <v>5.0499999999999972</v>
      </c>
      <c r="F63" s="14">
        <f>IF(AB63&gt;0, VLOOKUP(B63,Model!$A$40:$B$60, 2), 0)</f>
        <v>300</v>
      </c>
      <c r="G63" s="13">
        <f>IF(AB63&gt;0, VLOOKUP(B63,Model!$A$39:$C$58, 3), 0)</f>
        <v>0</v>
      </c>
      <c r="H63" s="13">
        <f t="shared" si="0"/>
        <v>0</v>
      </c>
      <c r="I63" s="46">
        <f>Model!$B$21*EXP((-0.029*9.81*F63)/(8.31*(273+J63)))</f>
        <v>100357.4491247143</v>
      </c>
      <c r="J63" s="13">
        <f>IF(Model!$B$31="Summer",  IF(F63&lt;=2000,  Model!$B$20-Model!$B$35*F63/1000,  IF(F63&lt;Model!$B$36,  Model!$B$33-6.5*F63/1000,  Model!$B$38)),     IF(F63&lt;=2000,  Model!$B$20-Model!$B$35*F63/1000,  IF(F63&lt;Model!$B$36,  Model!$B$33-5.4*F63/1000,   Model!$B$38)))</f>
        <v>-19.088750000000001</v>
      </c>
      <c r="K63" s="13">
        <f t="shared" si="1"/>
        <v>253.91125</v>
      </c>
      <c r="L63" s="46">
        <f>IF(AB62-AA62*(B63-B62)&gt;0, L62-Y62*(B63-B62)*3600-AD63*Model!$B$16, 0)</f>
        <v>1636.9041719239247</v>
      </c>
      <c r="M63" s="57">
        <f t="shared" si="2"/>
        <v>90.203875929829223</v>
      </c>
      <c r="N63" s="57">
        <f>Model!$B$13*I63*K63/(Model!$B$13*I63-L63*287*K63)</f>
        <v>363.20387592982922</v>
      </c>
      <c r="O63" s="57">
        <f t="shared" si="3"/>
        <v>308.55756296491461</v>
      </c>
      <c r="P63" s="57">
        <f t="shared" si="4"/>
        <v>35.557844655055455</v>
      </c>
      <c r="Q63" s="63">
        <f t="shared" si="5"/>
        <v>2.6524586970508936E-2</v>
      </c>
      <c r="R63" s="17">
        <f t="shared" si="6"/>
        <v>1.729798654835112E-5</v>
      </c>
      <c r="S63" s="46">
        <f>0.37*Model!$B$10*(Q63^2*(N63-K63)*I63/(R63*O63^2))^0.33333*(N63-K63)</f>
        <v>817680.83126613428</v>
      </c>
      <c r="T63" s="51">
        <f>Model!$B$32+(90-Model!$B$6)*SIN(RADIANS(-15*(E63+6)))</f>
        <v>-15.486100316999115</v>
      </c>
      <c r="U63" s="46">
        <f t="shared" si="7"/>
        <v>0</v>
      </c>
      <c r="V63" s="51">
        <f t="shared" si="8"/>
        <v>99999</v>
      </c>
      <c r="W63" s="46">
        <f t="shared" si="9"/>
        <v>0</v>
      </c>
      <c r="X63" s="46">
        <f>0.3*W63*Model!$B$9</f>
        <v>0</v>
      </c>
      <c r="Y63" s="17">
        <f>(S63-X63)/Model!$B$11</f>
        <v>1.7541152660434073E-2</v>
      </c>
      <c r="Z63" s="46">
        <f t="shared" si="10"/>
        <v>0</v>
      </c>
      <c r="AA63" s="57">
        <f>Y63/Model!$B$12*3600</f>
        <v>113.57070199642581</v>
      </c>
      <c r="AB63" s="51">
        <f t="shared" si="16"/>
        <v>1413.4331584441788</v>
      </c>
      <c r="AC63" s="51">
        <f t="shared" si="17"/>
        <v>386.56684155582116</v>
      </c>
      <c r="AD63" s="13">
        <f>IF(AE63=0, Model!$B$19, 0 )</f>
        <v>0</v>
      </c>
      <c r="AE63" s="51">
        <f>IF(AE62+AB62-AB63&lt;Model!$B$19*Model!$B$18, AE62+AB62-AB63,  0)</f>
        <v>386.56684155582116</v>
      </c>
      <c r="AF63" s="13">
        <f t="shared" si="11"/>
        <v>3.0499999999999972</v>
      </c>
      <c r="AG63" s="50">
        <f t="shared" si="12"/>
        <v>0</v>
      </c>
    </row>
    <row r="64" spans="2:33" x14ac:dyDescent="0.25">
      <c r="B64" s="15">
        <f t="shared" si="13"/>
        <v>3.099999999999997</v>
      </c>
      <c r="C64" s="15">
        <f>B64+Model!$B$4</f>
        <v>5.099999999999997</v>
      </c>
      <c r="D64" s="15">
        <f t="shared" si="14"/>
        <v>1</v>
      </c>
      <c r="E64" s="15">
        <f t="shared" si="19"/>
        <v>5.099999999999997</v>
      </c>
      <c r="F64" s="16">
        <f>IF(AB64&gt;0, VLOOKUP(B64,Model!$A$40:$B$60, 2), 0)</f>
        <v>300</v>
      </c>
      <c r="G64" s="15">
        <f>IF(AB64&gt;0, VLOOKUP(B64,Model!$A$39:$C$58, 3), 0)</f>
        <v>0</v>
      </c>
      <c r="H64" s="15">
        <f t="shared" si="0"/>
        <v>0</v>
      </c>
      <c r="I64" s="45">
        <f>Model!$B$21*EXP((-0.029*9.81*F64)/(8.31*(273+J64)))</f>
        <v>100357.4491247143</v>
      </c>
      <c r="J64" s="15">
        <f>IF(Model!$B$31="Summer",  IF(F64&lt;=2000,  Model!$B$20-Model!$B$35*F64/1000,  IF(F64&lt;Model!$B$36,  Model!$B$33-6.5*F64/1000,  Model!$B$38)),     IF(F64&lt;=2000,  Model!$B$20-Model!$B$35*F64/1000,  IF(F64&lt;Model!$B$36,  Model!$B$33-5.4*F64/1000,   Model!$B$38)))</f>
        <v>-19.088750000000001</v>
      </c>
      <c r="K64" s="15">
        <f t="shared" si="1"/>
        <v>253.91125</v>
      </c>
      <c r="L64" s="45">
        <f>IF(AB63-AA63*(B64-B63)&gt;0, L63-Y63*(B64-B63)*3600-AD64*Model!$B$16, 0)</f>
        <v>1633.7467644450464</v>
      </c>
      <c r="M64" s="56">
        <f t="shared" si="2"/>
        <v>89.902570928968032</v>
      </c>
      <c r="N64" s="56">
        <f>Model!$B$13*I64*K64/(Model!$B$13*I64-L64*287*K64)</f>
        <v>362.90257092896803</v>
      </c>
      <c r="O64" s="56">
        <f t="shared" si="3"/>
        <v>308.40691046448399</v>
      </c>
      <c r="P64" s="56">
        <f t="shared" si="4"/>
        <v>35.406910464484014</v>
      </c>
      <c r="Q64" s="62">
        <f t="shared" si="5"/>
        <v>2.6513890642978363E-2</v>
      </c>
      <c r="R64" s="33">
        <f t="shared" si="6"/>
        <v>1.7282318688306333E-5</v>
      </c>
      <c r="S64" s="45">
        <f>0.37*Model!$B$10*(Q64^2*(N64-K64)*I64/(R64*O64^2))^0.33333*(N64-K64)</f>
        <v>814968.88031759183</v>
      </c>
      <c r="T64" s="50">
        <f>Model!$B$32+(90-Model!$B$6)*SIN(RADIANS(-15*(E64+6)))</f>
        <v>-15.041322795941031</v>
      </c>
      <c r="U64" s="45">
        <f t="shared" si="7"/>
        <v>0</v>
      </c>
      <c r="V64" s="50">
        <f t="shared" si="8"/>
        <v>99999</v>
      </c>
      <c r="W64" s="45">
        <f t="shared" si="9"/>
        <v>0</v>
      </c>
      <c r="X64" s="45">
        <f>0.3*W64*Model!$B$9</f>
        <v>0</v>
      </c>
      <c r="Y64" s="33">
        <f>(S64-X64)/Model!$B$11</f>
        <v>1.7482975014857703E-2</v>
      </c>
      <c r="Z64" s="45">
        <f t="shared" si="10"/>
        <v>0</v>
      </c>
      <c r="AA64" s="56">
        <f>Y64/Model!$B$12*3600</f>
        <v>113.19402914165322</v>
      </c>
      <c r="AB64" s="50">
        <f t="shared" si="16"/>
        <v>1407.7546233443575</v>
      </c>
      <c r="AC64" s="50">
        <f t="shared" si="17"/>
        <v>392.24537665564253</v>
      </c>
      <c r="AD64" s="15">
        <f>IF(AE64=0, Model!$B$19, 0 )</f>
        <v>0</v>
      </c>
      <c r="AE64" s="50">
        <f>IF(AE63+AB63-AB64&lt;Model!$B$19*Model!$B$18, AE63+AB63-AB64,  0)</f>
        <v>392.24537665564253</v>
      </c>
      <c r="AF64" s="15">
        <f t="shared" si="11"/>
        <v>3.099999999999997</v>
      </c>
      <c r="AG64" s="50">
        <f t="shared" si="12"/>
        <v>0</v>
      </c>
    </row>
    <row r="65" spans="2:33" x14ac:dyDescent="0.25">
      <c r="B65" s="13">
        <f t="shared" si="13"/>
        <v>3.1499999999999968</v>
      </c>
      <c r="C65" s="13">
        <f>B65+Model!$B$4</f>
        <v>5.1499999999999968</v>
      </c>
      <c r="D65" s="13">
        <f t="shared" si="14"/>
        <v>1</v>
      </c>
      <c r="E65" s="13">
        <f t="shared" si="19"/>
        <v>5.1499999999999968</v>
      </c>
      <c r="F65" s="14">
        <f>IF(AB65&gt;0, VLOOKUP(B65,Model!$A$40:$B$60, 2), 0)</f>
        <v>300</v>
      </c>
      <c r="G65" s="13">
        <f>IF(AB65&gt;0, VLOOKUP(B65,Model!$A$39:$C$58, 3), 0)</f>
        <v>0</v>
      </c>
      <c r="H65" s="13">
        <f t="shared" si="0"/>
        <v>0</v>
      </c>
      <c r="I65" s="46">
        <f>Model!$B$21*EXP((-0.029*9.81*F65)/(8.31*(273+J65)))</f>
        <v>100357.4491247143</v>
      </c>
      <c r="J65" s="13">
        <f>IF(Model!$B$31="Summer",  IF(F65&lt;=2000,  Model!$B$20-Model!$B$35*F65/1000,  IF(F65&lt;Model!$B$36,  Model!$B$33-6.5*F65/1000,  Model!$B$38)),     IF(F65&lt;=2000,  Model!$B$20-Model!$B$35*F65/1000,  IF(F65&lt;Model!$B$36,  Model!$B$33-5.4*F65/1000,   Model!$B$38)))</f>
        <v>-19.088750000000001</v>
      </c>
      <c r="K65" s="13">
        <f t="shared" si="1"/>
        <v>253.91125</v>
      </c>
      <c r="L65" s="46">
        <f>IF(AB64-AA64*(B65-B64)&gt;0, L64-Y64*(B65-B64)*3600-AD65*Model!$B$16, 0)</f>
        <v>1630.5998289423721</v>
      </c>
      <c r="M65" s="57">
        <f t="shared" si="2"/>
        <v>89.602762262793021</v>
      </c>
      <c r="N65" s="57">
        <f>Model!$B$13*I65*K65/(Model!$B$13*I65-L65*287*K65)</f>
        <v>362.60276226279302</v>
      </c>
      <c r="O65" s="57">
        <f t="shared" si="3"/>
        <v>308.25700613139651</v>
      </c>
      <c r="P65" s="57">
        <f t="shared" si="4"/>
        <v>35.257006131396508</v>
      </c>
      <c r="Q65" s="63">
        <f t="shared" si="5"/>
        <v>2.6503247435329152E-2</v>
      </c>
      <c r="R65" s="17">
        <f t="shared" si="6"/>
        <v>1.7266728637665236E-5</v>
      </c>
      <c r="S65" s="46">
        <f>0.37*Model!$B$10*(Q65^2*(N65-K65)*I65/(R65*O65^2))^0.33333*(N65-K65)</f>
        <v>812271.37143372581</v>
      </c>
      <c r="T65" s="51">
        <f>Model!$B$32+(90-Model!$B$6)*SIN(RADIANS(-15*(E65+6)))</f>
        <v>-14.595145286736892</v>
      </c>
      <c r="U65" s="46">
        <f t="shared" si="7"/>
        <v>0</v>
      </c>
      <c r="V65" s="51">
        <f t="shared" si="8"/>
        <v>99999</v>
      </c>
      <c r="W65" s="46">
        <f t="shared" si="9"/>
        <v>0</v>
      </c>
      <c r="X65" s="46">
        <f>0.3*W65*Model!$B$9</f>
        <v>0</v>
      </c>
      <c r="Y65" s="17">
        <f>(S65-X65)/Model!$B$11</f>
        <v>1.7425107185106207E-2</v>
      </c>
      <c r="Z65" s="46">
        <f t="shared" si="10"/>
        <v>0</v>
      </c>
      <c r="AA65" s="57">
        <f>Y65/Model!$B$12*3600</f>
        <v>112.81936219843054</v>
      </c>
      <c r="AB65" s="51">
        <f t="shared" si="16"/>
        <v>1402.0949218872747</v>
      </c>
      <c r="AC65" s="51">
        <f t="shared" si="17"/>
        <v>397.90507811272528</v>
      </c>
      <c r="AD65" s="13">
        <f>IF(AE65=0, Model!$B$19, 0 )</f>
        <v>0</v>
      </c>
      <c r="AE65" s="51">
        <f>IF(AE64+AB64-AB65&lt;Model!$B$19*Model!$B$18, AE64+AB64-AB65,  0)</f>
        <v>397.90507811272528</v>
      </c>
      <c r="AF65" s="13">
        <f t="shared" si="11"/>
        <v>3.1499999999999968</v>
      </c>
      <c r="AG65" s="50">
        <f t="shared" si="12"/>
        <v>0</v>
      </c>
    </row>
    <row r="66" spans="2:33" x14ac:dyDescent="0.25">
      <c r="B66" s="15">
        <f t="shared" si="13"/>
        <v>3.1999999999999966</v>
      </c>
      <c r="C66" s="15">
        <f>B66+Model!$B$4</f>
        <v>5.1999999999999966</v>
      </c>
      <c r="D66" s="15">
        <f t="shared" si="14"/>
        <v>1</v>
      </c>
      <c r="E66" s="15">
        <f t="shared" si="19"/>
        <v>5.1999999999999966</v>
      </c>
      <c r="F66" s="16">
        <f>IF(AB66&gt;0, VLOOKUP(B66,Model!$A$40:$B$60, 2), 0)</f>
        <v>300</v>
      </c>
      <c r="G66" s="15">
        <f>IF(AB66&gt;0, VLOOKUP(B66,Model!$A$39:$C$58, 3), 0)</f>
        <v>0</v>
      </c>
      <c r="H66" s="15">
        <f t="shared" ref="H66:H129" si="20">IF(B66=1, 0, G66*97)</f>
        <v>0</v>
      </c>
      <c r="I66" s="45">
        <f>Model!$B$21*EXP((-0.029*9.81*F66)/(8.31*(273+J66)))</f>
        <v>100357.4491247143</v>
      </c>
      <c r="J66" s="15">
        <f>IF(Model!$B$31="Summer",  IF(F66&lt;=2000,  Model!$B$20-Model!$B$35*F66/1000,  IF(F66&lt;Model!$B$36,  Model!$B$33-6.5*F66/1000,  Model!$B$38)),     IF(F66&lt;=2000,  Model!$B$20-Model!$B$35*F66/1000,  IF(F66&lt;Model!$B$36,  Model!$B$33-5.4*F66/1000,   Model!$B$38)))</f>
        <v>-19.088750000000001</v>
      </c>
      <c r="K66" s="15">
        <f t="shared" ref="K66:K129" si="21">273+J66</f>
        <v>253.91125</v>
      </c>
      <c r="L66" s="45">
        <f>IF(AB65-AA65*(B66-B65)&gt;0, L65-Y65*(B66-B65)*3600-AD66*Model!$B$16, 0)</f>
        <v>1627.4633096490531</v>
      </c>
      <c r="M66" s="56">
        <f t="shared" ref="M66:M129" si="22">IF(AB66=0, 0, N66-273)</f>
        <v>89.304438455413049</v>
      </c>
      <c r="N66" s="56">
        <f>Model!$B$13*I66*K66/(Model!$B$13*I66-L66*287*K66)</f>
        <v>362.30443845541305</v>
      </c>
      <c r="O66" s="56">
        <f t="shared" ref="O66:O129" si="23">(K66+N66)/2</f>
        <v>308.10784422770655</v>
      </c>
      <c r="P66" s="56">
        <f t="shared" ref="P66:P129" si="24">(J66+M66)/2+W65/150</f>
        <v>35.107844227706522</v>
      </c>
      <c r="Q66" s="62">
        <f t="shared" ref="Q66:Q129" si="25">(O66-273)*7.1*0.00001+0.024</f>
        <v>2.6492656940167166E-2</v>
      </c>
      <c r="R66" s="33">
        <f t="shared" ref="R66:R129" si="26">((O66-273)*0.104+13.6)*0.000001</f>
        <v>1.7251215799681481E-5</v>
      </c>
      <c r="S66" s="45">
        <f>0.37*Model!$B$10*(Q66^2*(N66-K66)*I66/(R66*O66^2))^0.33333*(N66-K66)</f>
        <v>809588.19155637058</v>
      </c>
      <c r="T66" s="50">
        <f>Model!$B$32+(90-Model!$B$6)*SIN(RADIANS(-15*(E66+6)))</f>
        <v>-14.147644239605929</v>
      </c>
      <c r="U66" s="45">
        <f t="shared" ref="U66:U129" si="27">IF(OR(T66&lt;0, AB66=0),  0, T66)</f>
        <v>0</v>
      </c>
      <c r="V66" s="50">
        <f t="shared" ref="V66:V129" si="28">IF(T66&lt;0,99999,1/SIN(RADIANS(T66)))</f>
        <v>99999</v>
      </c>
      <c r="W66" s="45">
        <f t="shared" ref="W66:W129" si="29">IF(G66=0,0, 1353*((1+F66/7100)*0.7^V66^0.678)+F66/7100)</f>
        <v>0</v>
      </c>
      <c r="X66" s="45">
        <f>0.3*W66*Model!$B$9</f>
        <v>0</v>
      </c>
      <c r="Y66" s="33">
        <f>(S66-X66)/Model!$B$11</f>
        <v>1.7367546745819383E-2</v>
      </c>
      <c r="Z66" s="45">
        <f t="shared" ref="Z66:Z129" si="30">100*X66/S66</f>
        <v>0</v>
      </c>
      <c r="AA66" s="56">
        <f>Y66/Model!$B$12*3600</f>
        <v>112.44668546369277</v>
      </c>
      <c r="AB66" s="50">
        <f t="shared" si="16"/>
        <v>1396.4539537773533</v>
      </c>
      <c r="AC66" s="50">
        <f t="shared" si="17"/>
        <v>403.54604622264674</v>
      </c>
      <c r="AD66" s="15">
        <f>IF(AE66=0, Model!$B$19, 0 )</f>
        <v>0</v>
      </c>
      <c r="AE66" s="50">
        <f>IF(AE65+AB65-AB66&lt;Model!$B$19*Model!$B$18, AE65+AB65-AB66,  0)</f>
        <v>403.54604622264674</v>
      </c>
      <c r="AF66" s="15">
        <f t="shared" ref="AF66:AF129" si="31">B66</f>
        <v>3.1999999999999966</v>
      </c>
      <c r="AG66" s="50">
        <f t="shared" ref="AG66:AG129" si="32">IF(OR(P66&gt;0, AB66&lt;=0),0, IF(P66&lt;-2,0.99,ABS(P66/2)))</f>
        <v>0</v>
      </c>
    </row>
    <row r="67" spans="2:33" x14ac:dyDescent="0.25">
      <c r="B67" s="13">
        <f t="shared" ref="B67:B130" si="33">IF(AB66&gt;0, B66+0.05, 1)</f>
        <v>3.2499999999999964</v>
      </c>
      <c r="C67" s="13">
        <f>B67+Model!$B$4</f>
        <v>5.2499999999999964</v>
      </c>
      <c r="D67" s="13">
        <f t="shared" ref="D67:D130" si="34">INT(C67/24+1)</f>
        <v>1</v>
      </c>
      <c r="E67" s="13">
        <f t="shared" si="19"/>
        <v>5.2499999999999964</v>
      </c>
      <c r="F67" s="14">
        <f>IF(AB67&gt;0, VLOOKUP(B67,Model!$A$40:$B$60, 2), 0)</f>
        <v>300</v>
      </c>
      <c r="G67" s="13">
        <f>IF(AB67&gt;0, VLOOKUP(B67,Model!$A$39:$C$58, 3), 0)</f>
        <v>0</v>
      </c>
      <c r="H67" s="13">
        <f t="shared" si="20"/>
        <v>0</v>
      </c>
      <c r="I67" s="46">
        <f>Model!$B$21*EXP((-0.029*9.81*F67)/(8.31*(273+J67)))</f>
        <v>100357.4491247143</v>
      </c>
      <c r="J67" s="13">
        <f>IF(Model!$B$31="Summer",  IF(F67&lt;=2000,  Model!$B$20-Model!$B$35*F67/1000,  IF(F67&lt;Model!$B$36,  Model!$B$33-6.5*F67/1000,  Model!$B$38)),     IF(F67&lt;=2000,  Model!$B$20-Model!$B$35*F67/1000,  IF(F67&lt;Model!$B$36,  Model!$B$33-5.4*F67/1000,   Model!$B$38)))</f>
        <v>-19.088750000000001</v>
      </c>
      <c r="K67" s="13">
        <f t="shared" si="21"/>
        <v>253.91125</v>
      </c>
      <c r="L67" s="46">
        <f>IF(AB66-AA66*(B67-B66)&gt;0, L66-Y66*(B67-B66)*3600-AD67*Model!$B$16, 0)</f>
        <v>1624.3371512348056</v>
      </c>
      <c r="M67" s="57">
        <f t="shared" si="22"/>
        <v>89.007588151962977</v>
      </c>
      <c r="N67" s="57">
        <f>Model!$B$13*I67*K67/(Model!$B$13*I67-L67*287*K67)</f>
        <v>362.00758815196298</v>
      </c>
      <c r="O67" s="57">
        <f t="shared" si="23"/>
        <v>307.95941907598149</v>
      </c>
      <c r="P67" s="57">
        <f t="shared" si="24"/>
        <v>34.959419075981486</v>
      </c>
      <c r="Q67" s="63">
        <f t="shared" si="25"/>
        <v>2.6482118754394685E-2</v>
      </c>
      <c r="R67" s="17">
        <f t="shared" si="26"/>
        <v>1.7235779583902072E-5</v>
      </c>
      <c r="S67" s="46">
        <f>0.37*Model!$B$10*(Q67^2*(N67-K67)*I67/(R67*O67^2))^0.33333*(N67-K67)</f>
        <v>806919.22882471851</v>
      </c>
      <c r="T67" s="51">
        <f>Model!$B$32+(90-Model!$B$6)*SIN(RADIANS(-15*(E67+6)))</f>
        <v>-13.698896331548855</v>
      </c>
      <c r="U67" s="46">
        <f t="shared" si="27"/>
        <v>0</v>
      </c>
      <c r="V67" s="51">
        <f t="shared" si="28"/>
        <v>99999</v>
      </c>
      <c r="W67" s="46">
        <f t="shared" si="29"/>
        <v>0</v>
      </c>
      <c r="X67" s="46">
        <f>0.3*W67*Model!$B$9</f>
        <v>0</v>
      </c>
      <c r="Y67" s="17">
        <f>(S67-X67)/Model!$B$11</f>
        <v>1.7310291297323147E-2</v>
      </c>
      <c r="Z67" s="46">
        <f t="shared" si="30"/>
        <v>0</v>
      </c>
      <c r="AA67" s="57">
        <f>Y67/Model!$B$12*3600</f>
        <v>112.07598340068043</v>
      </c>
      <c r="AB67" s="51">
        <f t="shared" ref="AB67:AB130" si="35">IF(AB66-AA66*(B67-B66)&gt;0, AB66-AA66*(B67-B66), 0)</f>
        <v>1390.8316195041687</v>
      </c>
      <c r="AC67" s="51">
        <f t="shared" ref="AC67:AC130" si="36">AC66+AB66-AB67</f>
        <v>409.16838049583134</v>
      </c>
      <c r="AD67" s="13">
        <f>IF(AE67=0, Model!$B$19, 0 )</f>
        <v>0</v>
      </c>
      <c r="AE67" s="51">
        <f>IF(AE66+AB66-AB67&lt;Model!$B$19*Model!$B$18, AE66+AB66-AB67,  0)</f>
        <v>409.16838049583134</v>
      </c>
      <c r="AF67" s="13">
        <f t="shared" si="31"/>
        <v>3.2499999999999964</v>
      </c>
      <c r="AG67" s="50">
        <f t="shared" si="32"/>
        <v>0</v>
      </c>
    </row>
    <row r="68" spans="2:33" x14ac:dyDescent="0.25">
      <c r="B68" s="15">
        <f t="shared" si="33"/>
        <v>3.2999999999999963</v>
      </c>
      <c r="C68" s="15">
        <f>B68+Model!$B$4</f>
        <v>5.2999999999999963</v>
      </c>
      <c r="D68" s="15">
        <f t="shared" si="34"/>
        <v>1</v>
      </c>
      <c r="E68" s="15">
        <f t="shared" si="19"/>
        <v>5.2999999999999963</v>
      </c>
      <c r="F68" s="16">
        <f>IF(AB68&gt;0, VLOOKUP(B68,Model!$A$40:$B$60, 2), 0)</f>
        <v>300</v>
      </c>
      <c r="G68" s="15">
        <f>IF(AB68&gt;0, VLOOKUP(B68,Model!$A$39:$C$58, 3), 0)</f>
        <v>0</v>
      </c>
      <c r="H68" s="15">
        <f t="shared" si="20"/>
        <v>0</v>
      </c>
      <c r="I68" s="45">
        <f>Model!$B$21*EXP((-0.029*9.81*F68)/(8.31*(273+J68)))</f>
        <v>100357.4491247143</v>
      </c>
      <c r="J68" s="15">
        <f>IF(Model!$B$31="Summer",  IF(F68&lt;=2000,  Model!$B$20-Model!$B$35*F68/1000,  IF(F68&lt;Model!$B$36,  Model!$B$33-6.5*F68/1000,  Model!$B$38)),     IF(F68&lt;=2000,  Model!$B$20-Model!$B$35*F68/1000,  IF(F68&lt;Model!$B$36,  Model!$B$33-5.4*F68/1000,   Model!$B$38)))</f>
        <v>-19.088750000000001</v>
      </c>
      <c r="K68" s="15">
        <f t="shared" si="21"/>
        <v>253.91125</v>
      </c>
      <c r="L68" s="45">
        <f>IF(AB67-AA67*(B68-B67)&gt;0, L67-Y67*(B68-B67)*3600-AD68*Model!$B$16, 0)</f>
        <v>1621.2212988012875</v>
      </c>
      <c r="M68" s="56">
        <f t="shared" si="22"/>
        <v>88.712200116974429</v>
      </c>
      <c r="N68" s="56">
        <f>Model!$B$13*I68*K68/(Model!$B$13*I68-L68*287*K68)</f>
        <v>361.71220011697443</v>
      </c>
      <c r="O68" s="56">
        <f t="shared" si="23"/>
        <v>307.81172505848724</v>
      </c>
      <c r="P68" s="56">
        <f t="shared" si="24"/>
        <v>34.811725058487212</v>
      </c>
      <c r="Q68" s="62">
        <f t="shared" si="25"/>
        <v>2.6471632479152594E-2</v>
      </c>
      <c r="R68" s="33">
        <f t="shared" si="26"/>
        <v>1.7220419406082673E-5</v>
      </c>
      <c r="S68" s="45">
        <f>0.37*Model!$B$10*(Q68^2*(N68-K68)*I68/(R68*O68^2))^0.33333*(N68-K68)</f>
        <v>804264.37255921017</v>
      </c>
      <c r="T68" s="50">
        <f>Model!$B$32+(90-Model!$B$6)*SIN(RADIANS(-15*(E68+6)))</f>
        <v>-13.248978453209524</v>
      </c>
      <c r="U68" s="45">
        <f t="shared" si="27"/>
        <v>0</v>
      </c>
      <c r="V68" s="50">
        <f t="shared" si="28"/>
        <v>99999</v>
      </c>
      <c r="W68" s="45">
        <f t="shared" si="29"/>
        <v>0</v>
      </c>
      <c r="X68" s="45">
        <f>0.3*W68*Model!$B$9</f>
        <v>0</v>
      </c>
      <c r="Y68" s="33">
        <f>(S68-X68)/Model!$B$11</f>
        <v>1.7253338465283926E-2</v>
      </c>
      <c r="Z68" s="45">
        <f t="shared" si="30"/>
        <v>0</v>
      </c>
      <c r="AA68" s="56">
        <f>Y68/Model!$B$12*3600</f>
        <v>111.70724063670183</v>
      </c>
      <c r="AB68" s="50">
        <f t="shared" si="35"/>
        <v>1385.2278203341345</v>
      </c>
      <c r="AC68" s="50">
        <f t="shared" si="36"/>
        <v>414.77217966586545</v>
      </c>
      <c r="AD68" s="15">
        <f>IF(AE68=0, Model!$B$19, 0 )</f>
        <v>0</v>
      </c>
      <c r="AE68" s="50">
        <f>IF(AE67+AB67-AB68&lt;Model!$B$19*Model!$B$18, AE67+AB67-AB68,  0)</f>
        <v>414.77217966586545</v>
      </c>
      <c r="AF68" s="15">
        <f t="shared" si="31"/>
        <v>3.2999999999999963</v>
      </c>
      <c r="AG68" s="50">
        <f t="shared" si="32"/>
        <v>0</v>
      </c>
    </row>
    <row r="69" spans="2:33" x14ac:dyDescent="0.25">
      <c r="B69" s="13">
        <f t="shared" si="33"/>
        <v>3.3499999999999961</v>
      </c>
      <c r="C69" s="13">
        <f>B69+Model!$B$4</f>
        <v>5.3499999999999961</v>
      </c>
      <c r="D69" s="13">
        <f t="shared" si="34"/>
        <v>1</v>
      </c>
      <c r="E69" s="13">
        <f t="shared" si="19"/>
        <v>5.3499999999999961</v>
      </c>
      <c r="F69" s="14">
        <f>IF(AB69&gt;0, VLOOKUP(B69,Model!$A$40:$B$60, 2), 0)</f>
        <v>300</v>
      </c>
      <c r="G69" s="13">
        <f>IF(AB69&gt;0, VLOOKUP(B69,Model!$A$39:$C$58, 3), 0)</f>
        <v>0</v>
      </c>
      <c r="H69" s="13">
        <f t="shared" si="20"/>
        <v>0</v>
      </c>
      <c r="I69" s="46">
        <f>Model!$B$21*EXP((-0.029*9.81*F69)/(8.31*(273+J69)))</f>
        <v>100357.4491247143</v>
      </c>
      <c r="J69" s="13">
        <f>IF(Model!$B$31="Summer",  IF(F69&lt;=2000,  Model!$B$20-Model!$B$35*F69/1000,  IF(F69&lt;Model!$B$36,  Model!$B$33-6.5*F69/1000,  Model!$B$38)),     IF(F69&lt;=2000,  Model!$B$20-Model!$B$35*F69/1000,  IF(F69&lt;Model!$B$36,  Model!$B$33-5.4*F69/1000,   Model!$B$38)))</f>
        <v>-19.088750000000001</v>
      </c>
      <c r="K69" s="13">
        <f t="shared" si="21"/>
        <v>253.91125</v>
      </c>
      <c r="L69" s="46">
        <f>IF(AB68-AA68*(B69-B68)&gt;0, L68-Y68*(B69-B68)*3600-AD69*Model!$B$16, 0)</f>
        <v>1618.1156978775364</v>
      </c>
      <c r="M69" s="57">
        <f t="shared" si="22"/>
        <v>88.418263232773825</v>
      </c>
      <c r="N69" s="57">
        <f>Model!$B$13*I69*K69/(Model!$B$13*I69-L69*287*K69)</f>
        <v>361.41826323277382</v>
      </c>
      <c r="O69" s="57">
        <f t="shared" si="23"/>
        <v>307.66475661638691</v>
      </c>
      <c r="P69" s="57">
        <f t="shared" si="24"/>
        <v>34.66475661638691</v>
      </c>
      <c r="Q69" s="63">
        <f t="shared" si="25"/>
        <v>2.646119771976347E-2</v>
      </c>
      <c r="R69" s="17">
        <f t="shared" si="26"/>
        <v>1.7205134688104235E-5</v>
      </c>
      <c r="S69" s="46">
        <f>0.37*Model!$B$10*(Q69^2*(N69-K69)*I69/(R69*O69^2))^0.33333*(N69-K69)</f>
        <v>801623.51324569306</v>
      </c>
      <c r="T69" s="51">
        <f>Model!$B$32+(90-Model!$B$6)*SIN(RADIANS(-15*(E69+6)))</f>
        <v>-12.797967695700223</v>
      </c>
      <c r="U69" s="46">
        <f t="shared" si="27"/>
        <v>0</v>
      </c>
      <c r="V69" s="51">
        <f t="shared" si="28"/>
        <v>99999</v>
      </c>
      <c r="W69" s="46">
        <f t="shared" si="29"/>
        <v>0</v>
      </c>
      <c r="X69" s="46">
        <f>0.3*W69*Model!$B$9</f>
        <v>0</v>
      </c>
      <c r="Y69" s="17">
        <f>(S69-X69)/Model!$B$11</f>
        <v>1.7196685900368831E-2</v>
      </c>
      <c r="Z69" s="46">
        <f t="shared" si="30"/>
        <v>0</v>
      </c>
      <c r="AA69" s="57">
        <f>Y69/Model!$B$12*3600</f>
        <v>111.34044196093305</v>
      </c>
      <c r="AB69" s="51">
        <f t="shared" si="35"/>
        <v>1379.6424583022995</v>
      </c>
      <c r="AC69" s="51">
        <f t="shared" si="36"/>
        <v>420.35754169770053</v>
      </c>
      <c r="AD69" s="13">
        <f>IF(AE69=0, Model!$B$19, 0 )</f>
        <v>0</v>
      </c>
      <c r="AE69" s="51">
        <f>IF(AE68+AB68-AB69&lt;Model!$B$19*Model!$B$18, AE68+AB68-AB69,  0)</f>
        <v>420.35754169770053</v>
      </c>
      <c r="AF69" s="13">
        <f t="shared" si="31"/>
        <v>3.3499999999999961</v>
      </c>
      <c r="AG69" s="50">
        <f t="shared" si="32"/>
        <v>0</v>
      </c>
    </row>
    <row r="70" spans="2:33" x14ac:dyDescent="0.25">
      <c r="B70" s="15">
        <f t="shared" si="33"/>
        <v>3.3999999999999959</v>
      </c>
      <c r="C70" s="15">
        <f>B70+Model!$B$4</f>
        <v>5.3999999999999959</v>
      </c>
      <c r="D70" s="15">
        <f t="shared" si="34"/>
        <v>1</v>
      </c>
      <c r="E70" s="15">
        <f t="shared" si="19"/>
        <v>5.3999999999999959</v>
      </c>
      <c r="F70" s="16">
        <f>IF(AB70&gt;0, VLOOKUP(B70,Model!$A$40:$B$60, 2), 0)</f>
        <v>300</v>
      </c>
      <c r="G70" s="15">
        <f>IF(AB70&gt;0, VLOOKUP(B70,Model!$A$39:$C$58, 3), 0)</f>
        <v>0</v>
      </c>
      <c r="H70" s="15">
        <f t="shared" si="20"/>
        <v>0</v>
      </c>
      <c r="I70" s="45">
        <f>Model!$B$21*EXP((-0.029*9.81*F70)/(8.31*(273+J70)))</f>
        <v>100357.4491247143</v>
      </c>
      <c r="J70" s="15">
        <f>IF(Model!$B$31="Summer",  IF(F70&lt;=2000,  Model!$B$20-Model!$B$35*F70/1000,  IF(F70&lt;Model!$B$36,  Model!$B$33-6.5*F70/1000,  Model!$B$38)),     IF(F70&lt;=2000,  Model!$B$20-Model!$B$35*F70/1000,  IF(F70&lt;Model!$B$36,  Model!$B$33-5.4*F70/1000,   Model!$B$38)))</f>
        <v>-19.088750000000001</v>
      </c>
      <c r="K70" s="15">
        <f t="shared" si="21"/>
        <v>253.91125</v>
      </c>
      <c r="L70" s="45">
        <f>IF(AB69-AA69*(B70-B69)&gt;0, L69-Y69*(B70-B69)*3600-AD70*Model!$B$16, 0)</f>
        <v>1615.0202944154701</v>
      </c>
      <c r="M70" s="56">
        <f t="shared" si="22"/>
        <v>88.125766497906454</v>
      </c>
      <c r="N70" s="56">
        <f>Model!$B$13*I70*K70/(Model!$B$13*I70-L70*287*K70)</f>
        <v>361.12576649790645</v>
      </c>
      <c r="O70" s="56">
        <f t="shared" si="23"/>
        <v>307.51850824895325</v>
      </c>
      <c r="P70" s="56">
        <f t="shared" si="24"/>
        <v>34.518508248953225</v>
      </c>
      <c r="Q70" s="62">
        <f t="shared" si="25"/>
        <v>2.6450814085675681E-2</v>
      </c>
      <c r="R70" s="33">
        <f t="shared" si="26"/>
        <v>1.7189924857891139E-5</v>
      </c>
      <c r="S70" s="45">
        <f>0.37*Model!$B$10*(Q70^2*(N70-K70)*I70/(R70*O70^2))^0.33333*(N70-K70)</f>
        <v>798996.54251984041</v>
      </c>
      <c r="T70" s="50">
        <f>Model!$B$32+(90-Model!$B$6)*SIN(RADIANS(-15*(E70+6)))</f>
        <v>-12.345941337392453</v>
      </c>
      <c r="U70" s="45">
        <f t="shared" si="27"/>
        <v>0</v>
      </c>
      <c r="V70" s="50">
        <f t="shared" si="28"/>
        <v>99999</v>
      </c>
      <c r="W70" s="45">
        <f t="shared" si="29"/>
        <v>0</v>
      </c>
      <c r="X70" s="45">
        <f>0.3*W70*Model!$B$9</f>
        <v>0</v>
      </c>
      <c r="Y70" s="33">
        <f>(S70-X70)/Model!$B$11</f>
        <v>1.7140331277911411E-2</v>
      </c>
      <c r="Z70" s="45">
        <f t="shared" si="30"/>
        <v>0</v>
      </c>
      <c r="AA70" s="56">
        <f>Y70/Model!$B$12*3600</f>
        <v>110.97557232225364</v>
      </c>
      <c r="AB70" s="50">
        <f t="shared" si="35"/>
        <v>1374.0754362042528</v>
      </c>
      <c r="AC70" s="50">
        <f t="shared" si="36"/>
        <v>425.92456379574719</v>
      </c>
      <c r="AD70" s="15">
        <f>IF(AE70=0, Model!$B$19, 0 )</f>
        <v>0</v>
      </c>
      <c r="AE70" s="50">
        <f>IF(AE69+AB69-AB70&lt;Model!$B$19*Model!$B$18, AE69+AB69-AB70,  0)</f>
        <v>425.92456379574719</v>
      </c>
      <c r="AF70" s="15">
        <f t="shared" si="31"/>
        <v>3.3999999999999959</v>
      </c>
      <c r="AG70" s="50">
        <f t="shared" si="32"/>
        <v>0</v>
      </c>
    </row>
    <row r="71" spans="2:33" x14ac:dyDescent="0.25">
      <c r="B71" s="13">
        <f t="shared" si="33"/>
        <v>3.4499999999999957</v>
      </c>
      <c r="C71" s="13">
        <f>B71+Model!$B$4</f>
        <v>5.4499999999999957</v>
      </c>
      <c r="D71" s="13">
        <f t="shared" si="34"/>
        <v>1</v>
      </c>
      <c r="E71" s="13">
        <f t="shared" si="19"/>
        <v>5.4499999999999957</v>
      </c>
      <c r="F71" s="14">
        <f>IF(AB71&gt;0, VLOOKUP(B71,Model!$A$40:$B$60, 2), 0)</f>
        <v>300</v>
      </c>
      <c r="G71" s="13">
        <f>IF(AB71&gt;0, VLOOKUP(B71,Model!$A$39:$C$58, 3), 0)</f>
        <v>0</v>
      </c>
      <c r="H71" s="13">
        <f t="shared" si="20"/>
        <v>0</v>
      </c>
      <c r="I71" s="46">
        <f>Model!$B$21*EXP((-0.029*9.81*F71)/(8.31*(273+J71)))</f>
        <v>100357.4491247143</v>
      </c>
      <c r="J71" s="13">
        <f>IF(Model!$B$31="Summer",  IF(F71&lt;=2000,  Model!$B$20-Model!$B$35*F71/1000,  IF(F71&lt;Model!$B$36,  Model!$B$33-6.5*F71/1000,  Model!$B$38)),     IF(F71&lt;=2000,  Model!$B$20-Model!$B$35*F71/1000,  IF(F71&lt;Model!$B$36,  Model!$B$33-5.4*F71/1000,   Model!$B$38)))</f>
        <v>-19.088750000000001</v>
      </c>
      <c r="K71" s="13">
        <f t="shared" si="21"/>
        <v>253.91125</v>
      </c>
      <c r="L71" s="46">
        <f>IF(AB70-AA70*(B71-B70)&gt;0, L70-Y70*(B71-B70)*3600-AD71*Model!$B$16, 0)</f>
        <v>1611.9350347854461</v>
      </c>
      <c r="M71" s="57">
        <f t="shared" si="22"/>
        <v>87.834699025586133</v>
      </c>
      <c r="N71" s="57">
        <f>Model!$B$13*I71*K71/(Model!$B$13*I71-L71*287*K71)</f>
        <v>360.83469902558613</v>
      </c>
      <c r="O71" s="57">
        <f t="shared" si="23"/>
        <v>307.37297451279306</v>
      </c>
      <c r="P71" s="57">
        <f t="shared" si="24"/>
        <v>34.372974512793064</v>
      </c>
      <c r="Q71" s="63">
        <f t="shared" si="25"/>
        <v>2.6440481190408309E-2</v>
      </c>
      <c r="R71" s="17">
        <f t="shared" si="26"/>
        <v>1.7174789349330476E-5</v>
      </c>
      <c r="S71" s="46">
        <f>0.37*Model!$B$10*(Q71^2*(N71-K71)*I71/(R71*O71^2))^0.33333*(N71-K71)</f>
        <v>796383.35315181653</v>
      </c>
      <c r="T71" s="51">
        <f>Model!$B$32+(90-Model!$B$6)*SIN(RADIANS(-15*(E71+6)))</f>
        <v>-11.892976830675632</v>
      </c>
      <c r="U71" s="46">
        <f t="shared" si="27"/>
        <v>0</v>
      </c>
      <c r="V71" s="51">
        <f t="shared" si="28"/>
        <v>99999</v>
      </c>
      <c r="W71" s="46">
        <f t="shared" si="29"/>
        <v>0</v>
      </c>
      <c r="X71" s="46">
        <f>0.3*W71*Model!$B$9</f>
        <v>0</v>
      </c>
      <c r="Y71" s="17">
        <f>(S71-X71)/Model!$B$11</f>
        <v>1.7084272297582678E-2</v>
      </c>
      <c r="Z71" s="46">
        <f t="shared" si="30"/>
        <v>0</v>
      </c>
      <c r="AA71" s="57">
        <f>Y71/Model!$B$12*3600</f>
        <v>110.61261682711684</v>
      </c>
      <c r="AB71" s="51">
        <f t="shared" si="35"/>
        <v>1368.5266575881401</v>
      </c>
      <c r="AC71" s="51">
        <f t="shared" si="36"/>
        <v>431.4733424118599</v>
      </c>
      <c r="AD71" s="13">
        <f>IF(AE71=0, Model!$B$19, 0 )</f>
        <v>0</v>
      </c>
      <c r="AE71" s="51">
        <f>IF(AE70+AB70-AB71&lt;Model!$B$19*Model!$B$18, AE70+AB70-AB71,  0)</f>
        <v>431.4733424118599</v>
      </c>
      <c r="AF71" s="13">
        <f t="shared" si="31"/>
        <v>3.4499999999999957</v>
      </c>
      <c r="AG71" s="50">
        <f t="shared" si="32"/>
        <v>0</v>
      </c>
    </row>
    <row r="72" spans="2:33" x14ac:dyDescent="0.25">
      <c r="B72" s="15">
        <f t="shared" si="33"/>
        <v>3.4999999999999956</v>
      </c>
      <c r="C72" s="15">
        <f>B72+Model!$B$4</f>
        <v>5.4999999999999956</v>
      </c>
      <c r="D72" s="15">
        <f t="shared" si="34"/>
        <v>1</v>
      </c>
      <c r="E72" s="15">
        <f t="shared" si="19"/>
        <v>5.4999999999999956</v>
      </c>
      <c r="F72" s="16">
        <f>IF(AB72&gt;0, VLOOKUP(B72,Model!$A$40:$B$60, 2), 0)</f>
        <v>300</v>
      </c>
      <c r="G72" s="15">
        <f>IF(AB72&gt;0, VLOOKUP(B72,Model!$A$39:$C$58, 3), 0)</f>
        <v>0</v>
      </c>
      <c r="H72" s="15">
        <f t="shared" si="20"/>
        <v>0</v>
      </c>
      <c r="I72" s="45">
        <f>Model!$B$21*EXP((-0.029*9.81*F72)/(8.31*(273+J72)))</f>
        <v>100357.4491247143</v>
      </c>
      <c r="J72" s="15">
        <f>IF(Model!$B$31="Summer",  IF(F72&lt;=2000,  Model!$B$20-Model!$B$35*F72/1000,  IF(F72&lt;Model!$B$36,  Model!$B$33-6.5*F72/1000,  Model!$B$38)),     IF(F72&lt;=2000,  Model!$B$20-Model!$B$35*F72/1000,  IF(F72&lt;Model!$B$36,  Model!$B$33-5.4*F72/1000,   Model!$B$38)))</f>
        <v>-19.088750000000001</v>
      </c>
      <c r="K72" s="15">
        <f t="shared" si="21"/>
        <v>253.91125</v>
      </c>
      <c r="L72" s="45">
        <f>IF(AB71-AA71*(B72-B71)&gt;0, L71-Y71*(B72-B71)*3600-AD72*Model!$B$16, 0)</f>
        <v>1608.8598657718812</v>
      </c>
      <c r="M72" s="56">
        <f t="shared" si="22"/>
        <v>87.545050042170033</v>
      </c>
      <c r="N72" s="56">
        <f>Model!$B$13*I72*K72/(Model!$B$13*I72-L72*287*K72)</f>
        <v>360.54505004217003</v>
      </c>
      <c r="O72" s="56">
        <f t="shared" si="23"/>
        <v>307.22815002108501</v>
      </c>
      <c r="P72" s="56">
        <f t="shared" si="24"/>
        <v>34.228150021085014</v>
      </c>
      <c r="Q72" s="62">
        <f t="shared" si="25"/>
        <v>2.6430198651497035E-2</v>
      </c>
      <c r="R72" s="33">
        <f t="shared" si="26"/>
        <v>1.7159727602192841E-5</v>
      </c>
      <c r="S72" s="45">
        <f>0.37*Model!$B$10*(Q72^2*(N72-K72)*I72/(R72*O72^2))^0.33333*(N72-K72)</f>
        <v>793783.83903119597</v>
      </c>
      <c r="T72" s="50">
        <f>Model!$B$32+(90-Model!$B$6)*SIN(RADIANS(-15*(E72+6)))</f>
        <v>-11.439151788686157</v>
      </c>
      <c r="U72" s="45">
        <f t="shared" si="27"/>
        <v>0</v>
      </c>
      <c r="V72" s="50">
        <f t="shared" si="28"/>
        <v>99999</v>
      </c>
      <c r="W72" s="45">
        <f t="shared" si="29"/>
        <v>0</v>
      </c>
      <c r="X72" s="45">
        <f>0.3*W72*Model!$B$9</f>
        <v>0</v>
      </c>
      <c r="Y72" s="33">
        <f>(S72-X72)/Model!$B$11</f>
        <v>1.7028506683067594E-2</v>
      </c>
      <c r="Z72" s="45">
        <f t="shared" si="30"/>
        <v>0</v>
      </c>
      <c r="AA72" s="56">
        <f>Y72/Model!$B$12*3600</f>
        <v>110.25156073745487</v>
      </c>
      <c r="AB72" s="50">
        <f t="shared" si="35"/>
        <v>1362.9960267467843</v>
      </c>
      <c r="AC72" s="50">
        <f t="shared" si="36"/>
        <v>437.00397325321569</v>
      </c>
      <c r="AD72" s="15">
        <f>IF(AE72=0, Model!$B$19, 0 )</f>
        <v>0</v>
      </c>
      <c r="AE72" s="50">
        <f>IF(AE71+AB71-AB72&lt;Model!$B$19*Model!$B$18, AE71+AB71-AB72,  0)</f>
        <v>437.00397325321569</v>
      </c>
      <c r="AF72" s="15">
        <f t="shared" si="31"/>
        <v>3.4999999999999956</v>
      </c>
      <c r="AG72" s="50">
        <f t="shared" si="32"/>
        <v>0</v>
      </c>
    </row>
    <row r="73" spans="2:33" x14ac:dyDescent="0.25">
      <c r="B73" s="13">
        <f t="shared" si="33"/>
        <v>3.5499999999999954</v>
      </c>
      <c r="C73" s="13">
        <f>B73+Model!$B$4</f>
        <v>5.5499999999999954</v>
      </c>
      <c r="D73" s="13">
        <f t="shared" si="34"/>
        <v>1</v>
      </c>
      <c r="E73" s="13">
        <f t="shared" si="19"/>
        <v>5.5499999999999954</v>
      </c>
      <c r="F73" s="14">
        <f>IF(AB73&gt;0, VLOOKUP(B73,Model!$A$40:$B$60, 2), 0)</f>
        <v>300</v>
      </c>
      <c r="G73" s="13">
        <f>IF(AB73&gt;0, VLOOKUP(B73,Model!$A$39:$C$58, 3), 0)</f>
        <v>0</v>
      </c>
      <c r="H73" s="13">
        <f t="shared" si="20"/>
        <v>0</v>
      </c>
      <c r="I73" s="46">
        <f>Model!$B$21*EXP((-0.029*9.81*F73)/(8.31*(273+J73)))</f>
        <v>100357.4491247143</v>
      </c>
      <c r="J73" s="13">
        <f>IF(Model!$B$31="Summer",  IF(F73&lt;=2000,  Model!$B$20-Model!$B$35*F73/1000,  IF(F73&lt;Model!$B$36,  Model!$B$33-6.5*F73/1000,  Model!$B$38)),     IF(F73&lt;=2000,  Model!$B$20-Model!$B$35*F73/1000,  IF(F73&lt;Model!$B$36,  Model!$B$33-5.4*F73/1000,   Model!$B$38)))</f>
        <v>-19.088750000000001</v>
      </c>
      <c r="K73" s="13">
        <f t="shared" si="21"/>
        <v>253.91125</v>
      </c>
      <c r="L73" s="46">
        <f>IF(AB72-AA72*(B73-B72)&gt;0, L72-Y72*(B73-B72)*3600-AD73*Model!$B$16, 0)</f>
        <v>1605.794734568929</v>
      </c>
      <c r="M73" s="57">
        <f t="shared" si="22"/>
        <v>87.25680888565779</v>
      </c>
      <c r="N73" s="57">
        <f>Model!$B$13*I73*K73/(Model!$B$13*I73-L73*287*K73)</f>
        <v>360.25680888565779</v>
      </c>
      <c r="O73" s="57">
        <f t="shared" si="23"/>
        <v>307.08402944282886</v>
      </c>
      <c r="P73" s="57">
        <f t="shared" si="24"/>
        <v>34.084029442828893</v>
      </c>
      <c r="Q73" s="63">
        <f t="shared" si="25"/>
        <v>2.6419966090440849E-2</v>
      </c>
      <c r="R73" s="17">
        <f t="shared" si="26"/>
        <v>1.7144739062054198E-5</v>
      </c>
      <c r="S73" s="46">
        <f>0.37*Model!$B$10*(Q73^2*(N73-K73)*I73/(R73*O73^2))^0.33333*(N73-K73)</f>
        <v>791197.89515212283</v>
      </c>
      <c r="T73" s="51">
        <f>Model!$B$32+(90-Model!$B$6)*SIN(RADIANS(-15*(E73+6)))</f>
        <v>-10.984543972008684</v>
      </c>
      <c r="U73" s="46">
        <f t="shared" si="27"/>
        <v>0</v>
      </c>
      <c r="V73" s="51">
        <f t="shared" si="28"/>
        <v>99999</v>
      </c>
      <c r="W73" s="46">
        <f t="shared" si="29"/>
        <v>0</v>
      </c>
      <c r="X73" s="46">
        <f>0.3*W73*Model!$B$9</f>
        <v>0</v>
      </c>
      <c r="Y73" s="17">
        <f>(S73-X73)/Model!$B$11</f>
        <v>1.697303218174671E-2</v>
      </c>
      <c r="Z73" s="46">
        <f t="shared" si="30"/>
        <v>0</v>
      </c>
      <c r="AA73" s="57">
        <f>Y73/Model!$B$12*3600</f>
        <v>109.89238946861771</v>
      </c>
      <c r="AB73" s="51">
        <f t="shared" si="35"/>
        <v>1357.4834487099115</v>
      </c>
      <c r="AC73" s="51">
        <f t="shared" si="36"/>
        <v>442.5165512900885</v>
      </c>
      <c r="AD73" s="13">
        <f>IF(AE73=0, Model!$B$19, 0 )</f>
        <v>0</v>
      </c>
      <c r="AE73" s="51">
        <f>IF(AE72+AB72-AB73&lt;Model!$B$19*Model!$B$18, AE72+AB72-AB73,  0)</f>
        <v>442.5165512900885</v>
      </c>
      <c r="AF73" s="13">
        <f t="shared" si="31"/>
        <v>3.5499999999999954</v>
      </c>
      <c r="AG73" s="50">
        <f t="shared" si="32"/>
        <v>0</v>
      </c>
    </row>
    <row r="74" spans="2:33" x14ac:dyDescent="0.25">
      <c r="B74" s="15">
        <f t="shared" si="33"/>
        <v>3.5999999999999952</v>
      </c>
      <c r="C74" s="15">
        <f>B74+Model!$B$4</f>
        <v>5.5999999999999952</v>
      </c>
      <c r="D74" s="15">
        <f t="shared" si="34"/>
        <v>1</v>
      </c>
      <c r="E74" s="15">
        <f t="shared" si="19"/>
        <v>5.5999999999999952</v>
      </c>
      <c r="F74" s="16">
        <f>IF(AB74&gt;0, VLOOKUP(B74,Model!$A$40:$B$60, 2), 0)</f>
        <v>300</v>
      </c>
      <c r="G74" s="15">
        <f>IF(AB74&gt;0, VLOOKUP(B74,Model!$A$39:$C$58, 3), 0)</f>
        <v>0</v>
      </c>
      <c r="H74" s="15">
        <f t="shared" si="20"/>
        <v>0</v>
      </c>
      <c r="I74" s="45">
        <f>Model!$B$21*EXP((-0.029*9.81*F74)/(8.31*(273+J74)))</f>
        <v>100357.4491247143</v>
      </c>
      <c r="J74" s="15">
        <f>IF(Model!$B$31="Summer",  IF(F74&lt;=2000,  Model!$B$20-Model!$B$35*F74/1000,  IF(F74&lt;Model!$B$36,  Model!$B$33-6.5*F74/1000,  Model!$B$38)),     IF(F74&lt;=2000,  Model!$B$20-Model!$B$35*F74/1000,  IF(F74&lt;Model!$B$36,  Model!$B$33-5.4*F74/1000,   Model!$B$38)))</f>
        <v>-19.088750000000001</v>
      </c>
      <c r="K74" s="15">
        <f t="shared" si="21"/>
        <v>253.91125</v>
      </c>
      <c r="L74" s="45">
        <f>IF(AB73-AA73*(B74-B73)&gt;0, L73-Y73*(B74-B73)*3600-AD74*Model!$B$16, 0)</f>
        <v>1602.7395887762145</v>
      </c>
      <c r="M74" s="56">
        <f t="shared" si="22"/>
        <v>86.969965004216135</v>
      </c>
      <c r="N74" s="56">
        <f>Model!$B$13*I74*K74/(Model!$B$13*I74-L74*287*K74)</f>
        <v>359.96996500421614</v>
      </c>
      <c r="O74" s="56">
        <f t="shared" si="23"/>
        <v>306.94060750210804</v>
      </c>
      <c r="P74" s="56">
        <f t="shared" si="24"/>
        <v>33.940607502108065</v>
      </c>
      <c r="Q74" s="62">
        <f t="shared" si="25"/>
        <v>2.6409783132649672E-2</v>
      </c>
      <c r="R74" s="33">
        <f t="shared" si="26"/>
        <v>1.7129823180219232E-5</v>
      </c>
      <c r="S74" s="45">
        <f>0.37*Model!$B$10*(Q74^2*(N74-K74)*I74/(R74*O74^2))^0.33333*(N74-K74)</f>
        <v>788625.41759871505</v>
      </c>
      <c r="T74" s="50">
        <f>Model!$B$32+(90-Model!$B$6)*SIN(RADIANS(-15*(E74+6)))</f>
        <v>-10.529231275352251</v>
      </c>
      <c r="U74" s="45">
        <f t="shared" si="27"/>
        <v>0</v>
      </c>
      <c r="V74" s="50">
        <f t="shared" si="28"/>
        <v>99999</v>
      </c>
      <c r="W74" s="45">
        <f t="shared" si="29"/>
        <v>0</v>
      </c>
      <c r="X74" s="45">
        <f>0.3*W74*Model!$B$9</f>
        <v>0</v>
      </c>
      <c r="Y74" s="33">
        <f>(S74-X74)/Model!$B$11</f>
        <v>1.6917846564383034E-2</v>
      </c>
      <c r="Z74" s="45">
        <f t="shared" si="30"/>
        <v>0</v>
      </c>
      <c r="AA74" s="56">
        <f>Y74/Model!$B$12*3600</f>
        <v>109.53508858734575</v>
      </c>
      <c r="AB74" s="50">
        <f t="shared" si="35"/>
        <v>1351.9888292364806</v>
      </c>
      <c r="AC74" s="50">
        <f t="shared" si="36"/>
        <v>448.01117076351943</v>
      </c>
      <c r="AD74" s="15">
        <f>IF(AE74=0, Model!$B$19, 0 )</f>
        <v>0</v>
      </c>
      <c r="AE74" s="50">
        <f>IF(AE73+AB73-AB74&lt;Model!$B$19*Model!$B$18, AE73+AB73-AB74,  0)</f>
        <v>448.01117076351943</v>
      </c>
      <c r="AF74" s="15">
        <f t="shared" si="31"/>
        <v>3.5999999999999952</v>
      </c>
      <c r="AG74" s="50">
        <f t="shared" si="32"/>
        <v>0</v>
      </c>
    </row>
    <row r="75" spans="2:33" x14ac:dyDescent="0.25">
      <c r="B75" s="13">
        <f t="shared" si="33"/>
        <v>3.649999999999995</v>
      </c>
      <c r="C75" s="13">
        <f>B75+Model!$B$4</f>
        <v>5.649999999999995</v>
      </c>
      <c r="D75" s="13">
        <f t="shared" si="34"/>
        <v>1</v>
      </c>
      <c r="E75" s="13">
        <f t="shared" si="19"/>
        <v>5.649999999999995</v>
      </c>
      <c r="F75" s="14">
        <f>IF(AB75&gt;0, VLOOKUP(B75,Model!$A$40:$B$60, 2), 0)</f>
        <v>300</v>
      </c>
      <c r="G75" s="13">
        <f>IF(AB75&gt;0, VLOOKUP(B75,Model!$A$39:$C$58, 3), 0)</f>
        <v>0</v>
      </c>
      <c r="H75" s="13">
        <f t="shared" si="20"/>
        <v>0</v>
      </c>
      <c r="I75" s="46">
        <f>Model!$B$21*EXP((-0.029*9.81*F75)/(8.31*(273+J75)))</f>
        <v>100357.4491247143</v>
      </c>
      <c r="J75" s="13">
        <f>IF(Model!$B$31="Summer",  IF(F75&lt;=2000,  Model!$B$20-Model!$B$35*F75/1000,  IF(F75&lt;Model!$B$36,  Model!$B$33-6.5*F75/1000,  Model!$B$38)),     IF(F75&lt;=2000,  Model!$B$20-Model!$B$35*F75/1000,  IF(F75&lt;Model!$B$36,  Model!$B$33-5.4*F75/1000,   Model!$B$38)))</f>
        <v>-19.088750000000001</v>
      </c>
      <c r="K75" s="13">
        <f t="shared" si="21"/>
        <v>253.91125</v>
      </c>
      <c r="L75" s="46">
        <f>IF(AB74-AA74*(B75-B74)&gt;0, L74-Y74*(B75-B74)*3600-AD75*Model!$B$16, 0)</f>
        <v>1489.6943763946256</v>
      </c>
      <c r="M75" s="57">
        <f t="shared" si="22"/>
        <v>76.668243176832334</v>
      </c>
      <c r="N75" s="57">
        <f>Model!$B$13*I75*K75/(Model!$B$13*I75-L75*287*K75)</f>
        <v>349.66824317683233</v>
      </c>
      <c r="O75" s="57">
        <f t="shared" si="23"/>
        <v>301.78974658841616</v>
      </c>
      <c r="P75" s="57">
        <f t="shared" si="24"/>
        <v>28.789746588416165</v>
      </c>
      <c r="Q75" s="63">
        <f t="shared" si="25"/>
        <v>2.6044072007777547E-2</v>
      </c>
      <c r="R75" s="17">
        <f t="shared" si="26"/>
        <v>1.659413364519528E-5</v>
      </c>
      <c r="S75" s="46">
        <f>0.37*Model!$B$10*(Q75^2*(N75-K75)*I75/(R75*O75^2))^0.33333*(N75-K75)</f>
        <v>696891.38470008376</v>
      </c>
      <c r="T75" s="51">
        <f>Model!$B$32+(90-Model!$B$6)*SIN(RADIANS(-15*(E75+6)))</f>
        <v>-10.07329171420346</v>
      </c>
      <c r="U75" s="46">
        <f t="shared" si="27"/>
        <v>0</v>
      </c>
      <c r="V75" s="51">
        <f t="shared" si="28"/>
        <v>99999</v>
      </c>
      <c r="W75" s="46">
        <f t="shared" si="29"/>
        <v>0</v>
      </c>
      <c r="X75" s="46">
        <f>0.3*W75*Model!$B$9</f>
        <v>0</v>
      </c>
      <c r="Y75" s="17">
        <f>(S75-X75)/Model!$B$11</f>
        <v>1.4949938532662957E-2</v>
      </c>
      <c r="Z75" s="46">
        <f t="shared" si="30"/>
        <v>0</v>
      </c>
      <c r="AA75" s="57">
        <f>Y75/Model!$B$12*3600</f>
        <v>96.793810921427351</v>
      </c>
      <c r="AB75" s="51">
        <f t="shared" si="35"/>
        <v>1346.5120748071133</v>
      </c>
      <c r="AC75" s="51">
        <f t="shared" si="36"/>
        <v>453.48792519288668</v>
      </c>
      <c r="AD75" s="13">
        <f>IF(AE75=0, Model!$B$19, 0 )</f>
        <v>10</v>
      </c>
      <c r="AE75" s="51">
        <f>IF(AE74+AB74-AB75&lt;Model!$B$19*Model!$B$18, AE74+AB74-AB75,  0)</f>
        <v>0</v>
      </c>
      <c r="AF75" s="13">
        <f t="shared" si="31"/>
        <v>3.649999999999995</v>
      </c>
      <c r="AG75" s="50">
        <f t="shared" si="32"/>
        <v>0</v>
      </c>
    </row>
    <row r="76" spans="2:33" x14ac:dyDescent="0.25">
      <c r="B76" s="15">
        <f t="shared" si="33"/>
        <v>3.6999999999999948</v>
      </c>
      <c r="C76" s="15">
        <f>B76+Model!$B$4</f>
        <v>5.6999999999999948</v>
      </c>
      <c r="D76" s="15">
        <f t="shared" si="34"/>
        <v>1</v>
      </c>
      <c r="E76" s="15">
        <f t="shared" si="19"/>
        <v>5.6999999999999948</v>
      </c>
      <c r="F76" s="16">
        <f>IF(AB76&gt;0, VLOOKUP(B76,Model!$A$40:$B$60, 2), 0)</f>
        <v>300</v>
      </c>
      <c r="G76" s="15">
        <f>IF(AB76&gt;0, VLOOKUP(B76,Model!$A$39:$C$58, 3), 0)</f>
        <v>0</v>
      </c>
      <c r="H76" s="15">
        <f t="shared" si="20"/>
        <v>0</v>
      </c>
      <c r="I76" s="45">
        <f>Model!$B$21*EXP((-0.029*9.81*F76)/(8.31*(273+J76)))</f>
        <v>100357.4491247143</v>
      </c>
      <c r="J76" s="15">
        <f>IF(Model!$B$31="Summer",  IF(F76&lt;=2000,  Model!$B$20-Model!$B$35*F76/1000,  IF(F76&lt;Model!$B$36,  Model!$B$33-6.5*F76/1000,  Model!$B$38)),     IF(F76&lt;=2000,  Model!$B$20-Model!$B$35*F76/1000,  IF(F76&lt;Model!$B$36,  Model!$B$33-5.4*F76/1000,   Model!$B$38)))</f>
        <v>-19.088750000000001</v>
      </c>
      <c r="K76" s="15">
        <f t="shared" si="21"/>
        <v>253.91125</v>
      </c>
      <c r="L76" s="45">
        <f>IF(AB75-AA75*(B76-B75)&gt;0, L75-Y75*(B76-B75)*3600-AD76*Model!$B$16, 0)</f>
        <v>1487.0033874587461</v>
      </c>
      <c r="M76" s="56">
        <f t="shared" si="22"/>
        <v>76.430195623459213</v>
      </c>
      <c r="N76" s="56">
        <f>Model!$B$13*I76*K76/(Model!$B$13*I76-L76*287*K76)</f>
        <v>349.43019562345921</v>
      </c>
      <c r="O76" s="56">
        <f t="shared" si="23"/>
        <v>301.6707228117296</v>
      </c>
      <c r="P76" s="56">
        <f t="shared" si="24"/>
        <v>28.670722811729604</v>
      </c>
      <c r="Q76" s="62">
        <f t="shared" si="25"/>
        <v>2.6035621319632801E-2</v>
      </c>
      <c r="R76" s="33">
        <f t="shared" si="26"/>
        <v>1.6581755172419877E-5</v>
      </c>
      <c r="S76" s="45">
        <f>0.37*Model!$B$10*(Q76^2*(N76-K76)*I76/(R76*O76^2))^0.33333*(N76-K76)</f>
        <v>694787.61602378497</v>
      </c>
      <c r="T76" s="50">
        <f>Model!$B$32+(90-Model!$B$6)*SIN(RADIANS(-15*(E76+6)))</f>
        <v>-9.6168034114589318</v>
      </c>
      <c r="U76" s="45">
        <f t="shared" si="27"/>
        <v>0</v>
      </c>
      <c r="V76" s="50">
        <f t="shared" si="28"/>
        <v>99999</v>
      </c>
      <c r="W76" s="45">
        <f t="shared" si="29"/>
        <v>0</v>
      </c>
      <c r="X76" s="45">
        <f>0.3*W76*Model!$B$9</f>
        <v>0</v>
      </c>
      <c r="Y76" s="33">
        <f>(S76-X76)/Model!$B$11</f>
        <v>1.4904807809155528E-2</v>
      </c>
      <c r="Z76" s="45">
        <f t="shared" si="30"/>
        <v>0</v>
      </c>
      <c r="AA76" s="56">
        <f>Y76/Model!$B$12*3600</f>
        <v>96.50161074225062</v>
      </c>
      <c r="AB76" s="50">
        <f t="shared" si="35"/>
        <v>1341.672384261042</v>
      </c>
      <c r="AC76" s="50">
        <f t="shared" si="36"/>
        <v>458.327615738958</v>
      </c>
      <c r="AD76" s="15">
        <f>IF(AE76=0, Model!$B$19, 0 )</f>
        <v>0</v>
      </c>
      <c r="AE76" s="50">
        <f>IF(AE75+AB75-AB76&lt;Model!$B$19*Model!$B$18, AE75+AB75-AB76,  0)</f>
        <v>4.8396905460713242</v>
      </c>
      <c r="AF76" s="15">
        <f t="shared" si="31"/>
        <v>3.6999999999999948</v>
      </c>
      <c r="AG76" s="50">
        <f t="shared" si="32"/>
        <v>0</v>
      </c>
    </row>
    <row r="77" spans="2:33" x14ac:dyDescent="0.25">
      <c r="B77" s="13">
        <f t="shared" si="33"/>
        <v>3.7499999999999947</v>
      </c>
      <c r="C77" s="13">
        <f>B77+Model!$B$4</f>
        <v>5.7499999999999947</v>
      </c>
      <c r="D77" s="13">
        <f t="shared" si="34"/>
        <v>1</v>
      </c>
      <c r="E77" s="13">
        <f t="shared" si="19"/>
        <v>5.7499999999999947</v>
      </c>
      <c r="F77" s="14">
        <f>IF(AB77&gt;0, VLOOKUP(B77,Model!$A$40:$B$60, 2), 0)</f>
        <v>300</v>
      </c>
      <c r="G77" s="13">
        <f>IF(AB77&gt;0, VLOOKUP(B77,Model!$A$39:$C$58, 3), 0)</f>
        <v>0</v>
      </c>
      <c r="H77" s="13">
        <f t="shared" si="20"/>
        <v>0</v>
      </c>
      <c r="I77" s="46">
        <f>Model!$B$21*EXP((-0.029*9.81*F77)/(8.31*(273+J77)))</f>
        <v>100357.4491247143</v>
      </c>
      <c r="J77" s="13">
        <f>IF(Model!$B$31="Summer",  IF(F77&lt;=2000,  Model!$B$20-Model!$B$35*F77/1000,  IF(F77&lt;Model!$B$36,  Model!$B$33-6.5*F77/1000,  Model!$B$38)),     IF(F77&lt;=2000,  Model!$B$20-Model!$B$35*F77/1000,  IF(F77&lt;Model!$B$36,  Model!$B$33-5.4*F77/1000,   Model!$B$38)))</f>
        <v>-19.088750000000001</v>
      </c>
      <c r="K77" s="13">
        <f t="shared" si="21"/>
        <v>253.91125</v>
      </c>
      <c r="L77" s="46">
        <f>IF(AB76-AA76*(B77-B76)&gt;0, L76-Y76*(B77-B76)*3600-AD77*Model!$B$16, 0)</f>
        <v>1484.3205220530981</v>
      </c>
      <c r="M77" s="57">
        <f t="shared" si="22"/>
        <v>76.193189117191821</v>
      </c>
      <c r="N77" s="57">
        <f>Model!$B$13*I77*K77/(Model!$B$13*I77-L77*287*K77)</f>
        <v>349.19318911719182</v>
      </c>
      <c r="O77" s="57">
        <f t="shared" si="23"/>
        <v>301.55221955859588</v>
      </c>
      <c r="P77" s="57">
        <f t="shared" si="24"/>
        <v>28.552219558595908</v>
      </c>
      <c r="Q77" s="63">
        <f t="shared" si="25"/>
        <v>2.6027207588660308E-2</v>
      </c>
      <c r="R77" s="17">
        <f t="shared" si="26"/>
        <v>1.656943083409397E-5</v>
      </c>
      <c r="S77" s="46">
        <f>0.37*Model!$B$10*(Q77^2*(N77-K77)*I77/(R77*O77^2))^0.33333*(N77-K77)</f>
        <v>692693.80921552971</v>
      </c>
      <c r="T77" s="51">
        <f>Model!$B$32+(90-Model!$B$6)*SIN(RADIANS(-15*(E77+6)))</f>
        <v>-9.1598445840393783</v>
      </c>
      <c r="U77" s="46">
        <f t="shared" si="27"/>
        <v>0</v>
      </c>
      <c r="V77" s="51">
        <f t="shared" si="28"/>
        <v>99999</v>
      </c>
      <c r="W77" s="46">
        <f t="shared" si="29"/>
        <v>0</v>
      </c>
      <c r="X77" s="46">
        <f>0.3*W77*Model!$B$9</f>
        <v>0</v>
      </c>
      <c r="Y77" s="17">
        <f>(S77-X77)/Model!$B$11</f>
        <v>1.4859890790851222E-2</v>
      </c>
      <c r="Z77" s="46">
        <f t="shared" si="30"/>
        <v>0</v>
      </c>
      <c r="AA77" s="57">
        <f>Y77/Model!$B$12*3600</f>
        <v>96.210794203613872</v>
      </c>
      <c r="AB77" s="51">
        <f t="shared" si="35"/>
        <v>1336.8473037239294</v>
      </c>
      <c r="AC77" s="51">
        <f t="shared" si="36"/>
        <v>463.15269627607063</v>
      </c>
      <c r="AD77" s="13">
        <f>IF(AE77=0, Model!$B$19, 0 )</f>
        <v>0</v>
      </c>
      <c r="AE77" s="51">
        <f>IF(AE76+AB76-AB77&lt;Model!$B$19*Model!$B$18, AE76+AB76-AB77,  0)</f>
        <v>9.6647710831839504</v>
      </c>
      <c r="AF77" s="13">
        <f t="shared" si="31"/>
        <v>3.7499999999999947</v>
      </c>
      <c r="AG77" s="50">
        <f t="shared" si="32"/>
        <v>0</v>
      </c>
    </row>
    <row r="78" spans="2:33" x14ac:dyDescent="0.25">
      <c r="B78" s="15">
        <f t="shared" si="33"/>
        <v>3.7999999999999945</v>
      </c>
      <c r="C78" s="15">
        <f>B78+Model!$B$4</f>
        <v>5.7999999999999945</v>
      </c>
      <c r="D78" s="15">
        <f t="shared" si="34"/>
        <v>1</v>
      </c>
      <c r="E78" s="15">
        <f t="shared" si="19"/>
        <v>5.7999999999999945</v>
      </c>
      <c r="F78" s="16">
        <f>IF(AB78&gt;0, VLOOKUP(B78,Model!$A$40:$B$60, 2), 0)</f>
        <v>300</v>
      </c>
      <c r="G78" s="15">
        <f>IF(AB78&gt;0, VLOOKUP(B78,Model!$A$39:$C$58, 3), 0)</f>
        <v>0</v>
      </c>
      <c r="H78" s="15">
        <f t="shared" si="20"/>
        <v>0</v>
      </c>
      <c r="I78" s="45">
        <f>Model!$B$21*EXP((-0.029*9.81*F78)/(8.31*(273+J78)))</f>
        <v>100357.4491247143</v>
      </c>
      <c r="J78" s="15">
        <f>IF(Model!$B$31="Summer",  IF(F78&lt;=2000,  Model!$B$20-Model!$B$35*F78/1000,  IF(F78&lt;Model!$B$36,  Model!$B$33-6.5*F78/1000,  Model!$B$38)),     IF(F78&lt;=2000,  Model!$B$20-Model!$B$35*F78/1000,  IF(F78&lt;Model!$B$36,  Model!$B$33-5.4*F78/1000,   Model!$B$38)))</f>
        <v>-19.088750000000001</v>
      </c>
      <c r="K78" s="15">
        <f t="shared" si="21"/>
        <v>253.91125</v>
      </c>
      <c r="L78" s="45">
        <f>IF(AB77-AA77*(B78-B77)&gt;0, L77-Y77*(B78-B77)*3600-AD78*Model!$B$16, 0)</f>
        <v>1481.6457417107449</v>
      </c>
      <c r="M78" s="56">
        <f t="shared" si="22"/>
        <v>75.957216690571329</v>
      </c>
      <c r="N78" s="56">
        <f>Model!$B$13*I78*K78/(Model!$B$13*I78-L78*287*K78)</f>
        <v>348.95721669057133</v>
      </c>
      <c r="O78" s="56">
        <f t="shared" si="23"/>
        <v>301.43423334528563</v>
      </c>
      <c r="P78" s="56">
        <f t="shared" si="24"/>
        <v>28.434233345285662</v>
      </c>
      <c r="Q78" s="62">
        <f t="shared" si="25"/>
        <v>2.6018830567515281E-2</v>
      </c>
      <c r="R78" s="33">
        <f t="shared" si="26"/>
        <v>1.6557160267909703E-5</v>
      </c>
      <c r="S78" s="45">
        <f>0.37*Model!$B$10*(Q78^2*(N78-K78)*I78/(R78*O78^2))^0.33333*(N78-K78)</f>
        <v>690609.89582339057</v>
      </c>
      <c r="T78" s="50">
        <f>Model!$B$32+(90-Model!$B$6)*SIN(RADIANS(-15*(E78+6)))</f>
        <v>-8.7024935294874179</v>
      </c>
      <c r="U78" s="45">
        <f t="shared" si="27"/>
        <v>0</v>
      </c>
      <c r="V78" s="50">
        <f t="shared" si="28"/>
        <v>99999</v>
      </c>
      <c r="W78" s="45">
        <f t="shared" si="29"/>
        <v>0</v>
      </c>
      <c r="X78" s="45">
        <f>0.3*W78*Model!$B$9</f>
        <v>0</v>
      </c>
      <c r="Y78" s="33">
        <f>(S78-X78)/Model!$B$11</f>
        <v>1.4815186009297234E-2</v>
      </c>
      <c r="Z78" s="45">
        <f t="shared" si="30"/>
        <v>0</v>
      </c>
      <c r="AA78" s="56">
        <f>Y78/Model!$B$12*3600</f>
        <v>95.921351797976783</v>
      </c>
      <c r="AB78" s="50">
        <f t="shared" si="35"/>
        <v>1332.0367640137488</v>
      </c>
      <c r="AC78" s="50">
        <f t="shared" si="36"/>
        <v>467.96323598625122</v>
      </c>
      <c r="AD78" s="15">
        <f>IF(AE78=0, Model!$B$19, 0 )</f>
        <v>0</v>
      </c>
      <c r="AE78" s="50">
        <f>IF(AE77+AB77-AB78&lt;Model!$B$19*Model!$B$18, AE77+AB77-AB78,  0)</f>
        <v>14.475310793364542</v>
      </c>
      <c r="AF78" s="15">
        <f t="shared" si="31"/>
        <v>3.7999999999999945</v>
      </c>
      <c r="AG78" s="50">
        <f t="shared" si="32"/>
        <v>0</v>
      </c>
    </row>
    <row r="79" spans="2:33" x14ac:dyDescent="0.25">
      <c r="B79" s="13">
        <f t="shared" si="33"/>
        <v>3.8499999999999943</v>
      </c>
      <c r="C79" s="13">
        <f>B79+Model!$B$4</f>
        <v>5.8499999999999943</v>
      </c>
      <c r="D79" s="13">
        <f t="shared" si="34"/>
        <v>1</v>
      </c>
      <c r="E79" s="13">
        <f t="shared" si="19"/>
        <v>5.8499999999999943</v>
      </c>
      <c r="F79" s="14">
        <f>IF(AB79&gt;0, VLOOKUP(B79,Model!$A$40:$B$60, 2), 0)</f>
        <v>300</v>
      </c>
      <c r="G79" s="13">
        <f>IF(AB79&gt;0, VLOOKUP(B79,Model!$A$39:$C$58, 3), 0)</f>
        <v>0</v>
      </c>
      <c r="H79" s="13">
        <f t="shared" si="20"/>
        <v>0</v>
      </c>
      <c r="I79" s="46">
        <f>Model!$B$21*EXP((-0.029*9.81*F79)/(8.31*(273+J79)))</f>
        <v>100357.4491247143</v>
      </c>
      <c r="J79" s="13">
        <f>IF(Model!$B$31="Summer",  IF(F79&lt;=2000,  Model!$B$20-Model!$B$35*F79/1000,  IF(F79&lt;Model!$B$36,  Model!$B$33-6.5*F79/1000,  Model!$B$38)),     IF(F79&lt;=2000,  Model!$B$20-Model!$B$35*F79/1000,  IF(F79&lt;Model!$B$36,  Model!$B$33-5.4*F79/1000,   Model!$B$38)))</f>
        <v>-19.088750000000001</v>
      </c>
      <c r="K79" s="13">
        <f t="shared" si="21"/>
        <v>253.91125</v>
      </c>
      <c r="L79" s="46">
        <f>IF(AB78-AA78*(B79-B78)&gt;0, L78-Y78*(B79-B78)*3600-AD79*Model!$B$16, 0)</f>
        <v>1478.9790082290715</v>
      </c>
      <c r="M79" s="57">
        <f t="shared" si="22"/>
        <v>75.72227144011174</v>
      </c>
      <c r="N79" s="57">
        <f>Model!$B$13*I79*K79/(Model!$B$13*I79-L79*287*K79)</f>
        <v>348.72227144011174</v>
      </c>
      <c r="O79" s="57">
        <f t="shared" si="23"/>
        <v>301.31676072005587</v>
      </c>
      <c r="P79" s="57">
        <f t="shared" si="24"/>
        <v>28.316760720055868</v>
      </c>
      <c r="Q79" s="63">
        <f t="shared" si="25"/>
        <v>2.6010490011123967E-2</v>
      </c>
      <c r="R79" s="17">
        <f t="shared" si="26"/>
        <v>1.6544943114885812E-5</v>
      </c>
      <c r="S79" s="46">
        <f>0.37*Model!$B$10*(Q79^2*(N79-K79)*I79/(R79*O79^2))^0.33333*(N79-K79)</f>
        <v>688535.80802833557</v>
      </c>
      <c r="T79" s="51">
        <f>Model!$B$32+(90-Model!$B$6)*SIN(RADIANS(-15*(E79+6)))</f>
        <v>-8.2448286125517836</v>
      </c>
      <c r="U79" s="46">
        <f t="shared" si="27"/>
        <v>0</v>
      </c>
      <c r="V79" s="51">
        <f t="shared" si="28"/>
        <v>99999</v>
      </c>
      <c r="W79" s="46">
        <f t="shared" si="29"/>
        <v>0</v>
      </c>
      <c r="X79" s="46">
        <f>0.3*W79*Model!$B$9</f>
        <v>0</v>
      </c>
      <c r="Y79" s="17">
        <f>(S79-X79)/Model!$B$11</f>
        <v>1.477069200961784E-2</v>
      </c>
      <c r="Z79" s="46">
        <f t="shared" si="30"/>
        <v>0</v>
      </c>
      <c r="AA79" s="57">
        <f>Y79/Model!$B$12*3600</f>
        <v>95.633274105704288</v>
      </c>
      <c r="AB79" s="51">
        <f t="shared" si="35"/>
        <v>1327.2406964238501</v>
      </c>
      <c r="AC79" s="51">
        <f t="shared" si="36"/>
        <v>472.75930357614993</v>
      </c>
      <c r="AD79" s="13">
        <f>IF(AE79=0, Model!$B$19, 0 )</f>
        <v>0</v>
      </c>
      <c r="AE79" s="51">
        <f>IF(AE78+AB78-AB79&lt;Model!$B$19*Model!$B$18, AE78+AB78-AB79,  0)</f>
        <v>19.271378383263254</v>
      </c>
      <c r="AF79" s="13">
        <f t="shared" si="31"/>
        <v>3.8499999999999943</v>
      </c>
      <c r="AG79" s="50">
        <f t="shared" si="32"/>
        <v>0</v>
      </c>
    </row>
    <row r="80" spans="2:33" x14ac:dyDescent="0.25">
      <c r="B80" s="15">
        <f t="shared" si="33"/>
        <v>3.8999999999999941</v>
      </c>
      <c r="C80" s="15">
        <f>B80+Model!$B$4</f>
        <v>5.8999999999999941</v>
      </c>
      <c r="D80" s="15">
        <f t="shared" si="34"/>
        <v>1</v>
      </c>
      <c r="E80" s="15">
        <f t="shared" si="19"/>
        <v>5.8999999999999941</v>
      </c>
      <c r="F80" s="16">
        <f>IF(AB80&gt;0, VLOOKUP(B80,Model!$A$40:$B$60, 2), 0)</f>
        <v>300</v>
      </c>
      <c r="G80" s="15">
        <f>IF(AB80&gt;0, VLOOKUP(B80,Model!$A$39:$C$58, 3), 0)</f>
        <v>0</v>
      </c>
      <c r="H80" s="15">
        <f t="shared" si="20"/>
        <v>0</v>
      </c>
      <c r="I80" s="45">
        <f>Model!$B$21*EXP((-0.029*9.81*F80)/(8.31*(273+J80)))</f>
        <v>100357.4491247143</v>
      </c>
      <c r="J80" s="15">
        <f>IF(Model!$B$31="Summer",  IF(F80&lt;=2000,  Model!$B$20-Model!$B$35*F80/1000,  IF(F80&lt;Model!$B$36,  Model!$B$33-6.5*F80/1000,  Model!$B$38)),     IF(F80&lt;=2000,  Model!$B$20-Model!$B$35*F80/1000,  IF(F80&lt;Model!$B$36,  Model!$B$33-5.4*F80/1000,   Model!$B$38)))</f>
        <v>-19.088750000000001</v>
      </c>
      <c r="K80" s="15">
        <f t="shared" si="21"/>
        <v>253.91125</v>
      </c>
      <c r="L80" s="45">
        <f>IF(AB79-AA79*(B80-B79)&gt;0, L79-Y79*(B80-B79)*3600-AD80*Model!$B$16, 0)</f>
        <v>1476.3202836673404</v>
      </c>
      <c r="M80" s="56">
        <f t="shared" si="22"/>
        <v>75.488346525550753</v>
      </c>
      <c r="N80" s="56">
        <f>Model!$B$13*I80*K80/(Model!$B$13*I80-L80*287*K80)</f>
        <v>348.48834652555075</v>
      </c>
      <c r="O80" s="56">
        <f t="shared" si="23"/>
        <v>301.1997982627754</v>
      </c>
      <c r="P80" s="56">
        <f t="shared" si="24"/>
        <v>28.199798262775374</v>
      </c>
      <c r="Q80" s="62">
        <f t="shared" si="25"/>
        <v>2.6002185676657054E-2</v>
      </c>
      <c r="R80" s="33">
        <f t="shared" si="26"/>
        <v>1.6532779019328643E-5</v>
      </c>
      <c r="S80" s="45">
        <f>0.37*Model!$B$10*(Q80^2*(N80-K80)*I80/(R80*O80^2))^0.33333*(N80-K80)</f>
        <v>686471.47863681265</v>
      </c>
      <c r="T80" s="50">
        <f>Model!$B$32+(90-Model!$B$6)*SIN(RADIANS(-15*(E80+6)))</f>
        <v>-7.7869282517599396</v>
      </c>
      <c r="U80" s="45">
        <f t="shared" si="27"/>
        <v>0</v>
      </c>
      <c r="V80" s="50">
        <f t="shared" si="28"/>
        <v>99999</v>
      </c>
      <c r="W80" s="45">
        <f t="shared" si="29"/>
        <v>0</v>
      </c>
      <c r="X80" s="45">
        <f>0.3*W80*Model!$B$9</f>
        <v>0</v>
      </c>
      <c r="Y80" s="33">
        <f>(S80-X80)/Model!$B$11</f>
        <v>1.4726407350355308E-2</v>
      </c>
      <c r="Z80" s="45">
        <f t="shared" si="30"/>
        <v>0</v>
      </c>
      <c r="AA80" s="56">
        <f>Y80/Model!$B$12*3600</f>
        <v>95.346551794036429</v>
      </c>
      <c r="AB80" s="50">
        <f t="shared" si="35"/>
        <v>1322.4590327185649</v>
      </c>
      <c r="AC80" s="50">
        <f t="shared" si="36"/>
        <v>477.54096728143509</v>
      </c>
      <c r="AD80" s="15">
        <f>IF(AE80=0, Model!$B$19, 0 )</f>
        <v>0</v>
      </c>
      <c r="AE80" s="50">
        <f>IF(AE79+AB79-AB80&lt;Model!$B$19*Model!$B$18, AE79+AB79-AB80,  0)</f>
        <v>24.053042088548409</v>
      </c>
      <c r="AF80" s="15">
        <f t="shared" si="31"/>
        <v>3.8999999999999941</v>
      </c>
      <c r="AG80" s="50">
        <f t="shared" si="32"/>
        <v>0</v>
      </c>
    </row>
    <row r="81" spans="2:33" x14ac:dyDescent="0.25">
      <c r="B81" s="13">
        <f t="shared" si="33"/>
        <v>3.949999999999994</v>
      </c>
      <c r="C81" s="13">
        <f>B81+Model!$B$4</f>
        <v>5.949999999999994</v>
      </c>
      <c r="D81" s="13">
        <f t="shared" si="34"/>
        <v>1</v>
      </c>
      <c r="E81" s="13">
        <f t="shared" si="19"/>
        <v>5.949999999999994</v>
      </c>
      <c r="F81" s="14">
        <f>IF(AB81&gt;0, VLOOKUP(B81,Model!$A$40:$B$60, 2), 0)</f>
        <v>300</v>
      </c>
      <c r="G81" s="13">
        <f>IF(AB81&gt;0, VLOOKUP(B81,Model!$A$39:$C$58, 3), 0)</f>
        <v>0</v>
      </c>
      <c r="H81" s="13">
        <f t="shared" si="20"/>
        <v>0</v>
      </c>
      <c r="I81" s="46">
        <f>Model!$B$21*EXP((-0.029*9.81*F81)/(8.31*(273+J81)))</f>
        <v>100357.4491247143</v>
      </c>
      <c r="J81" s="13">
        <f>IF(Model!$B$31="Summer",  IF(F81&lt;=2000,  Model!$B$20-Model!$B$35*F81/1000,  IF(F81&lt;Model!$B$36,  Model!$B$33-6.5*F81/1000,  Model!$B$38)),     IF(F81&lt;=2000,  Model!$B$20-Model!$B$35*F81/1000,  IF(F81&lt;Model!$B$36,  Model!$B$33-5.4*F81/1000,   Model!$B$38)))</f>
        <v>-19.088750000000001</v>
      </c>
      <c r="K81" s="13">
        <f t="shared" si="21"/>
        <v>253.91125</v>
      </c>
      <c r="L81" s="46">
        <f>IF(AB80-AA80*(B81-B80)&gt;0, L80-Y80*(B81-B80)*3600-AD81*Model!$B$16, 0)</f>
        <v>1473.6695303442764</v>
      </c>
      <c r="M81" s="57">
        <f t="shared" si="22"/>
        <v>75.255435169111081</v>
      </c>
      <c r="N81" s="57">
        <f>Model!$B$13*I81*K81/(Model!$B$13*I81-L81*287*K81)</f>
        <v>348.25543516911108</v>
      </c>
      <c r="O81" s="57">
        <f t="shared" si="23"/>
        <v>301.08334258455557</v>
      </c>
      <c r="P81" s="57">
        <f t="shared" si="24"/>
        <v>28.083342584555538</v>
      </c>
      <c r="Q81" s="63">
        <f t="shared" si="25"/>
        <v>2.5993917323503445E-2</v>
      </c>
      <c r="R81" s="17">
        <f t="shared" si="26"/>
        <v>1.6520667628793776E-5</v>
      </c>
      <c r="S81" s="46">
        <f>0.37*Model!$B$10*(Q81^2*(N81-K81)*I81/(R81*O81^2))^0.33333*(N81-K81)</f>
        <v>684416.84107343666</v>
      </c>
      <c r="T81" s="51">
        <f>Model!$B$32+(90-Model!$B$6)*SIN(RADIANS(-15*(E81+6)))</f>
        <v>-7.3288709059814323</v>
      </c>
      <c r="U81" s="46">
        <f t="shared" si="27"/>
        <v>0</v>
      </c>
      <c r="V81" s="51">
        <f t="shared" si="28"/>
        <v>99999</v>
      </c>
      <c r="W81" s="46">
        <f t="shared" si="29"/>
        <v>0</v>
      </c>
      <c r="X81" s="46">
        <f>0.3*W81*Model!$B$9</f>
        <v>0</v>
      </c>
      <c r="Y81" s="17">
        <f>(S81-X81)/Model!$B$11</f>
        <v>1.4682330603313025E-2</v>
      </c>
      <c r="Z81" s="46">
        <f t="shared" si="30"/>
        <v>0</v>
      </c>
      <c r="AA81" s="57">
        <f>Y81/Model!$B$12*3600</f>
        <v>95.061175616072816</v>
      </c>
      <c r="AB81" s="51">
        <f t="shared" si="35"/>
        <v>1317.6917051288631</v>
      </c>
      <c r="AC81" s="51">
        <f t="shared" si="36"/>
        <v>482.30829487113692</v>
      </c>
      <c r="AD81" s="13">
        <f>IF(AE81=0, Model!$B$19, 0 )</f>
        <v>0</v>
      </c>
      <c r="AE81" s="51">
        <f>IF(AE80+AB80-AB81&lt;Model!$B$19*Model!$B$18, AE80+AB80-AB81,  0)</f>
        <v>28.820369678250245</v>
      </c>
      <c r="AF81" s="13">
        <f t="shared" si="31"/>
        <v>3.949999999999994</v>
      </c>
      <c r="AG81" s="50">
        <f t="shared" si="32"/>
        <v>0</v>
      </c>
    </row>
    <row r="82" spans="2:33" x14ac:dyDescent="0.25">
      <c r="B82" s="15">
        <f t="shared" si="33"/>
        <v>3.9999999999999938</v>
      </c>
      <c r="C82" s="15">
        <f>B82+Model!$B$4</f>
        <v>5.9999999999999938</v>
      </c>
      <c r="D82" s="15">
        <f t="shared" si="34"/>
        <v>1</v>
      </c>
      <c r="E82" s="15">
        <f t="shared" si="19"/>
        <v>5.9999999999999938</v>
      </c>
      <c r="F82" s="16">
        <f>IF(AB82&gt;0, VLOOKUP(B82,Model!$A$40:$B$60, 2), 0)</f>
        <v>300</v>
      </c>
      <c r="G82" s="15">
        <f>IF(AB82&gt;0, VLOOKUP(B82,Model!$A$39:$C$58, 3), 0)</f>
        <v>0</v>
      </c>
      <c r="H82" s="15">
        <f t="shared" si="20"/>
        <v>0</v>
      </c>
      <c r="I82" s="45">
        <f>Model!$B$21*EXP((-0.029*9.81*F82)/(8.31*(273+J82)))</f>
        <v>100357.4491247143</v>
      </c>
      <c r="J82" s="15">
        <f>IF(Model!$B$31="Summer",  IF(F82&lt;=2000,  Model!$B$20-Model!$B$35*F82/1000,  IF(F82&lt;Model!$B$36,  Model!$B$33-6.5*F82/1000,  Model!$B$38)),     IF(F82&lt;=2000,  Model!$B$20-Model!$B$35*F82/1000,  IF(F82&lt;Model!$B$36,  Model!$B$33-5.4*F82/1000,   Model!$B$38)))</f>
        <v>-19.088750000000001</v>
      </c>
      <c r="K82" s="15">
        <f t="shared" si="21"/>
        <v>253.91125</v>
      </c>
      <c r="L82" s="45">
        <f>IF(AB81-AA81*(B82-B81)&gt;0, L81-Y81*(B82-B81)*3600-AD82*Model!$B$16, 0)</f>
        <v>1471.02671083568</v>
      </c>
      <c r="M82" s="56">
        <f t="shared" si="22"/>
        <v>75.023530654772742</v>
      </c>
      <c r="N82" s="56">
        <f>Model!$B$13*I82*K82/(Model!$B$13*I82-L82*287*K82)</f>
        <v>348.02353065477274</v>
      </c>
      <c r="O82" s="56">
        <f t="shared" si="23"/>
        <v>300.9673903273864</v>
      </c>
      <c r="P82" s="56">
        <f t="shared" si="24"/>
        <v>27.967390327386369</v>
      </c>
      <c r="Q82" s="62">
        <f t="shared" si="25"/>
        <v>2.5985684713244434E-2</v>
      </c>
      <c r="R82" s="33">
        <f t="shared" si="26"/>
        <v>1.6508608594048182E-5</v>
      </c>
      <c r="S82" s="45">
        <f>0.37*Model!$B$10*(Q82^2*(N82-K82)*I82/(R82*O82^2))^0.33333*(N82-K82)</f>
        <v>682371.82937378203</v>
      </c>
      <c r="T82" s="50">
        <f>Model!$B$32+(90-Model!$B$6)*SIN(RADIANS(-15*(E82+6)))</f>
        <v>-6.8707350609843898</v>
      </c>
      <c r="U82" s="45">
        <f t="shared" si="27"/>
        <v>0</v>
      </c>
      <c r="V82" s="50">
        <f t="shared" si="28"/>
        <v>99999</v>
      </c>
      <c r="W82" s="45">
        <f t="shared" si="29"/>
        <v>0</v>
      </c>
      <c r="X82" s="45">
        <f>0.3*W82*Model!$B$9</f>
        <v>0</v>
      </c>
      <c r="Y82" s="33">
        <f>(S82-X82)/Model!$B$11</f>
        <v>1.463846035340088E-2</v>
      </c>
      <c r="Z82" s="45">
        <f t="shared" si="30"/>
        <v>0</v>
      </c>
      <c r="AA82" s="56">
        <f>Y82/Model!$B$12*3600</f>
        <v>94.777136409771458</v>
      </c>
      <c r="AB82" s="50">
        <f t="shared" si="35"/>
        <v>1312.9386463480594</v>
      </c>
      <c r="AC82" s="50">
        <f t="shared" si="36"/>
        <v>487.06135365194064</v>
      </c>
      <c r="AD82" s="15">
        <f>IF(AE82=0, Model!$B$19, 0 )</f>
        <v>0</v>
      </c>
      <c r="AE82" s="50">
        <f>IF(AE81+AB81-AB82&lt;Model!$B$19*Model!$B$18, AE81+AB81-AB82,  0)</f>
        <v>33.573428459053957</v>
      </c>
      <c r="AF82" s="15">
        <f t="shared" si="31"/>
        <v>3.9999999999999938</v>
      </c>
      <c r="AG82" s="50">
        <f t="shared" si="32"/>
        <v>0</v>
      </c>
    </row>
    <row r="83" spans="2:33" x14ac:dyDescent="0.25">
      <c r="B83" s="13">
        <f t="shared" si="33"/>
        <v>4.0499999999999936</v>
      </c>
      <c r="C83" s="13">
        <f>B83+Model!$B$4</f>
        <v>6.0499999999999936</v>
      </c>
      <c r="D83" s="13">
        <f t="shared" si="34"/>
        <v>1</v>
      </c>
      <c r="E83" s="13">
        <f t="shared" si="19"/>
        <v>6.0499999999999936</v>
      </c>
      <c r="F83" s="14">
        <f>IF(AB83&gt;0, VLOOKUP(B83,Model!$A$40:$B$60, 2), 0)</f>
        <v>300</v>
      </c>
      <c r="G83" s="13">
        <f>IF(AB83&gt;0, VLOOKUP(B83,Model!$A$39:$C$58, 3), 0)</f>
        <v>0</v>
      </c>
      <c r="H83" s="13">
        <f t="shared" si="20"/>
        <v>0</v>
      </c>
      <c r="I83" s="46">
        <f>Model!$B$21*EXP((-0.029*9.81*F83)/(8.31*(273+J83)))</f>
        <v>100357.4491247143</v>
      </c>
      <c r="J83" s="13">
        <f>IF(Model!$B$31="Summer",  IF(F83&lt;=2000,  Model!$B$20-Model!$B$35*F83/1000,  IF(F83&lt;Model!$B$36,  Model!$B$33-6.5*F83/1000,  Model!$B$38)),     IF(F83&lt;=2000,  Model!$B$20-Model!$B$35*F83/1000,  IF(F83&lt;Model!$B$36,  Model!$B$33-5.4*F83/1000,   Model!$B$38)))</f>
        <v>-19.088750000000001</v>
      </c>
      <c r="K83" s="13">
        <f t="shared" si="21"/>
        <v>253.91125</v>
      </c>
      <c r="L83" s="46">
        <f>IF(AB82-AA82*(B83-B82)&gt;0, L82-Y82*(B83-B82)*3600-AD83*Model!$B$16, 0)</f>
        <v>1468.3917879720677</v>
      </c>
      <c r="M83" s="57">
        <f t="shared" si="22"/>
        <v>74.792626327554729</v>
      </c>
      <c r="N83" s="57">
        <f>Model!$B$13*I83*K83/(Model!$B$13*I83-L83*287*K83)</f>
        <v>347.79262632755473</v>
      </c>
      <c r="O83" s="57">
        <f t="shared" si="23"/>
        <v>300.85193816377739</v>
      </c>
      <c r="P83" s="57">
        <f t="shared" si="24"/>
        <v>27.851938163777362</v>
      </c>
      <c r="Q83" s="63">
        <f t="shared" si="25"/>
        <v>2.5977487609628196E-2</v>
      </c>
      <c r="R83" s="17">
        <f t="shared" si="26"/>
        <v>1.6496601569032848E-5</v>
      </c>
      <c r="S83" s="46">
        <f>0.37*Model!$B$10*(Q83^2*(N83-K83)*I83/(R83*O83^2))^0.33333*(N83-K83)</f>
        <v>680336.37817727495</v>
      </c>
      <c r="T83" s="51">
        <f>Model!$B$32+(90-Model!$B$6)*SIN(RADIANS(-15*(E83+6)))</f>
        <v>-6.4125992159873162</v>
      </c>
      <c r="U83" s="46">
        <f t="shared" si="27"/>
        <v>0</v>
      </c>
      <c r="V83" s="51">
        <f t="shared" si="28"/>
        <v>99999</v>
      </c>
      <c r="W83" s="46">
        <f t="shared" si="29"/>
        <v>0</v>
      </c>
      <c r="X83" s="46">
        <f>0.3*W83*Model!$B$9</f>
        <v>0</v>
      </c>
      <c r="Y83" s="17">
        <f>(S83-X83)/Model!$B$11</f>
        <v>1.4594795198482783E-2</v>
      </c>
      <c r="Z83" s="46">
        <f t="shared" si="30"/>
        <v>0</v>
      </c>
      <c r="AA83" s="57">
        <f>Y83/Model!$B$12*3600</f>
        <v>94.494425096961507</v>
      </c>
      <c r="AB83" s="51">
        <f t="shared" si="35"/>
        <v>1308.1997895275708</v>
      </c>
      <c r="AC83" s="51">
        <f t="shared" si="36"/>
        <v>491.80021047242917</v>
      </c>
      <c r="AD83" s="13">
        <f>IF(AE83=0, Model!$B$19, 0 )</f>
        <v>0</v>
      </c>
      <c r="AE83" s="51">
        <f>IF(AE82+AB82-AB83&lt;Model!$B$19*Model!$B$18, AE82+AB82-AB83,  0)</f>
        <v>38.312285279542493</v>
      </c>
      <c r="AF83" s="13">
        <f t="shared" si="31"/>
        <v>4.0499999999999936</v>
      </c>
      <c r="AG83" s="50">
        <f t="shared" si="32"/>
        <v>0</v>
      </c>
    </row>
    <row r="84" spans="2:33" x14ac:dyDescent="0.25">
      <c r="B84" s="15">
        <f t="shared" si="33"/>
        <v>4.0999999999999934</v>
      </c>
      <c r="C84" s="15">
        <f>B84+Model!$B$4</f>
        <v>6.0999999999999934</v>
      </c>
      <c r="D84" s="15">
        <f t="shared" si="34"/>
        <v>1</v>
      </c>
      <c r="E84" s="15">
        <f t="shared" si="19"/>
        <v>6.0999999999999934</v>
      </c>
      <c r="F84" s="16">
        <f>IF(AB84&gt;0, VLOOKUP(B84,Model!$A$40:$B$60, 2), 0)</f>
        <v>300</v>
      </c>
      <c r="G84" s="15">
        <f>IF(AB84&gt;0, VLOOKUP(B84,Model!$A$39:$C$58, 3), 0)</f>
        <v>0</v>
      </c>
      <c r="H84" s="15">
        <f t="shared" si="20"/>
        <v>0</v>
      </c>
      <c r="I84" s="45">
        <f>Model!$B$21*EXP((-0.029*9.81*F84)/(8.31*(273+J84)))</f>
        <v>100357.4491247143</v>
      </c>
      <c r="J84" s="15">
        <f>IF(Model!$B$31="Summer",  IF(F84&lt;=2000,  Model!$B$20-Model!$B$35*F84/1000,  IF(F84&lt;Model!$B$36,  Model!$B$33-6.5*F84/1000,  Model!$B$38)),     IF(F84&lt;=2000,  Model!$B$20-Model!$B$35*F84/1000,  IF(F84&lt;Model!$B$36,  Model!$B$33-5.4*F84/1000,   Model!$B$38)))</f>
        <v>-19.088750000000001</v>
      </c>
      <c r="K84" s="15">
        <f t="shared" si="21"/>
        <v>253.91125</v>
      </c>
      <c r="L84" s="45">
        <f>IF(AB83-AA83*(B84-B83)&gt;0, L83-Y83*(B84-B83)*3600-AD84*Model!$B$16, 0)</f>
        <v>1465.7647248363407</v>
      </c>
      <c r="M84" s="56">
        <f t="shared" si="22"/>
        <v>74.562715592807763</v>
      </c>
      <c r="N84" s="56">
        <f>Model!$B$13*I84*K84/(Model!$B$13*I84-L84*287*K84)</f>
        <v>347.56271559280776</v>
      </c>
      <c r="O84" s="56">
        <f t="shared" si="23"/>
        <v>300.73698279640388</v>
      </c>
      <c r="P84" s="56">
        <f t="shared" si="24"/>
        <v>27.736982796403879</v>
      </c>
      <c r="Q84" s="62">
        <f t="shared" si="25"/>
        <v>2.5969325778544675E-2</v>
      </c>
      <c r="R84" s="33">
        <f t="shared" si="26"/>
        <v>1.6484646210826003E-5</v>
      </c>
      <c r="S84" s="45">
        <f>0.37*Model!$B$10*(Q84^2*(N84-K84)*I84/(R84*O84^2))^0.33333*(N84-K84)</f>
        <v>678310.42272018804</v>
      </c>
      <c r="T84" s="50">
        <f>Model!$B$32+(90-Model!$B$6)*SIN(RADIANS(-15*(E84+6)))</f>
        <v>-5.954541870208824</v>
      </c>
      <c r="U84" s="45">
        <f t="shared" si="27"/>
        <v>0</v>
      </c>
      <c r="V84" s="50">
        <f t="shared" si="28"/>
        <v>99999</v>
      </c>
      <c r="W84" s="45">
        <f t="shared" si="29"/>
        <v>0</v>
      </c>
      <c r="X84" s="45">
        <f>0.3*W84*Model!$B$9</f>
        <v>0</v>
      </c>
      <c r="Y84" s="33">
        <f>(S84-X84)/Model!$B$11</f>
        <v>1.4551333749226387E-2</v>
      </c>
      <c r="Z84" s="45">
        <f t="shared" si="30"/>
        <v>0</v>
      </c>
      <c r="AA84" s="56">
        <f>Y84/Model!$B$12*3600</f>
        <v>94.213032682370383</v>
      </c>
      <c r="AB84" s="50">
        <f t="shared" si="35"/>
        <v>1303.4750682727229</v>
      </c>
      <c r="AC84" s="50">
        <f t="shared" si="36"/>
        <v>496.52493172727713</v>
      </c>
      <c r="AD84" s="15">
        <f>IF(AE84=0, Model!$B$19, 0 )</f>
        <v>0</v>
      </c>
      <c r="AE84" s="50">
        <f>IF(AE83+AB83-AB84&lt;Model!$B$19*Model!$B$18, AE83+AB83-AB84,  0)</f>
        <v>43.037006534390457</v>
      </c>
      <c r="AF84" s="15">
        <f t="shared" si="31"/>
        <v>4.0999999999999934</v>
      </c>
      <c r="AG84" s="50">
        <f t="shared" si="32"/>
        <v>0</v>
      </c>
    </row>
    <row r="85" spans="2:33" x14ac:dyDescent="0.25">
      <c r="B85" s="13">
        <f t="shared" si="33"/>
        <v>4.1499999999999932</v>
      </c>
      <c r="C85" s="13">
        <f>B85+Model!$B$4</f>
        <v>6.1499999999999932</v>
      </c>
      <c r="D85" s="13">
        <f t="shared" si="34"/>
        <v>1</v>
      </c>
      <c r="E85" s="13">
        <f t="shared" si="19"/>
        <v>6.1499999999999932</v>
      </c>
      <c r="F85" s="14">
        <f>IF(AB85&gt;0, VLOOKUP(B85,Model!$A$40:$B$60, 2), 0)</f>
        <v>300</v>
      </c>
      <c r="G85" s="13">
        <f>IF(AB85&gt;0, VLOOKUP(B85,Model!$A$39:$C$58, 3), 0)</f>
        <v>0</v>
      </c>
      <c r="H85" s="13">
        <f t="shared" si="20"/>
        <v>0</v>
      </c>
      <c r="I85" s="46">
        <f>Model!$B$21*EXP((-0.029*9.81*F85)/(8.31*(273+J85)))</f>
        <v>100357.4491247143</v>
      </c>
      <c r="J85" s="13">
        <f>IF(Model!$B$31="Summer",  IF(F85&lt;=2000,  Model!$B$20-Model!$B$35*F85/1000,  IF(F85&lt;Model!$B$36,  Model!$B$33-6.5*F85/1000,  Model!$B$38)),     IF(F85&lt;=2000,  Model!$B$20-Model!$B$35*F85/1000,  IF(F85&lt;Model!$B$36,  Model!$B$33-5.4*F85/1000,   Model!$B$38)))</f>
        <v>-19.088750000000001</v>
      </c>
      <c r="K85" s="13">
        <f t="shared" si="21"/>
        <v>253.91125</v>
      </c>
      <c r="L85" s="46">
        <f>IF(AB84-AA84*(B85-B84)&gt;0, L84-Y84*(B85-B84)*3600-AD85*Model!$B$16, 0)</f>
        <v>1463.14548476148</v>
      </c>
      <c r="M85" s="57">
        <f t="shared" si="22"/>
        <v>74.333791915516713</v>
      </c>
      <c r="N85" s="57">
        <f>Model!$B$13*I85*K85/(Model!$B$13*I85-L85*287*K85)</f>
        <v>347.33379191551671</v>
      </c>
      <c r="O85" s="57">
        <f t="shared" si="23"/>
        <v>300.62252095775835</v>
      </c>
      <c r="P85" s="57">
        <f t="shared" si="24"/>
        <v>27.622520957758354</v>
      </c>
      <c r="Q85" s="63">
        <f t="shared" si="25"/>
        <v>2.5961198988000846E-2</v>
      </c>
      <c r="R85" s="17">
        <f t="shared" si="26"/>
        <v>1.6472742179606869E-5</v>
      </c>
      <c r="S85" s="46">
        <f>0.37*Model!$B$10*(Q85^2*(N85-K85)*I85/(R85*O85^2))^0.33333*(N85-K85)</f>
        <v>676293.89882873395</v>
      </c>
      <c r="T85" s="51">
        <f>Model!$B$32+(90-Model!$B$6)*SIN(RADIANS(-15*(E85+6)))</f>
        <v>-5.496641509416996</v>
      </c>
      <c r="U85" s="46">
        <f t="shared" si="27"/>
        <v>0</v>
      </c>
      <c r="V85" s="51">
        <f t="shared" si="28"/>
        <v>99999</v>
      </c>
      <c r="W85" s="46">
        <f t="shared" si="29"/>
        <v>0</v>
      </c>
      <c r="X85" s="46">
        <f>0.3*W85*Model!$B$9</f>
        <v>0</v>
      </c>
      <c r="Y85" s="17">
        <f>(S85-X85)/Model!$B$11</f>
        <v>1.4508074628954927E-2</v>
      </c>
      <c r="Z85" s="46">
        <f t="shared" si="30"/>
        <v>0</v>
      </c>
      <c r="AA85" s="57">
        <f>Y85/Model!$B$12*3600</f>
        <v>93.932950252664426</v>
      </c>
      <c r="AB85" s="51">
        <f t="shared" si="35"/>
        <v>1298.7644166386044</v>
      </c>
      <c r="AC85" s="51">
        <f t="shared" si="36"/>
        <v>501.23558336139558</v>
      </c>
      <c r="AD85" s="13">
        <f>IF(AE85=0, Model!$B$19, 0 )</f>
        <v>0</v>
      </c>
      <c r="AE85" s="51">
        <f>IF(AE84+AB84-AB85&lt;Model!$B$19*Model!$B$18, AE84+AB84-AB85,  0)</f>
        <v>47.747658168508906</v>
      </c>
      <c r="AF85" s="13">
        <f t="shared" si="31"/>
        <v>4.1499999999999932</v>
      </c>
      <c r="AG85" s="50">
        <f t="shared" si="32"/>
        <v>0</v>
      </c>
    </row>
    <row r="86" spans="2:33" x14ac:dyDescent="0.25">
      <c r="B86" s="15">
        <f t="shared" si="33"/>
        <v>4.1999999999999931</v>
      </c>
      <c r="C86" s="15">
        <f>B86+Model!$B$4</f>
        <v>6.1999999999999931</v>
      </c>
      <c r="D86" s="15">
        <f t="shared" si="34"/>
        <v>1</v>
      </c>
      <c r="E86" s="15">
        <f t="shared" si="19"/>
        <v>6.1999999999999931</v>
      </c>
      <c r="F86" s="16">
        <f>IF(AB86&gt;0, VLOOKUP(B86,Model!$A$40:$B$60, 2), 0)</f>
        <v>300</v>
      </c>
      <c r="G86" s="15">
        <f>IF(AB86&gt;0, VLOOKUP(B86,Model!$A$39:$C$58, 3), 0)</f>
        <v>0</v>
      </c>
      <c r="H86" s="15">
        <f t="shared" si="20"/>
        <v>0</v>
      </c>
      <c r="I86" s="45">
        <f>Model!$B$21*EXP((-0.029*9.81*F86)/(8.31*(273+J86)))</f>
        <v>100357.4491247143</v>
      </c>
      <c r="J86" s="15">
        <f>IF(Model!$B$31="Summer",  IF(F86&lt;=2000,  Model!$B$20-Model!$B$35*F86/1000,  IF(F86&lt;Model!$B$36,  Model!$B$33-6.5*F86/1000,  Model!$B$38)),     IF(F86&lt;=2000,  Model!$B$20-Model!$B$35*F86/1000,  IF(F86&lt;Model!$B$36,  Model!$B$33-5.4*F86/1000,   Model!$B$38)))</f>
        <v>-19.088750000000001</v>
      </c>
      <c r="K86" s="15">
        <f t="shared" si="21"/>
        <v>253.91125</v>
      </c>
      <c r="L86" s="45">
        <f>IF(AB85-AA85*(B86-B85)&gt;0, L85-Y85*(B86-B85)*3600-AD86*Model!$B$16, 0)</f>
        <v>1460.5340313282682</v>
      </c>
      <c r="M86" s="56">
        <f t="shared" si="22"/>
        <v>74.105848819612163</v>
      </c>
      <c r="N86" s="56">
        <f>Model!$B$13*I86*K86/(Model!$B$13*I86-L86*287*K86)</f>
        <v>347.10584881961216</v>
      </c>
      <c r="O86" s="56">
        <f t="shared" si="23"/>
        <v>300.50854940980605</v>
      </c>
      <c r="P86" s="56">
        <f t="shared" si="24"/>
        <v>27.508549409806079</v>
      </c>
      <c r="Q86" s="62">
        <f t="shared" si="25"/>
        <v>2.5953107008096232E-2</v>
      </c>
      <c r="R86" s="33">
        <f t="shared" si="26"/>
        <v>1.6460889138619829E-5</v>
      </c>
      <c r="S86" s="45">
        <f>0.37*Model!$B$10*(Q86^2*(N86-K86)*I86/(R86*O86^2))^0.33333*(N86-K86)</f>
        <v>674286.74291225057</v>
      </c>
      <c r="T86" s="50">
        <f>Model!$B$32+(90-Model!$B$6)*SIN(RADIANS(-15*(E86+6)))</f>
        <v>-5.0389765924813608</v>
      </c>
      <c r="U86" s="45">
        <f t="shared" si="27"/>
        <v>0</v>
      </c>
      <c r="V86" s="50">
        <f t="shared" si="28"/>
        <v>99999</v>
      </c>
      <c r="W86" s="45">
        <f t="shared" si="29"/>
        <v>0</v>
      </c>
      <c r="X86" s="45">
        <f>0.3*W86*Model!$B$9</f>
        <v>0</v>
      </c>
      <c r="Y86" s="33">
        <f>(S86-X86)/Model!$B$11</f>
        <v>1.4465016473501031E-2</v>
      </c>
      <c r="Z86" s="45">
        <f t="shared" si="30"/>
        <v>0</v>
      </c>
      <c r="AA86" s="56">
        <f>Y86/Model!$B$12*3600</f>
        <v>93.654168975502373</v>
      </c>
      <c r="AB86" s="50">
        <f t="shared" si="35"/>
        <v>1294.0677691259712</v>
      </c>
      <c r="AC86" s="50">
        <f t="shared" si="36"/>
        <v>505.93223087402885</v>
      </c>
      <c r="AD86" s="15">
        <f>IF(AE86=0, Model!$B$19, 0 )</f>
        <v>0</v>
      </c>
      <c r="AE86" s="50">
        <f>IF(AE85+AB85-AB86&lt;Model!$B$19*Model!$B$18, AE85+AB85-AB86,  0)</f>
        <v>52.444305681142168</v>
      </c>
      <c r="AF86" s="15">
        <f t="shared" si="31"/>
        <v>4.1999999999999931</v>
      </c>
      <c r="AG86" s="50">
        <f t="shared" si="32"/>
        <v>0</v>
      </c>
    </row>
    <row r="87" spans="2:33" x14ac:dyDescent="0.25">
      <c r="B87" s="13">
        <f t="shared" si="33"/>
        <v>4.2499999999999929</v>
      </c>
      <c r="C87" s="13">
        <f>B87+Model!$B$4</f>
        <v>6.2499999999999929</v>
      </c>
      <c r="D87" s="13">
        <f t="shared" si="34"/>
        <v>1</v>
      </c>
      <c r="E87" s="13">
        <f t="shared" si="19"/>
        <v>6.2499999999999929</v>
      </c>
      <c r="F87" s="14">
        <f>IF(AB87&gt;0, VLOOKUP(B87,Model!$A$40:$B$60, 2), 0)</f>
        <v>300</v>
      </c>
      <c r="G87" s="13">
        <f>IF(AB87&gt;0, VLOOKUP(B87,Model!$A$39:$C$58, 3), 0)</f>
        <v>0</v>
      </c>
      <c r="H87" s="13">
        <f t="shared" si="20"/>
        <v>0</v>
      </c>
      <c r="I87" s="46">
        <f>Model!$B$21*EXP((-0.029*9.81*F87)/(8.31*(273+J87)))</f>
        <v>100357.4491247143</v>
      </c>
      <c r="J87" s="13">
        <f>IF(Model!$B$31="Summer",  IF(F87&lt;=2000,  Model!$B$20-Model!$B$35*F87/1000,  IF(F87&lt;Model!$B$36,  Model!$B$33-6.5*F87/1000,  Model!$B$38)),     IF(F87&lt;=2000,  Model!$B$20-Model!$B$35*F87/1000,  IF(F87&lt;Model!$B$36,  Model!$B$33-5.4*F87/1000,   Model!$B$38)))</f>
        <v>-19.088750000000001</v>
      </c>
      <c r="K87" s="13">
        <f t="shared" si="21"/>
        <v>253.91125</v>
      </c>
      <c r="L87" s="46">
        <f>IF(AB86-AA86*(B87-B86)&gt;0, L86-Y86*(B87-B86)*3600-AD87*Model!$B$16, 0)</f>
        <v>1457.9303283630379</v>
      </c>
      <c r="M87" s="57">
        <f t="shared" si="22"/>
        <v>73.878879887293124</v>
      </c>
      <c r="N87" s="57">
        <f>Model!$B$13*I87*K87/(Model!$B$13*I87-L87*287*K87)</f>
        <v>346.87887988729312</v>
      </c>
      <c r="O87" s="57">
        <f t="shared" si="23"/>
        <v>300.39506494364656</v>
      </c>
      <c r="P87" s="57">
        <f t="shared" si="24"/>
        <v>27.39506494364656</v>
      </c>
      <c r="Q87" s="63">
        <f t="shared" si="25"/>
        <v>2.5945049610998906E-2</v>
      </c>
      <c r="R87" s="17">
        <f t="shared" si="26"/>
        <v>1.644908675413924E-5</v>
      </c>
      <c r="S87" s="46">
        <f>0.37*Model!$B$10*(Q87^2*(N87-K87)*I87/(R87*O87^2))^0.33333*(N87-K87)</f>
        <v>672288.89195649361</v>
      </c>
      <c r="T87" s="51">
        <f>Model!$B$32+(90-Model!$B$6)*SIN(RADIANS(-15*(E87+6)))</f>
        <v>-4.5816255379293853</v>
      </c>
      <c r="U87" s="46">
        <f t="shared" si="27"/>
        <v>0</v>
      </c>
      <c r="V87" s="51">
        <f t="shared" si="28"/>
        <v>99999</v>
      </c>
      <c r="W87" s="46">
        <f t="shared" si="29"/>
        <v>0</v>
      </c>
      <c r="X87" s="46">
        <f>0.3*W87*Model!$B$9</f>
        <v>0</v>
      </c>
      <c r="Y87" s="17">
        <f>(S87-X87)/Model!$B$11</f>
        <v>1.4422157931062825E-2</v>
      </c>
      <c r="Z87" s="46">
        <f t="shared" si="30"/>
        <v>0</v>
      </c>
      <c r="AA87" s="57">
        <f>Y87/Model!$B$12*3600</f>
        <v>93.376680098603785</v>
      </c>
      <c r="AB87" s="51">
        <f t="shared" si="35"/>
        <v>1289.385060677196</v>
      </c>
      <c r="AC87" s="51">
        <f t="shared" si="36"/>
        <v>510.61493932280405</v>
      </c>
      <c r="AD87" s="13">
        <f>IF(AE87=0, Model!$B$19, 0 )</f>
        <v>0</v>
      </c>
      <c r="AE87" s="51">
        <f>IF(AE86+AB86-AB87&lt;Model!$B$19*Model!$B$18, AE86+AB86-AB87,  0)</f>
        <v>57.12701412991737</v>
      </c>
      <c r="AF87" s="13">
        <f t="shared" si="31"/>
        <v>4.2499999999999929</v>
      </c>
      <c r="AG87" s="50">
        <f t="shared" si="32"/>
        <v>0</v>
      </c>
    </row>
    <row r="88" spans="2:33" x14ac:dyDescent="0.25">
      <c r="B88" s="15">
        <f t="shared" si="33"/>
        <v>4.2999999999999927</v>
      </c>
      <c r="C88" s="15">
        <f>B88+Model!$B$4</f>
        <v>6.2999999999999927</v>
      </c>
      <c r="D88" s="15">
        <f t="shared" si="34"/>
        <v>1</v>
      </c>
      <c r="E88" s="15">
        <f t="shared" si="19"/>
        <v>6.2999999999999927</v>
      </c>
      <c r="F88" s="16">
        <f>IF(AB88&gt;0, VLOOKUP(B88,Model!$A$40:$B$60, 2), 0)</f>
        <v>300</v>
      </c>
      <c r="G88" s="15">
        <f>IF(AB88&gt;0, VLOOKUP(B88,Model!$A$39:$C$58, 3), 0)</f>
        <v>0</v>
      </c>
      <c r="H88" s="15">
        <f t="shared" si="20"/>
        <v>0</v>
      </c>
      <c r="I88" s="45">
        <f>Model!$B$21*EXP((-0.029*9.81*F88)/(8.31*(273+J88)))</f>
        <v>100357.4491247143</v>
      </c>
      <c r="J88" s="15">
        <f>IF(Model!$B$31="Summer",  IF(F88&lt;=2000,  Model!$B$20-Model!$B$35*F88/1000,  IF(F88&lt;Model!$B$36,  Model!$B$33-6.5*F88/1000,  Model!$B$38)),     IF(F88&lt;=2000,  Model!$B$20-Model!$B$35*F88/1000,  IF(F88&lt;Model!$B$36,  Model!$B$33-5.4*F88/1000,   Model!$B$38)))</f>
        <v>-19.088750000000001</v>
      </c>
      <c r="K88" s="15">
        <f t="shared" si="21"/>
        <v>253.91125</v>
      </c>
      <c r="L88" s="45">
        <f>IF(AB87-AA87*(B88-B87)&gt;0, L87-Y87*(B88-B87)*3600-AD88*Model!$B$16, 0)</f>
        <v>1455.3343399354467</v>
      </c>
      <c r="M88" s="56">
        <f t="shared" si="22"/>
        <v>73.652878758357531</v>
      </c>
      <c r="N88" s="56">
        <f>Model!$B$13*I88*K88/(Model!$B$13*I88-L88*287*K88)</f>
        <v>346.65287875835753</v>
      </c>
      <c r="O88" s="56">
        <f t="shared" si="23"/>
        <v>300.28206437917879</v>
      </c>
      <c r="P88" s="56">
        <f t="shared" si="24"/>
        <v>27.282064379178763</v>
      </c>
      <c r="Q88" s="62">
        <f t="shared" si="25"/>
        <v>2.5937026570921694E-2</v>
      </c>
      <c r="R88" s="33">
        <f t="shared" si="26"/>
        <v>1.6437334695434594E-5</v>
      </c>
      <c r="S88" s="45">
        <f>0.37*Model!$B$10*(Q88^2*(N88-K88)*I88/(R88*O88^2))^0.33333*(N88-K88)</f>
        <v>670300.28351700841</v>
      </c>
      <c r="T88" s="50">
        <f>Model!$B$32+(90-Model!$B$6)*SIN(RADIANS(-15*(E88+6)))</f>
        <v>-4.1246667105098016</v>
      </c>
      <c r="U88" s="45">
        <f t="shared" si="27"/>
        <v>0</v>
      </c>
      <c r="V88" s="50">
        <f t="shared" si="28"/>
        <v>99999</v>
      </c>
      <c r="W88" s="45">
        <f t="shared" si="29"/>
        <v>0</v>
      </c>
      <c r="X88" s="45">
        <f>0.3*W88*Model!$B$9</f>
        <v>0</v>
      </c>
      <c r="Y88" s="33">
        <f>(S88-X88)/Model!$B$11</f>
        <v>1.4379497662061749E-2</v>
      </c>
      <c r="Z88" s="45">
        <f t="shared" si="30"/>
        <v>0</v>
      </c>
      <c r="AA88" s="56">
        <f>Y88/Model!$B$12*3600</f>
        <v>93.100474948828378</v>
      </c>
      <c r="AB88" s="50">
        <f t="shared" si="35"/>
        <v>1284.7162266722657</v>
      </c>
      <c r="AC88" s="50">
        <f t="shared" si="36"/>
        <v>515.28377332773425</v>
      </c>
      <c r="AD88" s="15">
        <f>IF(AE88=0, Model!$B$19, 0 )</f>
        <v>0</v>
      </c>
      <c r="AE88" s="50">
        <f>IF(AE87+AB87-AB88&lt;Model!$B$19*Model!$B$18, AE87+AB87-AB88,  0)</f>
        <v>61.795848134847574</v>
      </c>
      <c r="AF88" s="15">
        <f t="shared" si="31"/>
        <v>4.2999999999999927</v>
      </c>
      <c r="AG88" s="50">
        <f t="shared" si="32"/>
        <v>0</v>
      </c>
    </row>
    <row r="89" spans="2:33" x14ac:dyDescent="0.25">
      <c r="B89" s="13">
        <f t="shared" si="33"/>
        <v>4.3499999999999925</v>
      </c>
      <c r="C89" s="13">
        <f>B89+Model!$B$4</f>
        <v>6.3499999999999925</v>
      </c>
      <c r="D89" s="13">
        <f t="shared" si="34"/>
        <v>1</v>
      </c>
      <c r="E89" s="13">
        <f t="shared" si="19"/>
        <v>6.3499999999999925</v>
      </c>
      <c r="F89" s="14">
        <f>IF(AB89&gt;0, VLOOKUP(B89,Model!$A$40:$B$60, 2), 0)</f>
        <v>300</v>
      </c>
      <c r="G89" s="13">
        <f>IF(AB89&gt;0, VLOOKUP(B89,Model!$A$39:$C$58, 3), 0)</f>
        <v>0</v>
      </c>
      <c r="H89" s="13">
        <f t="shared" si="20"/>
        <v>0</v>
      </c>
      <c r="I89" s="46">
        <f>Model!$B$21*EXP((-0.029*9.81*F89)/(8.31*(273+J89)))</f>
        <v>100357.4491247143</v>
      </c>
      <c r="J89" s="13">
        <f>IF(Model!$B$31="Summer",  IF(F89&lt;=2000,  Model!$B$20-Model!$B$35*F89/1000,  IF(F89&lt;Model!$B$36,  Model!$B$33-6.5*F89/1000,  Model!$B$38)),     IF(F89&lt;=2000,  Model!$B$20-Model!$B$35*F89/1000,  IF(F89&lt;Model!$B$36,  Model!$B$33-5.4*F89/1000,   Model!$B$38)))</f>
        <v>-19.088750000000001</v>
      </c>
      <c r="K89" s="13">
        <f t="shared" si="21"/>
        <v>253.91125</v>
      </c>
      <c r="L89" s="46">
        <f>IF(AB88-AA88*(B89-B88)&gt;0, L88-Y88*(B89-B88)*3600-AD89*Model!$B$16, 0)</f>
        <v>1452.7460303562755</v>
      </c>
      <c r="M89" s="57">
        <f t="shared" si="22"/>
        <v>73.427839129543372</v>
      </c>
      <c r="N89" s="57">
        <f>Model!$B$13*I89*K89/(Model!$B$13*I89-L89*287*K89)</f>
        <v>346.42783912954337</v>
      </c>
      <c r="O89" s="57">
        <f t="shared" si="23"/>
        <v>300.16954456477168</v>
      </c>
      <c r="P89" s="57">
        <f t="shared" si="24"/>
        <v>27.169544564771684</v>
      </c>
      <c r="Q89" s="63">
        <f t="shared" si="25"/>
        <v>2.5929037664098792E-2</v>
      </c>
      <c r="R89" s="17">
        <f t="shared" si="26"/>
        <v>1.6425632634736253E-5</v>
      </c>
      <c r="S89" s="46">
        <f>0.37*Model!$B$10*(Q89^2*(N89-K89)*I89/(R89*O89^2))^0.33333*(N89-K89)</f>
        <v>668320.85571260564</v>
      </c>
      <c r="T89" s="51">
        <f>Model!$B$32+(90-Model!$B$6)*SIN(RADIANS(-15*(E89+6)))</f>
        <v>-3.6681784077653035</v>
      </c>
      <c r="U89" s="46">
        <f t="shared" si="27"/>
        <v>0</v>
      </c>
      <c r="V89" s="51">
        <f t="shared" si="28"/>
        <v>99999</v>
      </c>
      <c r="W89" s="46">
        <f t="shared" si="29"/>
        <v>0</v>
      </c>
      <c r="X89" s="46">
        <f>0.3*W89*Model!$B$9</f>
        <v>0</v>
      </c>
      <c r="Y89" s="17">
        <f>(S89-X89)/Model!$B$11</f>
        <v>1.4337034339002588E-2</v>
      </c>
      <c r="Z89" s="46">
        <f t="shared" si="30"/>
        <v>0</v>
      </c>
      <c r="AA89" s="57">
        <f>Y89/Model!$B$12*3600</f>
        <v>92.825544931269846</v>
      </c>
      <c r="AB89" s="51">
        <f t="shared" si="35"/>
        <v>1280.0612029248243</v>
      </c>
      <c r="AC89" s="51">
        <f t="shared" si="36"/>
        <v>519.93879707517567</v>
      </c>
      <c r="AD89" s="13">
        <f>IF(AE89=0, Model!$B$19, 0 )</f>
        <v>0</v>
      </c>
      <c r="AE89" s="51">
        <f>IF(AE88+AB88-AB89&lt;Model!$B$19*Model!$B$18, AE88+AB88-AB89,  0)</f>
        <v>66.450871882288993</v>
      </c>
      <c r="AF89" s="13">
        <f t="shared" si="31"/>
        <v>4.3499999999999925</v>
      </c>
      <c r="AG89" s="50">
        <f t="shared" si="32"/>
        <v>0</v>
      </c>
    </row>
    <row r="90" spans="2:33" x14ac:dyDescent="0.25">
      <c r="B90" s="15">
        <f t="shared" si="33"/>
        <v>4.3999999999999924</v>
      </c>
      <c r="C90" s="15">
        <f>B90+Model!$B$4</f>
        <v>6.3999999999999924</v>
      </c>
      <c r="D90" s="15">
        <f t="shared" si="34"/>
        <v>1</v>
      </c>
      <c r="E90" s="15">
        <f t="shared" si="19"/>
        <v>6.3999999999999924</v>
      </c>
      <c r="F90" s="16">
        <f>IF(AB90&gt;0, VLOOKUP(B90,Model!$A$40:$B$60, 2), 0)</f>
        <v>300</v>
      </c>
      <c r="G90" s="15">
        <f>IF(AB90&gt;0, VLOOKUP(B90,Model!$A$39:$C$58, 3), 0)</f>
        <v>0</v>
      </c>
      <c r="H90" s="15">
        <f t="shared" si="20"/>
        <v>0</v>
      </c>
      <c r="I90" s="45">
        <f>Model!$B$21*EXP((-0.029*9.81*F90)/(8.31*(273+J90)))</f>
        <v>100357.4491247143</v>
      </c>
      <c r="J90" s="15">
        <f>IF(Model!$B$31="Summer",  IF(F90&lt;=2000,  Model!$B$20-Model!$B$35*F90/1000,  IF(F90&lt;Model!$B$36,  Model!$B$33-6.5*F90/1000,  Model!$B$38)),     IF(F90&lt;=2000,  Model!$B$20-Model!$B$35*F90/1000,  IF(F90&lt;Model!$B$36,  Model!$B$33-5.4*F90/1000,   Model!$B$38)))</f>
        <v>-19.088750000000001</v>
      </c>
      <c r="K90" s="15">
        <f t="shared" si="21"/>
        <v>253.91125</v>
      </c>
      <c r="L90" s="45">
        <f>IF(AB89-AA89*(B90-B89)&gt;0, L89-Y89*(B90-B89)*3600-AD90*Model!$B$16, 0)</f>
        <v>1450.165364175255</v>
      </c>
      <c r="M90" s="56">
        <f t="shared" si="22"/>
        <v>73.203754753878286</v>
      </c>
      <c r="N90" s="56">
        <f>Model!$B$13*I90*K90/(Model!$B$13*I90-L90*287*K90)</f>
        <v>346.20375475387829</v>
      </c>
      <c r="O90" s="56">
        <f t="shared" si="23"/>
        <v>300.05750237693917</v>
      </c>
      <c r="P90" s="56">
        <f t="shared" si="24"/>
        <v>27.057502376939141</v>
      </c>
      <c r="Q90" s="62">
        <f t="shared" si="25"/>
        <v>2.5921082668762682E-2</v>
      </c>
      <c r="R90" s="33">
        <f t="shared" si="26"/>
        <v>1.6413980247201671E-5</v>
      </c>
      <c r="S90" s="45">
        <f>0.37*Model!$B$10*(Q90^2*(N90-K90)*I90/(R90*O90^2))^0.33333*(N90-K90)</f>
        <v>666350.54721892055</v>
      </c>
      <c r="T90" s="50">
        <f>Model!$B$32+(90-Model!$B$6)*SIN(RADIANS(-15*(E90+6)))</f>
        <v>-3.2122388466165286</v>
      </c>
      <c r="U90" s="45">
        <f t="shared" si="27"/>
        <v>0</v>
      </c>
      <c r="V90" s="50">
        <f t="shared" si="28"/>
        <v>99999</v>
      </c>
      <c r="W90" s="45">
        <f t="shared" si="29"/>
        <v>0</v>
      </c>
      <c r="X90" s="45">
        <f>0.3*W90*Model!$B$9</f>
        <v>0</v>
      </c>
      <c r="Y90" s="33">
        <f>(S90-X90)/Model!$B$11</f>
        <v>1.4294766646335312E-2</v>
      </c>
      <c r="Z90" s="45">
        <f t="shared" si="30"/>
        <v>0</v>
      </c>
      <c r="AA90" s="56">
        <f>Y90/Model!$B$12*3600</f>
        <v>92.551881528361363</v>
      </c>
      <c r="AB90" s="50">
        <f t="shared" si="35"/>
        <v>1275.4199256782608</v>
      </c>
      <c r="AC90" s="50">
        <f t="shared" si="36"/>
        <v>524.58007432173918</v>
      </c>
      <c r="AD90" s="15">
        <f>IF(AE90=0, Model!$B$19, 0 )</f>
        <v>0</v>
      </c>
      <c r="AE90" s="50">
        <f>IF(AE89+AB89-AB90&lt;Model!$B$19*Model!$B$18, AE89+AB89-AB90,  0)</f>
        <v>71.092149128852498</v>
      </c>
      <c r="AF90" s="15">
        <f t="shared" si="31"/>
        <v>4.3999999999999924</v>
      </c>
      <c r="AG90" s="50">
        <f t="shared" si="32"/>
        <v>0</v>
      </c>
    </row>
    <row r="91" spans="2:33" x14ac:dyDescent="0.25">
      <c r="B91" s="13">
        <f t="shared" si="33"/>
        <v>4.4499999999999922</v>
      </c>
      <c r="C91" s="13">
        <f>B91+Model!$B$4</f>
        <v>6.4499999999999922</v>
      </c>
      <c r="D91" s="13">
        <f t="shared" si="34"/>
        <v>1</v>
      </c>
      <c r="E91" s="13">
        <f t="shared" si="19"/>
        <v>6.4499999999999922</v>
      </c>
      <c r="F91" s="14">
        <f>IF(AB91&gt;0, VLOOKUP(B91,Model!$A$40:$B$60, 2), 0)</f>
        <v>300</v>
      </c>
      <c r="G91" s="13">
        <f>IF(AB91&gt;0, VLOOKUP(B91,Model!$A$39:$C$58, 3), 0)</f>
        <v>0</v>
      </c>
      <c r="H91" s="13">
        <f t="shared" si="20"/>
        <v>0</v>
      </c>
      <c r="I91" s="46">
        <f>Model!$B$21*EXP((-0.029*9.81*F91)/(8.31*(273+J91)))</f>
        <v>100357.4491247143</v>
      </c>
      <c r="J91" s="13">
        <f>IF(Model!$B$31="Summer",  IF(F91&lt;=2000,  Model!$B$20-Model!$B$35*F91/1000,  IF(F91&lt;Model!$B$36,  Model!$B$33-6.5*F91/1000,  Model!$B$38)),     IF(F91&lt;=2000,  Model!$B$20-Model!$B$35*F91/1000,  IF(F91&lt;Model!$B$36,  Model!$B$33-5.4*F91/1000,   Model!$B$38)))</f>
        <v>-19.088750000000001</v>
      </c>
      <c r="K91" s="13">
        <f t="shared" si="21"/>
        <v>253.91125</v>
      </c>
      <c r="L91" s="46">
        <f>IF(AB90-AA90*(B91-B90)&gt;0, L90-Y90*(B91-B90)*3600-AD91*Model!$B$16, 0)</f>
        <v>1447.5923061789147</v>
      </c>
      <c r="M91" s="57">
        <f t="shared" si="22"/>
        <v>72.980619440038652</v>
      </c>
      <c r="N91" s="57">
        <f>Model!$B$13*I91*K91/(Model!$B$13*I91-L91*287*K91)</f>
        <v>345.98061944003865</v>
      </c>
      <c r="O91" s="57">
        <f t="shared" si="23"/>
        <v>299.9459347200193</v>
      </c>
      <c r="P91" s="57">
        <f t="shared" si="24"/>
        <v>26.945934720019324</v>
      </c>
      <c r="Q91" s="63">
        <f t="shared" si="25"/>
        <v>2.5913161365121371E-2</v>
      </c>
      <c r="R91" s="17">
        <f t="shared" si="26"/>
        <v>1.6402377210882003E-5</v>
      </c>
      <c r="S91" s="46">
        <f>0.37*Model!$B$10*(Q91^2*(N91-K91)*I91/(R91*O91^2))^0.33333*(N91-K91)</f>
        <v>664389.29726206849</v>
      </c>
      <c r="T91" s="51">
        <f>Model!$B$32+(90-Model!$B$6)*SIN(RADIANS(-15*(E91+6)))</f>
        <v>-2.7569261499600799</v>
      </c>
      <c r="U91" s="46">
        <f t="shared" si="27"/>
        <v>0</v>
      </c>
      <c r="V91" s="51">
        <f t="shared" si="28"/>
        <v>99999</v>
      </c>
      <c r="W91" s="46">
        <f t="shared" si="29"/>
        <v>0</v>
      </c>
      <c r="X91" s="46">
        <f>0.3*W91*Model!$B$9</f>
        <v>0</v>
      </c>
      <c r="Y91" s="17">
        <f>(S91-X91)/Model!$B$11</f>
        <v>1.4252693280318963E-2</v>
      </c>
      <c r="Z91" s="46">
        <f t="shared" si="30"/>
        <v>0</v>
      </c>
      <c r="AA91" s="57">
        <f>Y91/Model!$B$12*3600</f>
        <v>92.279476298994226</v>
      </c>
      <c r="AB91" s="51">
        <f t="shared" si="35"/>
        <v>1270.7923316018428</v>
      </c>
      <c r="AC91" s="51">
        <f t="shared" si="36"/>
        <v>529.20766839815724</v>
      </c>
      <c r="AD91" s="13">
        <f>IF(AE91=0, Model!$B$19, 0 )</f>
        <v>0</v>
      </c>
      <c r="AE91" s="51">
        <f>IF(AE90+AB90-AB91&lt;Model!$B$19*Model!$B$18, AE90+AB90-AB91,  0)</f>
        <v>75.719743205270561</v>
      </c>
      <c r="AF91" s="13">
        <f t="shared" si="31"/>
        <v>4.4499999999999922</v>
      </c>
      <c r="AG91" s="50">
        <f t="shared" si="32"/>
        <v>0</v>
      </c>
    </row>
    <row r="92" spans="2:33" x14ac:dyDescent="0.25">
      <c r="B92" s="15">
        <f t="shared" si="33"/>
        <v>4.499999999999992</v>
      </c>
      <c r="C92" s="15">
        <f>B92+Model!$B$4</f>
        <v>6.499999999999992</v>
      </c>
      <c r="D92" s="15">
        <f t="shared" si="34"/>
        <v>1</v>
      </c>
      <c r="E92" s="15">
        <f t="shared" si="19"/>
        <v>6.499999999999992</v>
      </c>
      <c r="F92" s="16">
        <f>IF(AB92&gt;0, VLOOKUP(B92,Model!$A$40:$B$60, 2), 0)</f>
        <v>300</v>
      </c>
      <c r="G92" s="15">
        <f>IF(AB92&gt;0, VLOOKUP(B92,Model!$A$39:$C$58, 3), 0)</f>
        <v>0</v>
      </c>
      <c r="H92" s="15">
        <f t="shared" si="20"/>
        <v>0</v>
      </c>
      <c r="I92" s="45">
        <f>Model!$B$21*EXP((-0.029*9.81*F92)/(8.31*(273+J92)))</f>
        <v>100357.4491247143</v>
      </c>
      <c r="J92" s="15">
        <f>IF(Model!$B$31="Summer",  IF(F92&lt;=2000,  Model!$B$20-Model!$B$35*F92/1000,  IF(F92&lt;Model!$B$36,  Model!$B$33-6.5*F92/1000,  Model!$B$38)),     IF(F92&lt;=2000,  Model!$B$20-Model!$B$35*F92/1000,  IF(F92&lt;Model!$B$36,  Model!$B$33-5.4*F92/1000,   Model!$B$38)))</f>
        <v>-19.088750000000001</v>
      </c>
      <c r="K92" s="15">
        <f t="shared" si="21"/>
        <v>253.91125</v>
      </c>
      <c r="L92" s="45">
        <f>IF(AB91-AA91*(B92-B91)&gt;0, L91-Y91*(B92-B91)*3600-AD92*Model!$B$16, 0)</f>
        <v>1445.0268213884572</v>
      </c>
      <c r="M92" s="56">
        <f t="shared" si="22"/>
        <v>72.758427051716922</v>
      </c>
      <c r="N92" s="56">
        <f>Model!$B$13*I92*K92/(Model!$B$13*I92-L92*287*K92)</f>
        <v>345.75842705171692</v>
      </c>
      <c r="O92" s="56">
        <f t="shared" si="23"/>
        <v>299.83483852585846</v>
      </c>
      <c r="P92" s="56">
        <f t="shared" si="24"/>
        <v>26.834838525858459</v>
      </c>
      <c r="Q92" s="62">
        <f t="shared" si="25"/>
        <v>2.5905273535335952E-2</v>
      </c>
      <c r="R92" s="33">
        <f t="shared" si="26"/>
        <v>1.6390823206689279E-5</v>
      </c>
      <c r="S92" s="45">
        <f>0.37*Model!$B$10*(Q92^2*(N92-K92)*I92/(R92*O92^2))^0.33333*(N92-K92)</f>
        <v>662437.0456123777</v>
      </c>
      <c r="T92" s="50">
        <f>Model!$B$32+(90-Model!$B$6)*SIN(RADIANS(-15*(E92+6)))</f>
        <v>-2.3023183332825887</v>
      </c>
      <c r="U92" s="45">
        <f t="shared" si="27"/>
        <v>0</v>
      </c>
      <c r="V92" s="50">
        <f t="shared" si="28"/>
        <v>99999</v>
      </c>
      <c r="W92" s="45">
        <f t="shared" si="29"/>
        <v>0</v>
      </c>
      <c r="X92" s="45">
        <f>0.3*W92*Model!$B$9</f>
        <v>0</v>
      </c>
      <c r="Y92" s="33">
        <f>(S92-X92)/Model!$B$11</f>
        <v>1.4210812948887219E-2</v>
      </c>
      <c r="Z92" s="45">
        <f t="shared" si="30"/>
        <v>0</v>
      </c>
      <c r="AA92" s="56">
        <f>Y92/Model!$B$12*3600</f>
        <v>92.008320877647563</v>
      </c>
      <c r="AB92" s="50">
        <f t="shared" si="35"/>
        <v>1266.178357786893</v>
      </c>
      <c r="AC92" s="50">
        <f t="shared" si="36"/>
        <v>533.821642213107</v>
      </c>
      <c r="AD92" s="15">
        <f>IF(AE92=0, Model!$B$19, 0 )</f>
        <v>0</v>
      </c>
      <c r="AE92" s="50">
        <f>IF(AE91+AB91-AB92&lt;Model!$B$19*Model!$B$18, AE91+AB91-AB92,  0)</f>
        <v>80.33371702022032</v>
      </c>
      <c r="AF92" s="15">
        <f t="shared" si="31"/>
        <v>4.499999999999992</v>
      </c>
      <c r="AG92" s="50">
        <f t="shared" si="32"/>
        <v>0</v>
      </c>
    </row>
    <row r="93" spans="2:33" x14ac:dyDescent="0.25">
      <c r="B93" s="13">
        <f t="shared" si="33"/>
        <v>4.5499999999999918</v>
      </c>
      <c r="C93" s="13">
        <f>B93+Model!$B$4</f>
        <v>6.5499999999999918</v>
      </c>
      <c r="D93" s="13">
        <f t="shared" si="34"/>
        <v>1</v>
      </c>
      <c r="E93" s="13">
        <f t="shared" si="19"/>
        <v>6.5499999999999918</v>
      </c>
      <c r="F93" s="14">
        <f>IF(AB93&gt;0, VLOOKUP(B93,Model!$A$40:$B$60, 2), 0)</f>
        <v>300</v>
      </c>
      <c r="G93" s="13">
        <f>IF(AB93&gt;0, VLOOKUP(B93,Model!$A$39:$C$58, 3), 0)</f>
        <v>0</v>
      </c>
      <c r="H93" s="13">
        <f t="shared" si="20"/>
        <v>0</v>
      </c>
      <c r="I93" s="46">
        <f>Model!$B$21*EXP((-0.029*9.81*F93)/(8.31*(273+J93)))</f>
        <v>100357.4491247143</v>
      </c>
      <c r="J93" s="13">
        <f>IF(Model!$B$31="Summer",  IF(F93&lt;=2000,  Model!$B$20-Model!$B$35*F93/1000,  IF(F93&lt;Model!$B$36,  Model!$B$33-6.5*F93/1000,  Model!$B$38)),     IF(F93&lt;=2000,  Model!$B$20-Model!$B$35*F93/1000,  IF(F93&lt;Model!$B$36,  Model!$B$33-5.4*F93/1000,   Model!$B$38)))</f>
        <v>-19.088750000000001</v>
      </c>
      <c r="K93" s="13">
        <f t="shared" si="21"/>
        <v>253.91125</v>
      </c>
      <c r="L93" s="46">
        <f>IF(AB92-AA92*(B93-B92)&gt;0, L92-Y92*(B93-B92)*3600-AD93*Model!$B$16, 0)</f>
        <v>1442.4688750576574</v>
      </c>
      <c r="M93" s="57">
        <f t="shared" si="22"/>
        <v>72.537171506998448</v>
      </c>
      <c r="N93" s="57">
        <f>Model!$B$13*I93*K93/(Model!$B$13*I93-L93*287*K93)</f>
        <v>345.53717150699845</v>
      </c>
      <c r="O93" s="57">
        <f t="shared" si="23"/>
        <v>299.72421075349922</v>
      </c>
      <c r="P93" s="57">
        <f t="shared" si="24"/>
        <v>26.724210753499221</v>
      </c>
      <c r="Q93" s="63">
        <f t="shared" si="25"/>
        <v>2.5897418963498446E-2</v>
      </c>
      <c r="R93" s="17">
        <f t="shared" si="26"/>
        <v>1.6379317918363917E-5</v>
      </c>
      <c r="S93" s="46">
        <f>0.37*Model!$B$10*(Q93^2*(N93-K93)*I93/(R93*O93^2))^0.33333*(N93-K93)</f>
        <v>660493.73257822078</v>
      </c>
      <c r="T93" s="51">
        <f>Model!$B$32+(90-Model!$B$6)*SIN(RADIANS(-15*(E93+6)))</f>
        <v>-1.8484932912931162</v>
      </c>
      <c r="U93" s="46">
        <f t="shared" si="27"/>
        <v>0</v>
      </c>
      <c r="V93" s="51">
        <f t="shared" si="28"/>
        <v>99999</v>
      </c>
      <c r="W93" s="46">
        <f t="shared" si="29"/>
        <v>0</v>
      </c>
      <c r="X93" s="46">
        <f>0.3*W93*Model!$B$9</f>
        <v>0</v>
      </c>
      <c r="Y93" s="17">
        <f>(S93-X93)/Model!$B$11</f>
        <v>1.4169124371516052E-2</v>
      </c>
      <c r="Z93" s="46">
        <f t="shared" si="30"/>
        <v>0</v>
      </c>
      <c r="AA93" s="57">
        <f>Y93/Model!$B$12*3600</f>
        <v>91.738406973531383</v>
      </c>
      <c r="AB93" s="51">
        <f t="shared" si="35"/>
        <v>1261.5779417430106</v>
      </c>
      <c r="AC93" s="51">
        <f t="shared" si="36"/>
        <v>538.42205825698943</v>
      </c>
      <c r="AD93" s="13">
        <f>IF(AE93=0, Model!$B$19, 0 )</f>
        <v>0</v>
      </c>
      <c r="AE93" s="51">
        <f>IF(AE92+AB92-AB93&lt;Model!$B$19*Model!$B$18, AE92+AB92-AB93,  0)</f>
        <v>84.934133064102753</v>
      </c>
      <c r="AF93" s="13">
        <f t="shared" si="31"/>
        <v>4.5499999999999918</v>
      </c>
      <c r="AG93" s="50">
        <f t="shared" si="32"/>
        <v>0</v>
      </c>
    </row>
    <row r="94" spans="2:33" x14ac:dyDescent="0.25">
      <c r="B94" s="15">
        <f t="shared" si="33"/>
        <v>4.5999999999999917</v>
      </c>
      <c r="C94" s="15">
        <f>B94+Model!$B$4</f>
        <v>6.5999999999999917</v>
      </c>
      <c r="D94" s="15">
        <f t="shared" si="34"/>
        <v>1</v>
      </c>
      <c r="E94" s="15">
        <f t="shared" si="19"/>
        <v>6.5999999999999917</v>
      </c>
      <c r="F94" s="16">
        <f>IF(AB94&gt;0, VLOOKUP(B94,Model!$A$40:$B$60, 2), 0)</f>
        <v>300</v>
      </c>
      <c r="G94" s="15">
        <f>IF(AB94&gt;0, VLOOKUP(B94,Model!$A$39:$C$58, 3), 0)</f>
        <v>0</v>
      </c>
      <c r="H94" s="15">
        <f t="shared" si="20"/>
        <v>0</v>
      </c>
      <c r="I94" s="45">
        <f>Model!$B$21*EXP((-0.029*9.81*F94)/(8.31*(273+J94)))</f>
        <v>100357.4491247143</v>
      </c>
      <c r="J94" s="15">
        <f>IF(Model!$B$31="Summer",  IF(F94&lt;=2000,  Model!$B$20-Model!$B$35*F94/1000,  IF(F94&lt;Model!$B$36,  Model!$B$33-6.5*F94/1000,  Model!$B$38)),     IF(F94&lt;=2000,  Model!$B$20-Model!$B$35*F94/1000,  IF(F94&lt;Model!$B$36,  Model!$B$33-5.4*F94/1000,   Model!$B$38)))</f>
        <v>-19.088750000000001</v>
      </c>
      <c r="K94" s="15">
        <f t="shared" si="21"/>
        <v>253.91125</v>
      </c>
      <c r="L94" s="45">
        <f>IF(AB93-AA93*(B94-B93)&gt;0, L93-Y93*(B94-B93)*3600-AD94*Model!$B$16, 0)</f>
        <v>1439.9184326707846</v>
      </c>
      <c r="M94" s="56">
        <f t="shared" si="22"/>
        <v>72.316846777746434</v>
      </c>
      <c r="N94" s="56">
        <f>Model!$B$13*I94*K94/(Model!$B$13*I94-L94*287*K94)</f>
        <v>345.31684677774643</v>
      </c>
      <c r="O94" s="56">
        <f t="shared" si="23"/>
        <v>299.61404838887324</v>
      </c>
      <c r="P94" s="56">
        <f t="shared" si="24"/>
        <v>26.614048388873215</v>
      </c>
      <c r="Q94" s="62">
        <f t="shared" si="25"/>
        <v>2.588959743561E-2</v>
      </c>
      <c r="R94" s="33">
        <f t="shared" si="26"/>
        <v>1.6367861032442818E-5</v>
      </c>
      <c r="S94" s="45">
        <f>0.37*Model!$B$10*(Q94^2*(N94-K94)*I94/(R94*O94^2))^0.33333*(N94-K94)</f>
        <v>658559.29899992258</v>
      </c>
      <c r="T94" s="50">
        <f>Model!$B$32+(90-Model!$B$6)*SIN(RADIANS(-15*(E94+6)))</f>
        <v>-1.3955287845763245</v>
      </c>
      <c r="U94" s="45">
        <f t="shared" si="27"/>
        <v>0</v>
      </c>
      <c r="V94" s="50">
        <f t="shared" si="28"/>
        <v>99999</v>
      </c>
      <c r="W94" s="45">
        <f t="shared" si="29"/>
        <v>0</v>
      </c>
      <c r="X94" s="45">
        <f>0.3*W94*Model!$B$9</f>
        <v>0</v>
      </c>
      <c r="Y94" s="33">
        <f>(S94-X94)/Model!$B$11</f>
        <v>1.4127626279093052E-2</v>
      </c>
      <c r="Z94" s="45">
        <f t="shared" si="30"/>
        <v>0</v>
      </c>
      <c r="AA94" s="56">
        <f>Y94/Model!$B$12*3600</f>
        <v>91.469726369740542</v>
      </c>
      <c r="AB94" s="50">
        <f t="shared" si="35"/>
        <v>1256.991021394334</v>
      </c>
      <c r="AC94" s="50">
        <f t="shared" si="36"/>
        <v>543.00897860566602</v>
      </c>
      <c r="AD94" s="15">
        <f>IF(AE94=0, Model!$B$19, 0 )</f>
        <v>0</v>
      </c>
      <c r="AE94" s="50">
        <f>IF(AE93+AB93-AB94&lt;Model!$B$19*Model!$B$18, AE93+AB93-AB94,  0)</f>
        <v>89.521053412779338</v>
      </c>
      <c r="AF94" s="15">
        <f t="shared" si="31"/>
        <v>4.5999999999999917</v>
      </c>
      <c r="AG94" s="50">
        <f t="shared" si="32"/>
        <v>0</v>
      </c>
    </row>
    <row r="95" spans="2:33" x14ac:dyDescent="0.25">
      <c r="B95" s="13">
        <f t="shared" si="33"/>
        <v>4.6499999999999915</v>
      </c>
      <c r="C95" s="13">
        <f>B95+Model!$B$4</f>
        <v>6.6499999999999915</v>
      </c>
      <c r="D95" s="13">
        <f t="shared" si="34"/>
        <v>1</v>
      </c>
      <c r="E95" s="13">
        <f t="shared" si="19"/>
        <v>6.6499999999999915</v>
      </c>
      <c r="F95" s="14">
        <f>IF(AB95&gt;0, VLOOKUP(B95,Model!$A$40:$B$60, 2), 0)</f>
        <v>300</v>
      </c>
      <c r="G95" s="13">
        <f>IF(AB95&gt;0, VLOOKUP(B95,Model!$A$39:$C$58, 3), 0)</f>
        <v>0</v>
      </c>
      <c r="H95" s="13">
        <f t="shared" si="20"/>
        <v>0</v>
      </c>
      <c r="I95" s="46">
        <f>Model!$B$21*EXP((-0.029*9.81*F95)/(8.31*(273+J95)))</f>
        <v>100357.4491247143</v>
      </c>
      <c r="J95" s="13">
        <f>IF(Model!$B$31="Summer",  IF(F95&lt;=2000,  Model!$B$20-Model!$B$35*F95/1000,  IF(F95&lt;Model!$B$36,  Model!$B$33-6.5*F95/1000,  Model!$B$38)),     IF(F95&lt;=2000,  Model!$B$20-Model!$B$35*F95/1000,  IF(F95&lt;Model!$B$36,  Model!$B$33-5.4*F95/1000,   Model!$B$38)))</f>
        <v>-19.088750000000001</v>
      </c>
      <c r="K95" s="13">
        <f t="shared" si="21"/>
        <v>253.91125</v>
      </c>
      <c r="L95" s="46">
        <f>IF(AB94-AA94*(B95-B94)&gt;0, L94-Y94*(B95-B94)*3600-AD95*Model!$B$16, 0)</f>
        <v>1437.3754599405479</v>
      </c>
      <c r="M95" s="57">
        <f t="shared" si="22"/>
        <v>72.097446888995535</v>
      </c>
      <c r="N95" s="57">
        <f>Model!$B$13*I95*K95/(Model!$B$13*I95-L95*287*K95)</f>
        <v>345.09744688899553</v>
      </c>
      <c r="O95" s="57">
        <f t="shared" si="23"/>
        <v>299.50434844449774</v>
      </c>
      <c r="P95" s="57">
        <f t="shared" si="24"/>
        <v>26.504348444497765</v>
      </c>
      <c r="Q95" s="63">
        <f t="shared" si="25"/>
        <v>2.588180873955934E-2</v>
      </c>
      <c r="R95" s="17">
        <f t="shared" si="26"/>
        <v>1.6356452238227763E-5</v>
      </c>
      <c r="S95" s="46">
        <f>0.37*Model!$B$10*(Q95^2*(N95-K95)*I95/(R95*O95^2))^0.33333*(N95-K95)</f>
        <v>656633.68624375656</v>
      </c>
      <c r="T95" s="51">
        <f>Model!$B$32+(90-Model!$B$6)*SIN(RADIANS(-15*(E95+6)))</f>
        <v>-0.94350242626852499</v>
      </c>
      <c r="U95" s="46">
        <f t="shared" si="27"/>
        <v>0</v>
      </c>
      <c r="V95" s="51">
        <f t="shared" si="28"/>
        <v>99999</v>
      </c>
      <c r="W95" s="46">
        <f t="shared" si="29"/>
        <v>0</v>
      </c>
      <c r="X95" s="46">
        <f>0.3*W95*Model!$B$9</f>
        <v>0</v>
      </c>
      <c r="Y95" s="17">
        <f>(S95-X95)/Model!$B$11</f>
        <v>1.4086317413788621E-2</v>
      </c>
      <c r="Z95" s="46">
        <f t="shared" si="30"/>
        <v>0</v>
      </c>
      <c r="AA95" s="57">
        <f>Y95/Model!$B$12*3600</f>
        <v>91.202270922420823</v>
      </c>
      <c r="AB95" s="51">
        <f t="shared" si="35"/>
        <v>1252.4175350758469</v>
      </c>
      <c r="AC95" s="51">
        <f t="shared" si="36"/>
        <v>547.5824649241531</v>
      </c>
      <c r="AD95" s="13">
        <f>IF(AE95=0, Model!$B$19, 0 )</f>
        <v>0</v>
      </c>
      <c r="AE95" s="51">
        <f>IF(AE94+AB94-AB95&lt;Model!$B$19*Model!$B$18, AE94+AB94-AB95,  0)</f>
        <v>94.094539731266423</v>
      </c>
      <c r="AF95" s="13">
        <f t="shared" si="31"/>
        <v>4.6499999999999915</v>
      </c>
      <c r="AG95" s="50">
        <f t="shared" si="32"/>
        <v>0</v>
      </c>
    </row>
    <row r="96" spans="2:33" x14ac:dyDescent="0.25">
      <c r="B96" s="15">
        <f t="shared" si="33"/>
        <v>4.6999999999999913</v>
      </c>
      <c r="C96" s="15">
        <f>B96+Model!$B$4</f>
        <v>6.6999999999999913</v>
      </c>
      <c r="D96" s="15">
        <f t="shared" si="34"/>
        <v>1</v>
      </c>
      <c r="E96" s="15">
        <f t="shared" si="19"/>
        <v>6.6999999999999913</v>
      </c>
      <c r="F96" s="16">
        <f>IF(AB96&gt;0, VLOOKUP(B96,Model!$A$40:$B$60, 2), 0)</f>
        <v>300</v>
      </c>
      <c r="G96" s="15">
        <f>IF(AB96&gt;0, VLOOKUP(B96,Model!$A$39:$C$58, 3), 0)</f>
        <v>0</v>
      </c>
      <c r="H96" s="15">
        <f t="shared" si="20"/>
        <v>0</v>
      </c>
      <c r="I96" s="45">
        <f>Model!$B$21*EXP((-0.029*9.81*F96)/(8.31*(273+J96)))</f>
        <v>100357.4491247143</v>
      </c>
      <c r="J96" s="15">
        <f>IF(Model!$B$31="Summer",  IF(F96&lt;=2000,  Model!$B$20-Model!$B$35*F96/1000,  IF(F96&lt;Model!$B$36,  Model!$B$33-6.5*F96/1000,  Model!$B$38)),     IF(F96&lt;=2000,  Model!$B$20-Model!$B$35*F96/1000,  IF(F96&lt;Model!$B$36,  Model!$B$33-5.4*F96/1000,   Model!$B$38)))</f>
        <v>-19.088750000000001</v>
      </c>
      <c r="K96" s="15">
        <f t="shared" si="21"/>
        <v>253.91125</v>
      </c>
      <c r="L96" s="45">
        <f>IF(AB95-AA95*(B96-B95)&gt;0, L95-Y95*(B96-B95)*3600-AD96*Model!$B$16, 0)</f>
        <v>1434.8399228060659</v>
      </c>
      <c r="M96" s="56">
        <f t="shared" si="22"/>
        <v>71.878965918353458</v>
      </c>
      <c r="N96" s="56">
        <f>Model!$B$13*I96*K96/(Model!$B$13*I96-L96*287*K96)</f>
        <v>344.87896591835346</v>
      </c>
      <c r="O96" s="56">
        <f t="shared" si="23"/>
        <v>299.3951079591767</v>
      </c>
      <c r="P96" s="56">
        <f t="shared" si="24"/>
        <v>26.395107959176727</v>
      </c>
      <c r="Q96" s="62">
        <f t="shared" si="25"/>
        <v>2.5874052665101545E-2</v>
      </c>
      <c r="R96" s="33">
        <f t="shared" si="26"/>
        <v>1.6345091227754375E-5</v>
      </c>
      <c r="S96" s="45">
        <f>0.37*Model!$B$10*(Q96^2*(N96-K96)*I96/(R96*O96^2))^0.33333*(N96-K96)</f>
        <v>654716.83619601815</v>
      </c>
      <c r="T96" s="50">
        <f>Model!$B$32+(90-Model!$B$6)*SIN(RADIANS(-15*(E96+6)))</f>
        <v>-0.49249166875923844</v>
      </c>
      <c r="U96" s="45">
        <f t="shared" si="27"/>
        <v>0</v>
      </c>
      <c r="V96" s="50">
        <f t="shared" si="28"/>
        <v>99999</v>
      </c>
      <c r="W96" s="45">
        <f t="shared" si="29"/>
        <v>0</v>
      </c>
      <c r="X96" s="45">
        <f>0.3*W96*Model!$B$9</f>
        <v>0</v>
      </c>
      <c r="Y96" s="33">
        <f>(S96-X96)/Model!$B$11</f>
        <v>1.4045196528928846E-2</v>
      </c>
      <c r="Z96" s="45">
        <f t="shared" si="30"/>
        <v>0</v>
      </c>
      <c r="AA96" s="56">
        <f>Y96/Model!$B$12*3600</f>
        <v>90.936032559945772</v>
      </c>
      <c r="AB96" s="50">
        <f t="shared" si="35"/>
        <v>1247.8574215297258</v>
      </c>
      <c r="AC96" s="50">
        <f t="shared" si="36"/>
        <v>552.1425784702742</v>
      </c>
      <c r="AD96" s="15">
        <f>IF(AE96=0, Model!$B$19, 0 )</f>
        <v>0</v>
      </c>
      <c r="AE96" s="50">
        <f>IF(AE95+AB95-AB96&lt;Model!$B$19*Model!$B$18, AE95+AB95-AB96,  0)</f>
        <v>98.654653277387524</v>
      </c>
      <c r="AF96" s="15">
        <f t="shared" si="31"/>
        <v>4.6999999999999913</v>
      </c>
      <c r="AG96" s="50">
        <f t="shared" si="32"/>
        <v>0</v>
      </c>
    </row>
    <row r="97" spans="2:33" x14ac:dyDescent="0.25">
      <c r="B97" s="13">
        <f t="shared" si="33"/>
        <v>4.7499999999999911</v>
      </c>
      <c r="C97" s="13">
        <f>B97+Model!$B$4</f>
        <v>6.7499999999999911</v>
      </c>
      <c r="D97" s="13">
        <f t="shared" si="34"/>
        <v>1</v>
      </c>
      <c r="E97" s="13">
        <f t="shared" si="19"/>
        <v>6.7499999999999911</v>
      </c>
      <c r="F97" s="14">
        <f>IF(AB97&gt;0, VLOOKUP(B97,Model!$A$40:$B$60, 2), 0)</f>
        <v>300</v>
      </c>
      <c r="G97" s="13">
        <f>IF(AB97&gt;0, VLOOKUP(B97,Model!$A$39:$C$58, 3), 0)</f>
        <v>0</v>
      </c>
      <c r="H97" s="13">
        <f t="shared" si="20"/>
        <v>0</v>
      </c>
      <c r="I97" s="46">
        <f>Model!$B$21*EXP((-0.029*9.81*F97)/(8.31*(273+J97)))</f>
        <v>100357.4491247143</v>
      </c>
      <c r="J97" s="13">
        <f>IF(Model!$B$31="Summer",  IF(F97&lt;=2000,  Model!$B$20-Model!$B$35*F97/1000,  IF(F97&lt;Model!$B$36,  Model!$B$33-6.5*F97/1000,  Model!$B$38)),     IF(F97&lt;=2000,  Model!$B$20-Model!$B$35*F97/1000,  IF(F97&lt;Model!$B$36,  Model!$B$33-5.4*F97/1000,   Model!$B$38)))</f>
        <v>-19.088750000000001</v>
      </c>
      <c r="K97" s="13">
        <f t="shared" si="21"/>
        <v>253.91125</v>
      </c>
      <c r="L97" s="46">
        <f>IF(AB96-AA96*(B97-B96)&gt;0, L96-Y96*(B97-B96)*3600-AD97*Model!$B$16, 0)</f>
        <v>1432.3117874308587</v>
      </c>
      <c r="M97" s="57">
        <f t="shared" si="22"/>
        <v>71.66139799541105</v>
      </c>
      <c r="N97" s="57">
        <f>Model!$B$13*I97*K97/(Model!$B$13*I97-L97*287*K97)</f>
        <v>344.66139799541105</v>
      </c>
      <c r="O97" s="57">
        <f t="shared" si="23"/>
        <v>299.28632399770549</v>
      </c>
      <c r="P97" s="57">
        <f t="shared" si="24"/>
        <v>26.286323997705523</v>
      </c>
      <c r="Q97" s="63">
        <f t="shared" si="25"/>
        <v>2.5866329003837091E-2</v>
      </c>
      <c r="R97" s="17">
        <f t="shared" si="26"/>
        <v>1.633377769576137E-5</v>
      </c>
      <c r="S97" s="46">
        <f>0.37*Model!$B$10*(Q97^2*(N97-K97)*I97/(R97*O97^2))^0.33333*(N97-K97)</f>
        <v>652808.69125718367</v>
      </c>
      <c r="T97" s="51">
        <f>Model!$B$32+(90-Model!$B$6)*SIN(RADIANS(-15*(E97+6)))</f>
        <v>-4.2573790419922375E-2</v>
      </c>
      <c r="U97" s="46">
        <f t="shared" si="27"/>
        <v>0</v>
      </c>
      <c r="V97" s="51">
        <f t="shared" si="28"/>
        <v>99999</v>
      </c>
      <c r="W97" s="46">
        <f t="shared" si="29"/>
        <v>0</v>
      </c>
      <c r="X97" s="46">
        <f>0.3*W97*Model!$B$9</f>
        <v>0</v>
      </c>
      <c r="Y97" s="17">
        <f>(S97-X97)/Model!$B$11</f>
        <v>1.4004262388870184E-2</v>
      </c>
      <c r="Z97" s="46">
        <f t="shared" si="30"/>
        <v>0</v>
      </c>
      <c r="AA97" s="57">
        <f>Y97/Model!$B$12*3600</f>
        <v>90.671003282105417</v>
      </c>
      <c r="AB97" s="51">
        <f t="shared" si="35"/>
        <v>1243.3106199017286</v>
      </c>
      <c r="AC97" s="51">
        <f t="shared" si="36"/>
        <v>556.68938009827139</v>
      </c>
      <c r="AD97" s="13">
        <f>IF(AE97=0, Model!$B$19, 0 )</f>
        <v>0</v>
      </c>
      <c r="AE97" s="51">
        <f>IF(AE96+AB96-AB97&lt;Model!$B$19*Model!$B$18, AE96+AB96-AB97,  0)</f>
        <v>103.20145490538471</v>
      </c>
      <c r="AF97" s="13">
        <f t="shared" si="31"/>
        <v>4.7499999999999911</v>
      </c>
      <c r="AG97" s="50">
        <f t="shared" si="32"/>
        <v>0</v>
      </c>
    </row>
    <row r="98" spans="2:33" x14ac:dyDescent="0.25">
      <c r="B98" s="15">
        <f t="shared" si="33"/>
        <v>4.7999999999999909</v>
      </c>
      <c r="C98" s="15">
        <f>B98+Model!$B$4</f>
        <v>6.7999999999999909</v>
      </c>
      <c r="D98" s="15">
        <f t="shared" si="34"/>
        <v>1</v>
      </c>
      <c r="E98" s="15">
        <f t="shared" si="19"/>
        <v>6.7999999999999909</v>
      </c>
      <c r="F98" s="16">
        <f>IF(AB98&gt;0, VLOOKUP(B98,Model!$A$40:$B$60, 2), 0)</f>
        <v>300</v>
      </c>
      <c r="G98" s="15">
        <f>IF(AB98&gt;0, VLOOKUP(B98,Model!$A$39:$C$58, 3), 0)</f>
        <v>0</v>
      </c>
      <c r="H98" s="15">
        <f t="shared" si="20"/>
        <v>0</v>
      </c>
      <c r="I98" s="45">
        <f>Model!$B$21*EXP((-0.029*9.81*F98)/(8.31*(273+J98)))</f>
        <v>100357.4491247143</v>
      </c>
      <c r="J98" s="15">
        <f>IF(Model!$B$31="Summer",  IF(F98&lt;=2000,  Model!$B$20-Model!$B$35*F98/1000,  IF(F98&lt;Model!$B$36,  Model!$B$33-6.5*F98/1000,  Model!$B$38)),     IF(F98&lt;=2000,  Model!$B$20-Model!$B$35*F98/1000,  IF(F98&lt;Model!$B$36,  Model!$B$33-5.4*F98/1000,   Model!$B$38)))</f>
        <v>-19.088750000000001</v>
      </c>
      <c r="K98" s="15">
        <f t="shared" si="21"/>
        <v>253.91125</v>
      </c>
      <c r="L98" s="45">
        <f>IF(AB97-AA97*(B98-B97)&gt;0, L97-Y97*(B98-B97)*3600-AD98*Model!$B$16, 0)</f>
        <v>1429.791020200862</v>
      </c>
      <c r="M98" s="56">
        <f t="shared" si="22"/>
        <v>71.444737301160785</v>
      </c>
      <c r="N98" s="56">
        <f>Model!$B$13*I98*K98/(Model!$B$13*I98-L98*287*K98)</f>
        <v>344.44473730116079</v>
      </c>
      <c r="O98" s="56">
        <f t="shared" si="23"/>
        <v>299.17799365058039</v>
      </c>
      <c r="P98" s="56">
        <f t="shared" si="24"/>
        <v>26.17799365058039</v>
      </c>
      <c r="Q98" s="62">
        <f t="shared" si="25"/>
        <v>2.5858637549191207E-2</v>
      </c>
      <c r="R98" s="33">
        <f t="shared" si="26"/>
        <v>1.6322511339660359E-5</v>
      </c>
      <c r="S98" s="45">
        <f>0.37*Model!$B$10*(Q98^2*(N98-K98)*I98/(R98*O98^2))^0.33333*(N98-K98)</f>
        <v>650909.19433614996</v>
      </c>
      <c r="T98" s="50">
        <f>Model!$B$32+(90-Model!$B$6)*SIN(RADIANS(-15*(E98+6)))</f>
        <v>0.40617411763716849</v>
      </c>
      <c r="U98" s="45">
        <f t="shared" si="27"/>
        <v>0.40617411763716849</v>
      </c>
      <c r="V98" s="50">
        <f t="shared" si="28"/>
        <v>141.06329509385935</v>
      </c>
      <c r="W98" s="45">
        <f t="shared" si="29"/>
        <v>0</v>
      </c>
      <c r="X98" s="45">
        <f>0.3*W98*Model!$B$9</f>
        <v>0</v>
      </c>
      <c r="Y98" s="33">
        <f>(S98-X98)/Model!$B$11</f>
        <v>1.3963513768875897E-2</v>
      </c>
      <c r="Z98" s="45">
        <f t="shared" si="30"/>
        <v>0</v>
      </c>
      <c r="AA98" s="56">
        <f>Y98/Model!$B$12*3600</f>
        <v>90.407175159306206</v>
      </c>
      <c r="AB98" s="50">
        <f t="shared" si="35"/>
        <v>1238.7770697376234</v>
      </c>
      <c r="AC98" s="50">
        <f t="shared" si="36"/>
        <v>561.22293026237662</v>
      </c>
      <c r="AD98" s="15">
        <f>IF(AE98=0, Model!$B$19, 0 )</f>
        <v>0</v>
      </c>
      <c r="AE98" s="50">
        <f>IF(AE97+AB97-AB98&lt;Model!$B$19*Model!$B$18, AE97+AB97-AB98,  0)</f>
        <v>107.73500506948994</v>
      </c>
      <c r="AF98" s="15">
        <f t="shared" si="31"/>
        <v>4.7999999999999909</v>
      </c>
      <c r="AG98" s="50">
        <f t="shared" si="32"/>
        <v>0</v>
      </c>
    </row>
    <row r="99" spans="2:33" x14ac:dyDescent="0.25">
      <c r="B99" s="13">
        <f t="shared" si="33"/>
        <v>4.8499999999999908</v>
      </c>
      <c r="C99" s="13">
        <f>B99+Model!$B$4</f>
        <v>6.8499999999999908</v>
      </c>
      <c r="D99" s="13">
        <f t="shared" si="34"/>
        <v>1</v>
      </c>
      <c r="E99" s="13">
        <f t="shared" ref="E99:E162" si="37">C99-24*(D99-1)</f>
        <v>6.8499999999999908</v>
      </c>
      <c r="F99" s="14">
        <f>IF(AB99&gt;0, VLOOKUP(B99,Model!$A$40:$B$60, 2), 0)</f>
        <v>300</v>
      </c>
      <c r="G99" s="13">
        <f>IF(AB99&gt;0, VLOOKUP(B99,Model!$A$39:$C$58, 3), 0)</f>
        <v>0</v>
      </c>
      <c r="H99" s="13">
        <f t="shared" si="20"/>
        <v>0</v>
      </c>
      <c r="I99" s="46">
        <f>Model!$B$21*EXP((-0.029*9.81*F99)/(8.31*(273+J99)))</f>
        <v>100357.4491247143</v>
      </c>
      <c r="J99" s="13">
        <f>IF(Model!$B$31="Summer",  IF(F99&lt;=2000,  Model!$B$20-Model!$B$35*F99/1000,  IF(F99&lt;Model!$B$36,  Model!$B$33-6.5*F99/1000,  Model!$B$38)),     IF(F99&lt;=2000,  Model!$B$20-Model!$B$35*F99/1000,  IF(F99&lt;Model!$B$36,  Model!$B$33-5.4*F99/1000,   Model!$B$38)))</f>
        <v>-19.088750000000001</v>
      </c>
      <c r="K99" s="13">
        <f t="shared" si="21"/>
        <v>253.91125</v>
      </c>
      <c r="L99" s="46">
        <f>IF(AB98-AA98*(B99-B98)&gt;0, L98-Y98*(B99-B98)*3600-AD99*Model!$B$16, 0)</f>
        <v>1427.2775877224644</v>
      </c>
      <c r="M99" s="57">
        <f t="shared" si="22"/>
        <v>71.228978067422247</v>
      </c>
      <c r="N99" s="57">
        <f>Model!$B$13*I99*K99/(Model!$B$13*I99-L99*287*K99)</f>
        <v>344.22897806742225</v>
      </c>
      <c r="O99" s="57">
        <f t="shared" si="23"/>
        <v>299.07011403371109</v>
      </c>
      <c r="P99" s="57">
        <f t="shared" si="24"/>
        <v>26.070114033711121</v>
      </c>
      <c r="Q99" s="63">
        <f t="shared" si="25"/>
        <v>2.5850978096393487E-2</v>
      </c>
      <c r="R99" s="17">
        <f t="shared" si="26"/>
        <v>1.6311291859505954E-5</v>
      </c>
      <c r="S99" s="46">
        <f>0.37*Model!$B$10*(Q99^2*(N99-K99)*I99/(R99*O99^2))^0.33333*(N99-K99)</f>
        <v>649018.28884454723</v>
      </c>
      <c r="T99" s="51">
        <f>Model!$B$32+(90-Model!$B$6)*SIN(RADIANS(-15*(E99+6)))</f>
        <v>0.85367516476813154</v>
      </c>
      <c r="U99" s="46">
        <f t="shared" si="27"/>
        <v>0.85367516476813154</v>
      </c>
      <c r="V99" s="51">
        <f t="shared" si="28"/>
        <v>67.119089102472259</v>
      </c>
      <c r="W99" s="46">
        <f t="shared" si="29"/>
        <v>0</v>
      </c>
      <c r="X99" s="46">
        <f>0.3*W99*Model!$B$9</f>
        <v>0</v>
      </c>
      <c r="Y99" s="17">
        <f>(S99-X99)/Model!$B$11</f>
        <v>1.3922949454994041E-2</v>
      </c>
      <c r="Z99" s="46">
        <f t="shared" si="30"/>
        <v>0</v>
      </c>
      <c r="AA99" s="57">
        <f>Y99/Model!$B$12*3600</f>
        <v>90.14454033178103</v>
      </c>
      <c r="AB99" s="51">
        <f t="shared" si="35"/>
        <v>1234.256710979658</v>
      </c>
      <c r="AC99" s="51">
        <f t="shared" si="36"/>
        <v>565.74328902034199</v>
      </c>
      <c r="AD99" s="13">
        <f>IF(AE99=0, Model!$B$19, 0 )</f>
        <v>0</v>
      </c>
      <c r="AE99" s="51">
        <f>IF(AE98+AB98-AB99&lt;Model!$B$19*Model!$B$18, AE98+AB98-AB99,  0)</f>
        <v>112.25536382745531</v>
      </c>
      <c r="AF99" s="13">
        <f t="shared" si="31"/>
        <v>4.8499999999999908</v>
      </c>
      <c r="AG99" s="50">
        <f t="shared" si="32"/>
        <v>0</v>
      </c>
    </row>
    <row r="100" spans="2:33" x14ac:dyDescent="0.25">
      <c r="B100" s="15">
        <f t="shared" si="33"/>
        <v>4.8999999999999906</v>
      </c>
      <c r="C100" s="15">
        <f>B100+Model!$B$4</f>
        <v>6.8999999999999906</v>
      </c>
      <c r="D100" s="15">
        <f t="shared" si="34"/>
        <v>1</v>
      </c>
      <c r="E100" s="15">
        <f t="shared" si="37"/>
        <v>6.8999999999999906</v>
      </c>
      <c r="F100" s="16">
        <f>IF(AB100&gt;0, VLOOKUP(B100,Model!$A$40:$B$60, 2), 0)</f>
        <v>300</v>
      </c>
      <c r="G100" s="15">
        <f>IF(AB100&gt;0, VLOOKUP(B100,Model!$A$39:$C$58, 3), 0)</f>
        <v>0</v>
      </c>
      <c r="H100" s="15">
        <f t="shared" si="20"/>
        <v>0</v>
      </c>
      <c r="I100" s="45">
        <f>Model!$B$21*EXP((-0.029*9.81*F100)/(8.31*(273+J100)))</f>
        <v>100357.4491247143</v>
      </c>
      <c r="J100" s="15">
        <f>IF(Model!$B$31="Summer",  IF(F100&lt;=2000,  Model!$B$20-Model!$B$35*F100/1000,  IF(F100&lt;Model!$B$36,  Model!$B$33-6.5*F100/1000,  Model!$B$38)),     IF(F100&lt;=2000,  Model!$B$20-Model!$B$35*F100/1000,  IF(F100&lt;Model!$B$36,  Model!$B$33-5.4*F100/1000,   Model!$B$38)))</f>
        <v>-19.088750000000001</v>
      </c>
      <c r="K100" s="15">
        <f t="shared" si="21"/>
        <v>253.91125</v>
      </c>
      <c r="L100" s="45">
        <f>IF(AB99-AA99*(B100-B99)&gt;0, L99-Y99*(B100-B99)*3600-AD100*Model!$B$16, 0)</f>
        <v>1424.7714568205656</v>
      </c>
      <c r="M100" s="56">
        <f t="shared" si="22"/>
        <v>71.014114576276256</v>
      </c>
      <c r="N100" s="56">
        <f>Model!$B$13*I100*K100/(Model!$B$13*I100-L100*287*K100)</f>
        <v>344.01411457627626</v>
      </c>
      <c r="O100" s="56">
        <f t="shared" si="23"/>
        <v>298.96268228813813</v>
      </c>
      <c r="P100" s="56">
        <f t="shared" si="24"/>
        <v>25.962682288138126</v>
      </c>
      <c r="Q100" s="62">
        <f t="shared" si="25"/>
        <v>2.5843350442457808E-2</v>
      </c>
      <c r="R100" s="33">
        <f t="shared" si="26"/>
        <v>1.6300118957966365E-5</v>
      </c>
      <c r="S100" s="45">
        <f>0.37*Model!$B$10*(Q100^2*(N100-K100)*I100/(R100*O100^2))^0.33333*(N100-K100)</f>
        <v>647135.9186911335</v>
      </c>
      <c r="T100" s="50">
        <f>Model!$B$32+(90-Model!$B$6)*SIN(RADIANS(-15*(E100+6)))</f>
        <v>1.2998526739723015</v>
      </c>
      <c r="U100" s="45">
        <f t="shared" si="27"/>
        <v>1.2998526739723015</v>
      </c>
      <c r="V100" s="50">
        <f t="shared" si="28"/>
        <v>44.082453228843519</v>
      </c>
      <c r="W100" s="45">
        <f t="shared" si="29"/>
        <v>0</v>
      </c>
      <c r="X100" s="45">
        <f>0.3*W100*Model!$B$9</f>
        <v>0</v>
      </c>
      <c r="Y100" s="33">
        <f>(S100-X100)/Model!$B$11</f>
        <v>1.3882568243937219E-2</v>
      </c>
      <c r="Z100" s="45">
        <f t="shared" si="30"/>
        <v>0</v>
      </c>
      <c r="AA100" s="56">
        <f>Y100/Model!$B$12*3600</f>
        <v>89.883091008810737</v>
      </c>
      <c r="AB100" s="50">
        <f t="shared" si="35"/>
        <v>1229.749483963069</v>
      </c>
      <c r="AC100" s="50">
        <f t="shared" si="36"/>
        <v>570.250516036931</v>
      </c>
      <c r="AD100" s="15">
        <f>IF(AE100=0, Model!$B$19, 0 )</f>
        <v>0</v>
      </c>
      <c r="AE100" s="50">
        <f>IF(AE99+AB99-AB100&lt;Model!$B$19*Model!$B$18, AE99+AB99-AB100,  0)</f>
        <v>116.76259084404433</v>
      </c>
      <c r="AF100" s="15">
        <f t="shared" si="31"/>
        <v>4.8999999999999906</v>
      </c>
      <c r="AG100" s="50">
        <f t="shared" si="32"/>
        <v>0</v>
      </c>
    </row>
    <row r="101" spans="2:33" x14ac:dyDescent="0.25">
      <c r="B101" s="13">
        <f t="shared" si="33"/>
        <v>4.9499999999999904</v>
      </c>
      <c r="C101" s="13">
        <f>B101+Model!$B$4</f>
        <v>6.9499999999999904</v>
      </c>
      <c r="D101" s="13">
        <f t="shared" si="34"/>
        <v>1</v>
      </c>
      <c r="E101" s="13">
        <f t="shared" si="37"/>
        <v>6.9499999999999904</v>
      </c>
      <c r="F101" s="14">
        <f>IF(AB101&gt;0, VLOOKUP(B101,Model!$A$40:$B$60, 2), 0)</f>
        <v>300</v>
      </c>
      <c r="G101" s="13">
        <f>IF(AB101&gt;0, VLOOKUP(B101,Model!$A$39:$C$58, 3), 0)</f>
        <v>0</v>
      </c>
      <c r="H101" s="13">
        <f t="shared" si="20"/>
        <v>0</v>
      </c>
      <c r="I101" s="46">
        <f>Model!$B$21*EXP((-0.029*9.81*F101)/(8.31*(273+J101)))</f>
        <v>100357.4491247143</v>
      </c>
      <c r="J101" s="13">
        <f>IF(Model!$B$31="Summer",  IF(F101&lt;=2000,  Model!$B$20-Model!$B$35*F101/1000,  IF(F101&lt;Model!$B$36,  Model!$B$33-6.5*F101/1000,  Model!$B$38)),     IF(F101&lt;=2000,  Model!$B$20-Model!$B$35*F101/1000,  IF(F101&lt;Model!$B$36,  Model!$B$33-5.4*F101/1000,   Model!$B$38)))</f>
        <v>-19.088750000000001</v>
      </c>
      <c r="K101" s="13">
        <f t="shared" si="21"/>
        <v>253.91125</v>
      </c>
      <c r="L101" s="46">
        <f>IF(AB100-AA100*(B101-B100)&gt;0, L100-Y100*(B101-B100)*3600-AD101*Model!$B$16, 0)</f>
        <v>1422.2725945366569</v>
      </c>
      <c r="M101" s="57">
        <f t="shared" si="22"/>
        <v>70.80014115950604</v>
      </c>
      <c r="N101" s="57">
        <f>Model!$B$13*I101*K101/(Model!$B$13*I101-L101*287*K101)</f>
        <v>343.80014115950604</v>
      </c>
      <c r="O101" s="57">
        <f t="shared" si="23"/>
        <v>298.85569557975305</v>
      </c>
      <c r="P101" s="57">
        <f t="shared" si="24"/>
        <v>25.855695579753018</v>
      </c>
      <c r="Q101" s="63">
        <f t="shared" si="25"/>
        <v>2.5835754386162466E-2</v>
      </c>
      <c r="R101" s="17">
        <f t="shared" si="26"/>
        <v>1.6288992340294315E-5</v>
      </c>
      <c r="S101" s="46">
        <f>0.37*Model!$B$10*(Q101^2*(N101-K101)*I101/(R101*O101^2))^0.33333*(N101-K101)</f>
        <v>645262.02827626071</v>
      </c>
      <c r="T101" s="51">
        <f>Model!$B$32+(90-Model!$B$6)*SIN(RADIANS(-15*(E101+6)))</f>
        <v>1.7446301950303411</v>
      </c>
      <c r="U101" s="46">
        <f t="shared" si="27"/>
        <v>1.7446301950303411</v>
      </c>
      <c r="V101" s="51">
        <f t="shared" si="28"/>
        <v>32.846292869945081</v>
      </c>
      <c r="W101" s="46">
        <f t="shared" si="29"/>
        <v>0</v>
      </c>
      <c r="X101" s="46">
        <f>0.3*W101*Model!$B$9</f>
        <v>0</v>
      </c>
      <c r="Y101" s="17">
        <f>(S101-X101)/Model!$B$11</f>
        <v>1.3842368942963867E-2</v>
      </c>
      <c r="Z101" s="46">
        <f t="shared" si="30"/>
        <v>0</v>
      </c>
      <c r="AA101" s="57">
        <f>Y101/Model!$B$12*3600</f>
        <v>89.622819467955438</v>
      </c>
      <c r="AB101" s="51">
        <f t="shared" si="35"/>
        <v>1225.2553294126285</v>
      </c>
      <c r="AC101" s="51">
        <f t="shared" si="36"/>
        <v>574.7446705873715</v>
      </c>
      <c r="AD101" s="13">
        <f>IF(AE101=0, Model!$B$19, 0 )</f>
        <v>0</v>
      </c>
      <c r="AE101" s="51">
        <f>IF(AE100+AB100-AB101&lt;Model!$B$19*Model!$B$18, AE100+AB100-AB101,  0)</f>
        <v>121.25674539448482</v>
      </c>
      <c r="AF101" s="13">
        <f t="shared" si="31"/>
        <v>4.9499999999999904</v>
      </c>
      <c r="AG101" s="50">
        <f t="shared" si="32"/>
        <v>0</v>
      </c>
    </row>
    <row r="102" spans="2:33" x14ac:dyDescent="0.25">
      <c r="B102" s="15">
        <f t="shared" si="33"/>
        <v>4.9999999999999902</v>
      </c>
      <c r="C102" s="15">
        <f>B102+Model!$B$4</f>
        <v>6.9999999999999902</v>
      </c>
      <c r="D102" s="15">
        <f t="shared" si="34"/>
        <v>1</v>
      </c>
      <c r="E102" s="15">
        <f t="shared" si="37"/>
        <v>6.9999999999999902</v>
      </c>
      <c r="F102" s="16">
        <f>IF(AB102&gt;0, VLOOKUP(B102,Model!$A$40:$B$60, 2), 0)</f>
        <v>300</v>
      </c>
      <c r="G102" s="15">
        <f>IF(AB102&gt;0, VLOOKUP(B102,Model!$A$39:$C$58, 3), 0)</f>
        <v>0</v>
      </c>
      <c r="H102" s="15">
        <f t="shared" si="20"/>
        <v>0</v>
      </c>
      <c r="I102" s="45">
        <f>Model!$B$21*EXP((-0.029*9.81*F102)/(8.31*(273+J102)))</f>
        <v>100357.4491247143</v>
      </c>
      <c r="J102" s="15">
        <f>IF(Model!$B$31="Summer",  IF(F102&lt;=2000,  Model!$B$20-Model!$B$35*F102/1000,  IF(F102&lt;Model!$B$36,  Model!$B$33-6.5*F102/1000,  Model!$B$38)),     IF(F102&lt;=2000,  Model!$B$20-Model!$B$35*F102/1000,  IF(F102&lt;Model!$B$36,  Model!$B$33-5.4*F102/1000,   Model!$B$38)))</f>
        <v>-19.088750000000001</v>
      </c>
      <c r="K102" s="15">
        <f t="shared" si="21"/>
        <v>253.91125</v>
      </c>
      <c r="L102" s="45">
        <f>IF(AB101-AA101*(B102-B101)&gt;0, L101-Y101*(B102-B101)*3600-AD102*Model!$B$16, 0)</f>
        <v>1419.7809681269234</v>
      </c>
      <c r="M102" s="56">
        <f t="shared" si="22"/>
        <v>70.587052198046649</v>
      </c>
      <c r="N102" s="56">
        <f>Model!$B$13*I102*K102/(Model!$B$13*I102-L102*287*K102)</f>
        <v>343.58705219804665</v>
      </c>
      <c r="O102" s="56">
        <f t="shared" si="23"/>
        <v>298.74915109902332</v>
      </c>
      <c r="P102" s="56">
        <f t="shared" si="24"/>
        <v>25.749151099023322</v>
      </c>
      <c r="Q102" s="62">
        <f t="shared" si="25"/>
        <v>2.5828189728030658E-2</v>
      </c>
      <c r="R102" s="33">
        <f t="shared" si="26"/>
        <v>1.6277911714298424E-5</v>
      </c>
      <c r="S102" s="45">
        <f>0.37*Model!$B$10*(Q102^2*(N102-K102)*I102/(R102*O102^2))^0.33333*(N102-K102)</f>
        <v>643396.56248642248</v>
      </c>
      <c r="T102" s="50">
        <f>Model!$B$32+(90-Model!$B$6)*SIN(RADIANS(-15*(E102+6)))</f>
        <v>2.1879315176038006</v>
      </c>
      <c r="U102" s="45">
        <f t="shared" si="27"/>
        <v>2.1879315176038006</v>
      </c>
      <c r="V102" s="50">
        <f t="shared" si="28"/>
        <v>26.193556045430977</v>
      </c>
      <c r="W102" s="45">
        <f t="shared" si="29"/>
        <v>0</v>
      </c>
      <c r="X102" s="45">
        <f>0.3*W102*Model!$B$9</f>
        <v>0</v>
      </c>
      <c r="Y102" s="33">
        <f>(S102-X102)/Model!$B$11</f>
        <v>1.3802350369761289E-2</v>
      </c>
      <c r="Z102" s="45">
        <f t="shared" si="30"/>
        <v>0</v>
      </c>
      <c r="AA102" s="56">
        <f>Y102/Model!$B$12*3600</f>
        <v>89.36371805429728</v>
      </c>
      <c r="AB102" s="50">
        <f t="shared" si="35"/>
        <v>1220.7741884392308</v>
      </c>
      <c r="AC102" s="50">
        <f t="shared" si="36"/>
        <v>579.22581156076922</v>
      </c>
      <c r="AD102" s="15">
        <f>IF(AE102=0, Model!$B$19, 0 )</f>
        <v>0</v>
      </c>
      <c r="AE102" s="50">
        <f>IF(AE101+AB101-AB102&lt;Model!$B$19*Model!$B$18, AE101+AB101-AB102,  0)</f>
        <v>125.73788636788254</v>
      </c>
      <c r="AF102" s="15">
        <f t="shared" si="31"/>
        <v>4.9999999999999902</v>
      </c>
      <c r="AG102" s="50">
        <f t="shared" si="32"/>
        <v>0</v>
      </c>
    </row>
    <row r="103" spans="2:33" x14ac:dyDescent="0.25">
      <c r="B103" s="13">
        <f t="shared" si="33"/>
        <v>5.0499999999999901</v>
      </c>
      <c r="C103" s="13">
        <f>B103+Model!$B$4</f>
        <v>7.0499999999999901</v>
      </c>
      <c r="D103" s="13">
        <f t="shared" si="34"/>
        <v>1</v>
      </c>
      <c r="E103" s="13">
        <f t="shared" si="37"/>
        <v>7.0499999999999901</v>
      </c>
      <c r="F103" s="14">
        <f>IF(AB103&gt;0, VLOOKUP(B103,Model!$A$40:$B$60, 2), 0)</f>
        <v>300</v>
      </c>
      <c r="G103" s="13">
        <f>IF(AB103&gt;0, VLOOKUP(B103,Model!$A$39:$C$58, 3), 0)</f>
        <v>0</v>
      </c>
      <c r="H103" s="13">
        <f t="shared" si="20"/>
        <v>0</v>
      </c>
      <c r="I103" s="46">
        <f>Model!$B$21*EXP((-0.029*9.81*F103)/(8.31*(273+J103)))</f>
        <v>100357.4491247143</v>
      </c>
      <c r="J103" s="13">
        <f>IF(Model!$B$31="Summer",  IF(F103&lt;=2000,  Model!$B$20-Model!$B$35*F103/1000,  IF(F103&lt;Model!$B$36,  Model!$B$33-6.5*F103/1000,  Model!$B$38)),     IF(F103&lt;=2000,  Model!$B$20-Model!$B$35*F103/1000,  IF(F103&lt;Model!$B$36,  Model!$B$33-5.4*F103/1000,   Model!$B$38)))</f>
        <v>-19.088750000000001</v>
      </c>
      <c r="K103" s="13">
        <f t="shared" si="21"/>
        <v>253.91125</v>
      </c>
      <c r="L103" s="46">
        <f>IF(AB102-AA102*(B103-B102)&gt;0, L102-Y102*(B103-B102)*3600-AD103*Model!$B$16, 0)</f>
        <v>1417.2965450603665</v>
      </c>
      <c r="M103" s="57">
        <f t="shared" si="22"/>
        <v>70.374842121440963</v>
      </c>
      <c r="N103" s="57">
        <f>Model!$B$13*I103*K103/(Model!$B$13*I103-L103*287*K103)</f>
        <v>343.37484212144096</v>
      </c>
      <c r="O103" s="57">
        <f t="shared" si="23"/>
        <v>298.64304606072051</v>
      </c>
      <c r="P103" s="57">
        <f t="shared" si="24"/>
        <v>25.643046060720479</v>
      </c>
      <c r="Q103" s="63">
        <f t="shared" si="25"/>
        <v>2.5820656270311156E-2</v>
      </c>
      <c r="R103" s="17">
        <f t="shared" si="26"/>
        <v>1.6266876790314929E-5</v>
      </c>
      <c r="S103" s="46">
        <f>0.37*Model!$B$10*(Q103^2*(N103-K103)*I103/(R103*O103^2))^0.33333*(N103-K103)</f>
        <v>641539.4666888651</v>
      </c>
      <c r="T103" s="51">
        <f>Model!$B$32+(90-Model!$B$6)*SIN(RADIANS(-15*(E103+6)))</f>
        <v>2.6296806842931879</v>
      </c>
      <c r="U103" s="46">
        <f t="shared" si="27"/>
        <v>2.6296806842931879</v>
      </c>
      <c r="V103" s="51">
        <f t="shared" si="28"/>
        <v>21.795764162973491</v>
      </c>
      <c r="W103" s="46">
        <f t="shared" si="29"/>
        <v>0</v>
      </c>
      <c r="X103" s="46">
        <f>0.3*W103*Model!$B$9</f>
        <v>0</v>
      </c>
      <c r="Y103" s="17">
        <f>(S103-X103)/Model!$B$11</f>
        <v>1.3762511352330047E-2</v>
      </c>
      <c r="Z103" s="46">
        <f t="shared" si="30"/>
        <v>0</v>
      </c>
      <c r="AA103" s="57">
        <f>Y103/Model!$B$12*3600</f>
        <v>89.105779179691865</v>
      </c>
      <c r="AB103" s="51">
        <f t="shared" si="35"/>
        <v>1216.306002536516</v>
      </c>
      <c r="AC103" s="51">
        <f t="shared" si="36"/>
        <v>583.69399746348404</v>
      </c>
      <c r="AD103" s="13">
        <f>IF(AE103=0, Model!$B$19, 0 )</f>
        <v>0</v>
      </c>
      <c r="AE103" s="51">
        <f>IF(AE102+AB102-AB103&lt;Model!$B$19*Model!$B$18, AE102+AB102-AB103,  0)</f>
        <v>130.20607227059736</v>
      </c>
      <c r="AF103" s="13">
        <f t="shared" si="31"/>
        <v>5.0499999999999901</v>
      </c>
      <c r="AG103" s="50">
        <f t="shared" si="32"/>
        <v>0</v>
      </c>
    </row>
    <row r="104" spans="2:33" x14ac:dyDescent="0.25">
      <c r="B104" s="15">
        <f t="shared" si="33"/>
        <v>5.0999999999999899</v>
      </c>
      <c r="C104" s="15">
        <f>B104+Model!$B$4</f>
        <v>7.0999999999999899</v>
      </c>
      <c r="D104" s="15">
        <f t="shared" si="34"/>
        <v>1</v>
      </c>
      <c r="E104" s="15">
        <f t="shared" si="37"/>
        <v>7.0999999999999899</v>
      </c>
      <c r="F104" s="16">
        <f>IF(AB104&gt;0, VLOOKUP(B104,Model!$A$40:$B$60, 2), 0)</f>
        <v>300</v>
      </c>
      <c r="G104" s="15">
        <f>IF(AB104&gt;0, VLOOKUP(B104,Model!$A$39:$C$58, 3), 0)</f>
        <v>0</v>
      </c>
      <c r="H104" s="15">
        <f t="shared" si="20"/>
        <v>0</v>
      </c>
      <c r="I104" s="45">
        <f>Model!$B$21*EXP((-0.029*9.81*F104)/(8.31*(273+J104)))</f>
        <v>100357.4491247143</v>
      </c>
      <c r="J104" s="15">
        <f>IF(Model!$B$31="Summer",  IF(F104&lt;=2000,  Model!$B$20-Model!$B$35*F104/1000,  IF(F104&lt;Model!$B$36,  Model!$B$33-6.5*F104/1000,  Model!$B$38)),     IF(F104&lt;=2000,  Model!$B$20-Model!$B$35*F104/1000,  IF(F104&lt;Model!$B$36,  Model!$B$33-5.4*F104/1000,   Model!$B$38)))</f>
        <v>-19.088750000000001</v>
      </c>
      <c r="K104" s="15">
        <f t="shared" si="21"/>
        <v>253.91125</v>
      </c>
      <c r="L104" s="45">
        <f>IF(AB103-AA103*(B104-B103)&gt;0, L103-Y103*(B104-B103)*3600-AD104*Model!$B$16, 0)</f>
        <v>1414.8192930169471</v>
      </c>
      <c r="M104" s="56">
        <f t="shared" si="22"/>
        <v>70.163505407303887</v>
      </c>
      <c r="N104" s="56">
        <f>Model!$B$13*I104*K104/(Model!$B$13*I104-L104*287*K104)</f>
        <v>343.16350540730389</v>
      </c>
      <c r="O104" s="56">
        <f t="shared" si="23"/>
        <v>298.53737770365194</v>
      </c>
      <c r="P104" s="56">
        <f t="shared" si="24"/>
        <v>25.537377703651941</v>
      </c>
      <c r="Q104" s="62">
        <f t="shared" si="25"/>
        <v>2.5813153816959287E-2</v>
      </c>
      <c r="R104" s="33">
        <f t="shared" si="26"/>
        <v>1.6255887281179803E-5</v>
      </c>
      <c r="S104" s="45">
        <f>0.37*Model!$B$10*(Q104^2*(N104-K104)*I104/(R104*O104^2))^0.33333*(N104-K104)</f>
        <v>639690.68672628305</v>
      </c>
      <c r="T104" s="50">
        <f>Model!$B$32+(90-Model!$B$6)*SIN(RADIANS(-15*(E104+6)))</f>
        <v>3.0698020036528835</v>
      </c>
      <c r="U104" s="45">
        <f t="shared" si="27"/>
        <v>3.0698020036528835</v>
      </c>
      <c r="V104" s="50">
        <f t="shared" si="28"/>
        <v>18.673256781636375</v>
      </c>
      <c r="W104" s="45">
        <f t="shared" si="29"/>
        <v>0</v>
      </c>
      <c r="X104" s="45">
        <f>0.3*W104*Model!$B$9</f>
        <v>0</v>
      </c>
      <c r="Y104" s="33">
        <f>(S104-X104)/Model!$B$11</f>
        <v>1.3722850728870171E-2</v>
      </c>
      <c r="Z104" s="45">
        <f t="shared" si="30"/>
        <v>0</v>
      </c>
      <c r="AA104" s="56">
        <f>Y104/Model!$B$12*3600</f>
        <v>88.848995322031598</v>
      </c>
      <c r="AB104" s="50">
        <f t="shared" si="35"/>
        <v>1211.8507135775315</v>
      </c>
      <c r="AC104" s="50">
        <f t="shared" si="36"/>
        <v>588.14928642246855</v>
      </c>
      <c r="AD104" s="15">
        <f>IF(AE104=0, Model!$B$19, 0 )</f>
        <v>0</v>
      </c>
      <c r="AE104" s="50">
        <f>IF(AE103+AB103-AB104&lt;Model!$B$19*Model!$B$18, AE103+AB103-AB104,  0)</f>
        <v>134.66136122958187</v>
      </c>
      <c r="AF104" s="15">
        <f t="shared" si="31"/>
        <v>5.0999999999999899</v>
      </c>
      <c r="AG104" s="50">
        <f t="shared" si="32"/>
        <v>0</v>
      </c>
    </row>
    <row r="105" spans="2:33" x14ac:dyDescent="0.25">
      <c r="B105" s="13">
        <f t="shared" si="33"/>
        <v>5.1499999999999897</v>
      </c>
      <c r="C105" s="13">
        <f>B105+Model!$B$4</f>
        <v>7.1499999999999897</v>
      </c>
      <c r="D105" s="13">
        <f t="shared" si="34"/>
        <v>1</v>
      </c>
      <c r="E105" s="13">
        <f t="shared" si="37"/>
        <v>7.1499999999999897</v>
      </c>
      <c r="F105" s="14">
        <f>IF(AB105&gt;0, VLOOKUP(B105,Model!$A$40:$B$60, 2), 0)</f>
        <v>300</v>
      </c>
      <c r="G105" s="13">
        <f>IF(AB105&gt;0, VLOOKUP(B105,Model!$A$39:$C$58, 3), 0)</f>
        <v>0</v>
      </c>
      <c r="H105" s="13">
        <f t="shared" si="20"/>
        <v>0</v>
      </c>
      <c r="I105" s="46">
        <f>Model!$B$21*EXP((-0.029*9.81*F105)/(8.31*(273+J105)))</f>
        <v>100357.4491247143</v>
      </c>
      <c r="J105" s="13">
        <f>IF(Model!$B$31="Summer",  IF(F105&lt;=2000,  Model!$B$20-Model!$B$35*F105/1000,  IF(F105&lt;Model!$B$36,  Model!$B$33-6.5*F105/1000,  Model!$B$38)),     IF(F105&lt;=2000,  Model!$B$20-Model!$B$35*F105/1000,  IF(F105&lt;Model!$B$36,  Model!$B$33-5.4*F105/1000,   Model!$B$38)))</f>
        <v>-19.088750000000001</v>
      </c>
      <c r="K105" s="13">
        <f t="shared" si="21"/>
        <v>253.91125</v>
      </c>
      <c r="L105" s="46">
        <f>IF(AB104-AA104*(B105-B104)&gt;0, L104-Y104*(B105-B104)*3600-AD105*Model!$B$16, 0)</f>
        <v>1412.3491798857506</v>
      </c>
      <c r="M105" s="57">
        <f t="shared" si="22"/>
        <v>69.953036580793025</v>
      </c>
      <c r="N105" s="57">
        <f>Model!$B$13*I105*K105/(Model!$B$13*I105-L105*287*K105)</f>
        <v>342.95303658079303</v>
      </c>
      <c r="O105" s="57">
        <f t="shared" si="23"/>
        <v>298.43214329039654</v>
      </c>
      <c r="P105" s="57">
        <f t="shared" si="24"/>
        <v>25.43214329039651</v>
      </c>
      <c r="Q105" s="63">
        <f t="shared" si="25"/>
        <v>2.5805682173618155E-2</v>
      </c>
      <c r="R105" s="17">
        <f t="shared" si="26"/>
        <v>1.6244942902201239E-5</v>
      </c>
      <c r="S105" s="46">
        <f>0.37*Model!$B$10*(Q105^2*(N105-K105)*I105/(R105*O105^2))^0.33333*(N105-K105)</f>
        <v>637850.16891157452</v>
      </c>
      <c r="T105" s="51">
        <f>Model!$B$32+(90-Model!$B$6)*SIN(RADIANS(-15*(E105+6)))</f>
        <v>3.5082200631605804</v>
      </c>
      <c r="U105" s="46">
        <f t="shared" si="27"/>
        <v>3.5082200631605804</v>
      </c>
      <c r="V105" s="51">
        <f t="shared" si="28"/>
        <v>16.342075333636043</v>
      </c>
      <c r="W105" s="46">
        <f t="shared" si="29"/>
        <v>0</v>
      </c>
      <c r="X105" s="46">
        <f>0.3*W105*Model!$B$9</f>
        <v>0</v>
      </c>
      <c r="Y105" s="17">
        <f>(S105-X105)/Model!$B$11</f>
        <v>1.3683367347668658E-2</v>
      </c>
      <c r="Z105" s="46">
        <f t="shared" si="30"/>
        <v>0</v>
      </c>
      <c r="AA105" s="57">
        <f>Y105/Model!$B$12*3600</f>
        <v>88.593359024517184</v>
      </c>
      <c r="AB105" s="51">
        <f t="shared" si="35"/>
        <v>1207.4082638114298</v>
      </c>
      <c r="AC105" s="51">
        <f t="shared" si="36"/>
        <v>592.59173618857017</v>
      </c>
      <c r="AD105" s="13">
        <f>IF(AE105=0, Model!$B$19, 0 )</f>
        <v>0</v>
      </c>
      <c r="AE105" s="51">
        <f>IF(AE104+AB104-AB105&lt;Model!$B$19*Model!$B$18, AE104+AB104-AB105,  0)</f>
        <v>139.10381099568349</v>
      </c>
      <c r="AF105" s="13">
        <f t="shared" si="31"/>
        <v>5.1499999999999897</v>
      </c>
      <c r="AG105" s="50">
        <f t="shared" si="32"/>
        <v>0</v>
      </c>
    </row>
    <row r="106" spans="2:33" x14ac:dyDescent="0.25">
      <c r="B106" s="15">
        <f t="shared" si="33"/>
        <v>5.1999999999999895</v>
      </c>
      <c r="C106" s="15">
        <f>B106+Model!$B$4</f>
        <v>7.1999999999999895</v>
      </c>
      <c r="D106" s="15">
        <f t="shared" si="34"/>
        <v>1</v>
      </c>
      <c r="E106" s="15">
        <f t="shared" si="37"/>
        <v>7.1999999999999895</v>
      </c>
      <c r="F106" s="16">
        <f>IF(AB106&gt;0, VLOOKUP(B106,Model!$A$40:$B$60, 2), 0)</f>
        <v>300</v>
      </c>
      <c r="G106" s="15">
        <f>IF(AB106&gt;0, VLOOKUP(B106,Model!$A$39:$C$58, 3), 0)</f>
        <v>0</v>
      </c>
      <c r="H106" s="15">
        <f t="shared" si="20"/>
        <v>0</v>
      </c>
      <c r="I106" s="45">
        <f>Model!$B$21*EXP((-0.029*9.81*F106)/(8.31*(273+J106)))</f>
        <v>100357.4491247143</v>
      </c>
      <c r="J106" s="15">
        <f>IF(Model!$B$31="Summer",  IF(F106&lt;=2000,  Model!$B$20-Model!$B$35*F106/1000,  IF(F106&lt;Model!$B$36,  Model!$B$33-6.5*F106/1000,  Model!$B$38)),     IF(F106&lt;=2000,  Model!$B$20-Model!$B$35*F106/1000,  IF(F106&lt;Model!$B$36,  Model!$B$33-5.4*F106/1000,   Model!$B$38)))</f>
        <v>-19.088750000000001</v>
      </c>
      <c r="K106" s="15">
        <f t="shared" si="21"/>
        <v>253.91125</v>
      </c>
      <c r="L106" s="45">
        <f>IF(AB105-AA105*(B106-B105)&gt;0, L105-Y105*(B106-B105)*3600-AD106*Model!$B$16, 0)</f>
        <v>1409.8861737631703</v>
      </c>
      <c r="M106" s="56">
        <f t="shared" si="22"/>
        <v>69.743430214086629</v>
      </c>
      <c r="N106" s="56">
        <f>Model!$B$13*I106*K106/(Model!$B$13*I106-L106*287*K106)</f>
        <v>342.74343021408663</v>
      </c>
      <c r="O106" s="56">
        <f t="shared" si="23"/>
        <v>298.32734010704331</v>
      </c>
      <c r="P106" s="56">
        <f t="shared" si="24"/>
        <v>25.327340107043312</v>
      </c>
      <c r="Q106" s="62">
        <f t="shared" si="25"/>
        <v>2.5798241147600078E-2</v>
      </c>
      <c r="R106" s="33">
        <f t="shared" si="26"/>
        <v>1.6234043371132502E-5</v>
      </c>
      <c r="S106" s="45">
        <f>0.37*Model!$B$10*(Q106^2*(N106-K106)*I106/(R106*O106^2))^0.33333*(N106-K106)</f>
        <v>636017.8600226735</v>
      </c>
      <c r="T106" s="50">
        <f>Model!$B$32+(90-Model!$B$6)*SIN(RADIANS(-15*(E106+6)))</f>
        <v>3.9448597421387284</v>
      </c>
      <c r="U106" s="45">
        <f t="shared" si="27"/>
        <v>3.9448597421387284</v>
      </c>
      <c r="V106" s="50">
        <f t="shared" si="28"/>
        <v>14.535642860524822</v>
      </c>
      <c r="W106" s="45">
        <f t="shared" si="29"/>
        <v>0</v>
      </c>
      <c r="X106" s="45">
        <f>0.3*W106*Model!$B$9</f>
        <v>0</v>
      </c>
      <c r="Y106" s="33">
        <f>(S106-X106)/Model!$B$11</f>
        <v>1.3644060066988598E-2</v>
      </c>
      <c r="Z106" s="45">
        <f t="shared" si="30"/>
        <v>0</v>
      </c>
      <c r="AA106" s="56">
        <f>Y106/Model!$B$12*3600</f>
        <v>88.338862894939894</v>
      </c>
      <c r="AB106" s="50">
        <f t="shared" si="35"/>
        <v>1202.978595860204</v>
      </c>
      <c r="AC106" s="50">
        <f t="shared" si="36"/>
        <v>597.021404139796</v>
      </c>
      <c r="AD106" s="15">
        <f>IF(AE106=0, Model!$B$19, 0 )</f>
        <v>0</v>
      </c>
      <c r="AE106" s="50">
        <f>IF(AE105+AB105-AB106&lt;Model!$B$19*Model!$B$18, AE105+AB105-AB106,  0)</f>
        <v>143.53347894690933</v>
      </c>
      <c r="AF106" s="15">
        <f t="shared" si="31"/>
        <v>5.1999999999999895</v>
      </c>
      <c r="AG106" s="50">
        <f t="shared" si="32"/>
        <v>0</v>
      </c>
    </row>
    <row r="107" spans="2:33" x14ac:dyDescent="0.25">
      <c r="B107" s="13">
        <f t="shared" si="33"/>
        <v>5.2499999999999893</v>
      </c>
      <c r="C107" s="13">
        <f>B107+Model!$B$4</f>
        <v>7.2499999999999893</v>
      </c>
      <c r="D107" s="13">
        <f t="shared" si="34"/>
        <v>1</v>
      </c>
      <c r="E107" s="13">
        <f t="shared" si="37"/>
        <v>7.2499999999999893</v>
      </c>
      <c r="F107" s="14">
        <f>IF(AB107&gt;0, VLOOKUP(B107,Model!$A$40:$B$60, 2), 0)</f>
        <v>300</v>
      </c>
      <c r="G107" s="13">
        <f>IF(AB107&gt;0, VLOOKUP(B107,Model!$A$39:$C$58, 3), 0)</f>
        <v>0</v>
      </c>
      <c r="H107" s="13">
        <f t="shared" si="20"/>
        <v>0</v>
      </c>
      <c r="I107" s="46">
        <f>Model!$B$21*EXP((-0.029*9.81*F107)/(8.31*(273+J107)))</f>
        <v>100357.4491247143</v>
      </c>
      <c r="J107" s="13">
        <f>IF(Model!$B$31="Summer",  IF(F107&lt;=2000,  Model!$B$20-Model!$B$35*F107/1000,  IF(F107&lt;Model!$B$36,  Model!$B$33-6.5*F107/1000,  Model!$B$38)),     IF(F107&lt;=2000,  Model!$B$20-Model!$B$35*F107/1000,  IF(F107&lt;Model!$B$36,  Model!$B$33-5.4*F107/1000,   Model!$B$38)))</f>
        <v>-19.088750000000001</v>
      </c>
      <c r="K107" s="13">
        <f t="shared" si="21"/>
        <v>253.91125</v>
      </c>
      <c r="L107" s="46">
        <f>IF(AB106-AA106*(B107-B106)&gt;0, L106-Y106*(B107-B106)*3600-AD107*Model!$B$16, 0)</f>
        <v>1407.4302429511124</v>
      </c>
      <c r="M107" s="57">
        <f t="shared" si="22"/>
        <v>69.534680925869168</v>
      </c>
      <c r="N107" s="57">
        <f>Model!$B$13*I107*K107/(Model!$B$13*I107-L107*287*K107)</f>
        <v>342.53468092586917</v>
      </c>
      <c r="O107" s="57">
        <f t="shared" si="23"/>
        <v>298.22296546293455</v>
      </c>
      <c r="P107" s="57">
        <f t="shared" si="24"/>
        <v>25.222965462934582</v>
      </c>
      <c r="Q107" s="63">
        <f t="shared" si="25"/>
        <v>2.5790830547868352E-2</v>
      </c>
      <c r="R107" s="17">
        <f t="shared" si="26"/>
        <v>1.6223188408145195E-5</v>
      </c>
      <c r="S107" s="46">
        <f>0.37*Model!$B$10*(Q107^2*(N107-K107)*I107/(R107*O107^2))^0.33333*(N107-K107)</f>
        <v>634193.70729745156</v>
      </c>
      <c r="T107" s="51">
        <f>Model!$B$32+(90-Model!$B$6)*SIN(RADIANS(-15*(E107+6)))</f>
        <v>4.379646224626228</v>
      </c>
      <c r="U107" s="46">
        <f t="shared" si="27"/>
        <v>4.379646224626228</v>
      </c>
      <c r="V107" s="51">
        <f t="shared" si="28"/>
        <v>13.09503342806776</v>
      </c>
      <c r="W107" s="46">
        <f t="shared" si="29"/>
        <v>0</v>
      </c>
      <c r="X107" s="46">
        <f>0.3*W107*Model!$B$9</f>
        <v>0</v>
      </c>
      <c r="Y107" s="17">
        <f>(S107-X107)/Model!$B$11</f>
        <v>1.3604927754959811E-2</v>
      </c>
      <c r="Z107" s="46">
        <f t="shared" si="30"/>
        <v>0</v>
      </c>
      <c r="AA107" s="57">
        <f>Y107/Model!$B$12*3600</f>
        <v>88.085499604973378</v>
      </c>
      <c r="AB107" s="51">
        <f t="shared" si="35"/>
        <v>1198.5616527154571</v>
      </c>
      <c r="AC107" s="51">
        <f t="shared" si="36"/>
        <v>601.43834728454294</v>
      </c>
      <c r="AD107" s="13">
        <f>IF(AE107=0, Model!$B$19, 0 )</f>
        <v>0</v>
      </c>
      <c r="AE107" s="51">
        <f>IF(AE106+AB106-AB107&lt;Model!$B$19*Model!$B$18, AE106+AB106-AB107,  0)</f>
        <v>147.95042209165626</v>
      </c>
      <c r="AF107" s="13">
        <f t="shared" si="31"/>
        <v>5.2499999999999893</v>
      </c>
      <c r="AG107" s="50">
        <f t="shared" si="32"/>
        <v>0</v>
      </c>
    </row>
    <row r="108" spans="2:33" x14ac:dyDescent="0.25">
      <c r="B108" s="15">
        <f t="shared" si="33"/>
        <v>5.2999999999999892</v>
      </c>
      <c r="C108" s="15">
        <f>B108+Model!$B$4</f>
        <v>7.2999999999999892</v>
      </c>
      <c r="D108" s="15">
        <f t="shared" si="34"/>
        <v>1</v>
      </c>
      <c r="E108" s="15">
        <f t="shared" si="37"/>
        <v>7.2999999999999892</v>
      </c>
      <c r="F108" s="16">
        <f>IF(AB108&gt;0, VLOOKUP(B108,Model!$A$40:$B$60, 2), 0)</f>
        <v>300</v>
      </c>
      <c r="G108" s="15">
        <f>IF(AB108&gt;0, VLOOKUP(B108,Model!$A$39:$C$58, 3), 0)</f>
        <v>0</v>
      </c>
      <c r="H108" s="15">
        <f t="shared" si="20"/>
        <v>0</v>
      </c>
      <c r="I108" s="45">
        <f>Model!$B$21*EXP((-0.029*9.81*F108)/(8.31*(273+J108)))</f>
        <v>100357.4491247143</v>
      </c>
      <c r="J108" s="15">
        <f>IF(Model!$B$31="Summer",  IF(F108&lt;=2000,  Model!$B$20-Model!$B$35*F108/1000,  IF(F108&lt;Model!$B$36,  Model!$B$33-6.5*F108/1000,  Model!$B$38)),     IF(F108&lt;=2000,  Model!$B$20-Model!$B$35*F108/1000,  IF(F108&lt;Model!$B$36,  Model!$B$33-5.4*F108/1000,   Model!$B$38)))</f>
        <v>-19.088750000000001</v>
      </c>
      <c r="K108" s="15">
        <f t="shared" si="21"/>
        <v>253.91125</v>
      </c>
      <c r="L108" s="45">
        <f>IF(AB107-AA107*(B108-B107)&gt;0, L107-Y107*(B108-B107)*3600-AD108*Model!$B$16, 0)</f>
        <v>1404.9813559552197</v>
      </c>
      <c r="M108" s="56">
        <f t="shared" si="22"/>
        <v>69.326783380822292</v>
      </c>
      <c r="N108" s="56">
        <f>Model!$B$13*I108*K108/(Model!$B$13*I108-L108*287*K108)</f>
        <v>342.32678338082229</v>
      </c>
      <c r="O108" s="56">
        <f t="shared" si="23"/>
        <v>298.11901669041117</v>
      </c>
      <c r="P108" s="56">
        <f t="shared" si="24"/>
        <v>25.119016690411144</v>
      </c>
      <c r="Q108" s="62">
        <f t="shared" si="25"/>
        <v>2.5783450185019194E-2</v>
      </c>
      <c r="R108" s="33">
        <f t="shared" si="26"/>
        <v>1.621237773580276E-5</v>
      </c>
      <c r="S108" s="45">
        <f>0.37*Model!$B$10*(Q108^2*(N108-K108)*I108/(R108*O108^2))^0.33333*(N108-K108)</f>
        <v>632377.65842867922</v>
      </c>
      <c r="T108" s="50">
        <f>Model!$B$32+(90-Model!$B$6)*SIN(RADIANS(-15*(E108+6)))</f>
        <v>4.8125050121975708</v>
      </c>
      <c r="U108" s="45">
        <f t="shared" si="27"/>
        <v>4.8125050121975708</v>
      </c>
      <c r="V108" s="50">
        <f t="shared" si="28"/>
        <v>11.919614663118509</v>
      </c>
      <c r="W108" s="45">
        <f t="shared" si="29"/>
        <v>0</v>
      </c>
      <c r="X108" s="45">
        <f>0.3*W108*Model!$B$9</f>
        <v>0</v>
      </c>
      <c r="Y108" s="33">
        <f>(S108-X108)/Model!$B$11</f>
        <v>1.3565969289470755E-2</v>
      </c>
      <c r="Z108" s="45">
        <f t="shared" si="30"/>
        <v>0</v>
      </c>
      <c r="AA108" s="56">
        <f>Y108/Model!$B$12*3600</f>
        <v>87.833261889473889</v>
      </c>
      <c r="AB108" s="50">
        <f t="shared" si="35"/>
        <v>1194.1573777352085</v>
      </c>
      <c r="AC108" s="50">
        <f t="shared" si="36"/>
        <v>605.84262226479154</v>
      </c>
      <c r="AD108" s="15">
        <f>IF(AE108=0, Model!$B$19, 0 )</f>
        <v>0</v>
      </c>
      <c r="AE108" s="50">
        <f>IF(AE107+AB107-AB108&lt;Model!$B$19*Model!$B$18, AE107+AB107-AB108,  0)</f>
        <v>152.35469707190487</v>
      </c>
      <c r="AF108" s="15">
        <f t="shared" si="31"/>
        <v>5.2999999999999892</v>
      </c>
      <c r="AG108" s="50">
        <f t="shared" si="32"/>
        <v>0</v>
      </c>
    </row>
    <row r="109" spans="2:33" x14ac:dyDescent="0.25">
      <c r="B109" s="13">
        <f t="shared" si="33"/>
        <v>5.349999999999989</v>
      </c>
      <c r="C109" s="13">
        <f>B109+Model!$B$4</f>
        <v>7.349999999999989</v>
      </c>
      <c r="D109" s="13">
        <f t="shared" si="34"/>
        <v>1</v>
      </c>
      <c r="E109" s="13">
        <f t="shared" si="37"/>
        <v>7.349999999999989</v>
      </c>
      <c r="F109" s="14">
        <f>IF(AB109&gt;0, VLOOKUP(B109,Model!$A$40:$B$60, 2), 0)</f>
        <v>300</v>
      </c>
      <c r="G109" s="13">
        <f>IF(AB109&gt;0, VLOOKUP(B109,Model!$A$39:$C$58, 3), 0)</f>
        <v>0</v>
      </c>
      <c r="H109" s="13">
        <f t="shared" si="20"/>
        <v>0</v>
      </c>
      <c r="I109" s="46">
        <f>Model!$B$21*EXP((-0.029*9.81*F109)/(8.31*(273+J109)))</f>
        <v>100357.4491247143</v>
      </c>
      <c r="J109" s="13">
        <f>IF(Model!$B$31="Summer",  IF(F109&lt;=2000,  Model!$B$20-Model!$B$35*F109/1000,  IF(F109&lt;Model!$B$36,  Model!$B$33-6.5*F109/1000,  Model!$B$38)),     IF(F109&lt;=2000,  Model!$B$20-Model!$B$35*F109/1000,  IF(F109&lt;Model!$B$36,  Model!$B$33-5.4*F109/1000,   Model!$B$38)))</f>
        <v>-19.088750000000001</v>
      </c>
      <c r="K109" s="13">
        <f t="shared" si="21"/>
        <v>253.91125</v>
      </c>
      <c r="L109" s="46">
        <f>IF(AB108-AA108*(B109-B108)&gt;0, L108-Y108*(B109-B108)*3600-AD109*Model!$B$16, 0)</f>
        <v>1402.539481483115</v>
      </c>
      <c r="M109" s="57">
        <f t="shared" si="22"/>
        <v>69.119732289124329</v>
      </c>
      <c r="N109" s="57">
        <f>Model!$B$13*I109*K109/(Model!$B$13*I109-L109*287*K109)</f>
        <v>342.11973228912433</v>
      </c>
      <c r="O109" s="57">
        <f t="shared" si="23"/>
        <v>298.01549114456213</v>
      </c>
      <c r="P109" s="57">
        <f t="shared" si="24"/>
        <v>25.015491144562162</v>
      </c>
      <c r="Q109" s="63">
        <f t="shared" si="25"/>
        <v>2.5776099871263912E-2</v>
      </c>
      <c r="R109" s="17">
        <f t="shared" si="26"/>
        <v>1.620161107903446E-5</v>
      </c>
      <c r="S109" s="46">
        <f>0.37*Model!$B$10*(Q109^2*(N109-K109)*I109/(R109*O109^2))^0.33333*(N109-K109)</f>
        <v>630569.66155906755</v>
      </c>
      <c r="T109" s="51">
        <f>Model!$B$32+(90-Model!$B$6)*SIN(RADIANS(-15*(E109+6)))</f>
        <v>5.2433619367278315</v>
      </c>
      <c r="U109" s="46">
        <f t="shared" si="27"/>
        <v>5.2433619367278315</v>
      </c>
      <c r="V109" s="51">
        <f t="shared" si="28"/>
        <v>10.94256544864402</v>
      </c>
      <c r="W109" s="46">
        <f t="shared" si="29"/>
        <v>0</v>
      </c>
      <c r="X109" s="46">
        <f>0.3*W109*Model!$B$9</f>
        <v>0</v>
      </c>
      <c r="Y109" s="17">
        <f>(S109-X109)/Model!$B$11</f>
        <v>1.3527183558062159E-2</v>
      </c>
      <c r="Z109" s="46">
        <f t="shared" si="30"/>
        <v>0</v>
      </c>
      <c r="AA109" s="57">
        <f>Y109/Model!$B$12*3600</f>
        <v>87.582142545791598</v>
      </c>
      <c r="AB109" s="51">
        <f t="shared" si="35"/>
        <v>1189.7657146407348</v>
      </c>
      <c r="AC109" s="51">
        <f t="shared" si="36"/>
        <v>610.23428535926519</v>
      </c>
      <c r="AD109" s="13">
        <f>IF(AE109=0, Model!$B$19, 0 )</f>
        <v>0</v>
      </c>
      <c r="AE109" s="51">
        <f>IF(AE108+AB108-AB109&lt;Model!$B$19*Model!$B$18, AE108+AB108-AB109,  0)</f>
        <v>156.74636016637851</v>
      </c>
      <c r="AF109" s="13">
        <f t="shared" si="31"/>
        <v>5.349999999999989</v>
      </c>
      <c r="AG109" s="50">
        <f t="shared" si="32"/>
        <v>0</v>
      </c>
    </row>
    <row r="110" spans="2:33" x14ac:dyDescent="0.25">
      <c r="B110" s="15">
        <f t="shared" si="33"/>
        <v>5.3999999999999888</v>
      </c>
      <c r="C110" s="15">
        <f>B110+Model!$B$4</f>
        <v>7.3999999999999888</v>
      </c>
      <c r="D110" s="15">
        <f t="shared" si="34"/>
        <v>1</v>
      </c>
      <c r="E110" s="15">
        <f t="shared" si="37"/>
        <v>7.3999999999999888</v>
      </c>
      <c r="F110" s="16">
        <f>IF(AB110&gt;0, VLOOKUP(B110,Model!$A$40:$B$60, 2), 0)</f>
        <v>300</v>
      </c>
      <c r="G110" s="15">
        <f>IF(AB110&gt;0, VLOOKUP(B110,Model!$A$39:$C$58, 3), 0)</f>
        <v>0</v>
      </c>
      <c r="H110" s="15">
        <f t="shared" si="20"/>
        <v>0</v>
      </c>
      <c r="I110" s="45">
        <f>Model!$B$21*EXP((-0.029*9.81*F110)/(8.31*(273+J110)))</f>
        <v>100357.4491247143</v>
      </c>
      <c r="J110" s="15">
        <f>IF(Model!$B$31="Summer",  IF(F110&lt;=2000,  Model!$B$20-Model!$B$35*F110/1000,  IF(F110&lt;Model!$B$36,  Model!$B$33-6.5*F110/1000,  Model!$B$38)),     IF(F110&lt;=2000,  Model!$B$20-Model!$B$35*F110/1000,  IF(F110&lt;Model!$B$36,  Model!$B$33-5.4*F110/1000,   Model!$B$38)))</f>
        <v>-19.088750000000001</v>
      </c>
      <c r="K110" s="15">
        <f t="shared" si="21"/>
        <v>253.91125</v>
      </c>
      <c r="L110" s="45">
        <f>IF(AB109-AA109*(B110-B109)&gt;0, L109-Y109*(B110-B109)*3600-AD110*Model!$B$16, 0)</f>
        <v>1400.1045884426637</v>
      </c>
      <c r="M110" s="56">
        <f t="shared" si="22"/>
        <v>68.913522405955121</v>
      </c>
      <c r="N110" s="56">
        <f>Model!$B$13*I110*K110/(Model!$B$13*I110-L110*287*K110)</f>
        <v>341.91352240595512</v>
      </c>
      <c r="O110" s="56">
        <f t="shared" si="23"/>
        <v>297.91238620297759</v>
      </c>
      <c r="P110" s="56">
        <f t="shared" si="24"/>
        <v>24.912386202977558</v>
      </c>
      <c r="Q110" s="62">
        <f t="shared" si="25"/>
        <v>2.5768779420411409E-2</v>
      </c>
      <c r="R110" s="33">
        <f t="shared" si="26"/>
        <v>1.6190888165109667E-5</v>
      </c>
      <c r="S110" s="45">
        <f>0.37*Model!$B$10*(Q110^2*(N110-K110)*I110/(R110*O110^2))^0.33333*(N110-K110)</f>
        <v>628769.66527636279</v>
      </c>
      <c r="T110" s="50">
        <f>Model!$B$32+(90-Model!$B$6)*SIN(RADIANS(-15*(E110+6)))</f>
        <v>5.6721431731010892</v>
      </c>
      <c r="U110" s="45">
        <f t="shared" si="27"/>
        <v>5.6721431731010892</v>
      </c>
      <c r="V110" s="50">
        <f t="shared" si="28"/>
        <v>10.117776112016728</v>
      </c>
      <c r="W110" s="45">
        <f t="shared" si="29"/>
        <v>0</v>
      </c>
      <c r="X110" s="45">
        <f>0.3*W110*Model!$B$9</f>
        <v>0</v>
      </c>
      <c r="Y110" s="33">
        <f>(S110-X110)/Model!$B$11</f>
        <v>1.3488569457821791E-2</v>
      </c>
      <c r="Z110" s="45">
        <f t="shared" si="30"/>
        <v>0</v>
      </c>
      <c r="AA110" s="56">
        <f>Y110/Model!$B$12*3600</f>
        <v>87.332134433089252</v>
      </c>
      <c r="AB110" s="50">
        <f t="shared" si="35"/>
        <v>1185.3866075134451</v>
      </c>
      <c r="AC110" s="50">
        <f t="shared" si="36"/>
        <v>614.61339248655486</v>
      </c>
      <c r="AD110" s="15">
        <f>IF(AE110=0, Model!$B$19, 0 )</f>
        <v>0</v>
      </c>
      <c r="AE110" s="50">
        <f>IF(AE109+AB109-AB110&lt;Model!$B$19*Model!$B$18, AE109+AB109-AB110,  0)</f>
        <v>161.12546729366818</v>
      </c>
      <c r="AF110" s="15">
        <f t="shared" si="31"/>
        <v>5.3999999999999888</v>
      </c>
      <c r="AG110" s="50">
        <f t="shared" si="32"/>
        <v>0</v>
      </c>
    </row>
    <row r="111" spans="2:33" x14ac:dyDescent="0.25">
      <c r="B111" s="13">
        <f t="shared" si="33"/>
        <v>5.4499999999999886</v>
      </c>
      <c r="C111" s="13">
        <f>B111+Model!$B$4</f>
        <v>7.4499999999999886</v>
      </c>
      <c r="D111" s="13">
        <f t="shared" si="34"/>
        <v>1</v>
      </c>
      <c r="E111" s="13">
        <f t="shared" si="37"/>
        <v>7.4499999999999886</v>
      </c>
      <c r="F111" s="14">
        <f>IF(AB111&gt;0, VLOOKUP(B111,Model!$A$40:$B$60, 2), 0)</f>
        <v>300</v>
      </c>
      <c r="G111" s="13">
        <f>IF(AB111&gt;0, VLOOKUP(B111,Model!$A$39:$C$58, 3), 0)</f>
        <v>0</v>
      </c>
      <c r="H111" s="13">
        <f t="shared" si="20"/>
        <v>0</v>
      </c>
      <c r="I111" s="46">
        <f>Model!$B$21*EXP((-0.029*9.81*F111)/(8.31*(273+J111)))</f>
        <v>100357.4491247143</v>
      </c>
      <c r="J111" s="13">
        <f>IF(Model!$B$31="Summer",  IF(F111&lt;=2000,  Model!$B$20-Model!$B$35*F111/1000,  IF(F111&lt;Model!$B$36,  Model!$B$33-6.5*F111/1000,  Model!$B$38)),     IF(F111&lt;=2000,  Model!$B$20-Model!$B$35*F111/1000,  IF(F111&lt;Model!$B$36,  Model!$B$33-5.4*F111/1000,   Model!$B$38)))</f>
        <v>-19.088750000000001</v>
      </c>
      <c r="K111" s="13">
        <f t="shared" si="21"/>
        <v>253.91125</v>
      </c>
      <c r="L111" s="46">
        <f>IF(AB110-AA110*(B111-B110)&gt;0, L110-Y110*(B111-B110)*3600-AD111*Model!$B$16, 0)</f>
        <v>1397.6766459402559</v>
      </c>
      <c r="M111" s="57">
        <f t="shared" si="22"/>
        <v>68.708148531007737</v>
      </c>
      <c r="N111" s="57">
        <f>Model!$B$13*I111*K111/(Model!$B$13*I111-L111*287*K111)</f>
        <v>341.70814853100774</v>
      </c>
      <c r="O111" s="57">
        <f t="shared" si="23"/>
        <v>297.80969926550387</v>
      </c>
      <c r="P111" s="57">
        <f t="shared" si="24"/>
        <v>24.809699265503866</v>
      </c>
      <c r="Q111" s="63">
        <f t="shared" si="25"/>
        <v>2.5761488647850776E-2</v>
      </c>
      <c r="R111" s="17">
        <f t="shared" si="26"/>
        <v>1.6180208723612403E-5</v>
      </c>
      <c r="S111" s="46">
        <f>0.37*Model!$B$10*(Q111^2*(N111-K111)*I111/(R111*O111^2))^0.33333*(N111-K111)</f>
        <v>626977.61860851222</v>
      </c>
      <c r="T111" s="51">
        <f>Model!$B$32+(90-Model!$B$6)*SIN(RADIANS(-15*(E111+6)))</f>
        <v>6.0987752518598519</v>
      </c>
      <c r="U111" s="46">
        <f t="shared" si="27"/>
        <v>6.0987752518598519</v>
      </c>
      <c r="V111" s="51">
        <f t="shared" si="28"/>
        <v>9.4124010766914843</v>
      </c>
      <c r="W111" s="46">
        <f t="shared" si="29"/>
        <v>0</v>
      </c>
      <c r="X111" s="46">
        <f>0.3*W111*Model!$B$9</f>
        <v>0</v>
      </c>
      <c r="Y111" s="17">
        <f>(S111-X111)/Model!$B$11</f>
        <v>1.3450125895280751E-2</v>
      </c>
      <c r="Z111" s="46">
        <f t="shared" si="30"/>
        <v>0</v>
      </c>
      <c r="AA111" s="57">
        <f>Y111/Model!$B$12*3600</f>
        <v>87.083230471670703</v>
      </c>
      <c r="AB111" s="51">
        <f t="shared" si="35"/>
        <v>1181.0200007917906</v>
      </c>
      <c r="AC111" s="51">
        <f t="shared" si="36"/>
        <v>618.97999920820939</v>
      </c>
      <c r="AD111" s="13">
        <f>IF(AE111=0, Model!$B$19, 0 )</f>
        <v>0</v>
      </c>
      <c r="AE111" s="51">
        <f>IF(AE110+AB110-AB111&lt;Model!$B$19*Model!$B$18, AE110+AB110-AB111,  0)</f>
        <v>165.49207401532271</v>
      </c>
      <c r="AF111" s="13">
        <f t="shared" si="31"/>
        <v>5.4499999999999886</v>
      </c>
      <c r="AG111" s="50">
        <f t="shared" si="32"/>
        <v>0</v>
      </c>
    </row>
    <row r="112" spans="2:33" x14ac:dyDescent="0.25">
      <c r="B112" s="15">
        <f t="shared" si="33"/>
        <v>5.4999999999999885</v>
      </c>
      <c r="C112" s="15">
        <f>B112+Model!$B$4</f>
        <v>7.4999999999999885</v>
      </c>
      <c r="D112" s="15">
        <f t="shared" si="34"/>
        <v>1</v>
      </c>
      <c r="E112" s="15">
        <f t="shared" si="37"/>
        <v>7.4999999999999885</v>
      </c>
      <c r="F112" s="16">
        <f>IF(AB112&gt;0, VLOOKUP(B112,Model!$A$40:$B$60, 2), 0)</f>
        <v>300</v>
      </c>
      <c r="G112" s="15">
        <f>IF(AB112&gt;0, VLOOKUP(B112,Model!$A$39:$C$58, 3), 0)</f>
        <v>0</v>
      </c>
      <c r="H112" s="15">
        <f t="shared" si="20"/>
        <v>0</v>
      </c>
      <c r="I112" s="45">
        <f>Model!$B$21*EXP((-0.029*9.81*F112)/(8.31*(273+J112)))</f>
        <v>100357.4491247143</v>
      </c>
      <c r="J112" s="15">
        <f>IF(Model!$B$31="Summer",  IF(F112&lt;=2000,  Model!$B$20-Model!$B$35*F112/1000,  IF(F112&lt;Model!$B$36,  Model!$B$33-6.5*F112/1000,  Model!$B$38)),     IF(F112&lt;=2000,  Model!$B$20-Model!$B$35*F112/1000,  IF(F112&lt;Model!$B$36,  Model!$B$33-5.4*F112/1000,   Model!$B$38)))</f>
        <v>-19.088750000000001</v>
      </c>
      <c r="K112" s="15">
        <f t="shared" si="21"/>
        <v>253.91125</v>
      </c>
      <c r="L112" s="45">
        <f>IF(AB111-AA111*(B112-B111)&gt;0, L111-Y111*(B112-B111)*3600-AD112*Model!$B$16, 0)</f>
        <v>1395.2556232791053</v>
      </c>
      <c r="M112" s="56">
        <f t="shared" si="22"/>
        <v>68.50360550800707</v>
      </c>
      <c r="N112" s="56">
        <f>Model!$B$13*I112*K112/(Model!$B$13*I112-L112*287*K112)</f>
        <v>341.50360550800707</v>
      </c>
      <c r="O112" s="56">
        <f t="shared" si="23"/>
        <v>297.70742775400356</v>
      </c>
      <c r="P112" s="56">
        <f t="shared" si="24"/>
        <v>24.707427754003533</v>
      </c>
      <c r="Q112" s="62">
        <f t="shared" si="25"/>
        <v>2.5754227370534254E-2</v>
      </c>
      <c r="R112" s="33">
        <f t="shared" si="26"/>
        <v>1.616957248641637E-5</v>
      </c>
      <c r="S112" s="45">
        <f>0.37*Model!$B$10*(Q112^2*(N112-K112)*I112/(R112*O112^2))^0.33333*(N112-K112)</f>
        <v>625193.47101889411</v>
      </c>
      <c r="T112" s="50">
        <f>Model!$B$32+(90-Model!$B$6)*SIN(RADIANS(-15*(E112+6)))</f>
        <v>6.5231850717937139</v>
      </c>
      <c r="U112" s="45">
        <f t="shared" si="27"/>
        <v>6.5231850717937139</v>
      </c>
      <c r="V112" s="50">
        <f t="shared" si="28"/>
        <v>8.8024093914947628</v>
      </c>
      <c r="W112" s="45">
        <f t="shared" si="29"/>
        <v>0</v>
      </c>
      <c r="X112" s="45">
        <f>0.3*W112*Model!$B$9</f>
        <v>0</v>
      </c>
      <c r="Y112" s="33">
        <f>(S112-X112)/Model!$B$11</f>
        <v>1.3411851786311147E-2</v>
      </c>
      <c r="Z112" s="45">
        <f t="shared" si="30"/>
        <v>0</v>
      </c>
      <c r="AA112" s="56">
        <f>Y112/Model!$B$12*3600</f>
        <v>86.835423642318474</v>
      </c>
      <c r="AB112" s="50">
        <f t="shared" si="35"/>
        <v>1176.665839268207</v>
      </c>
      <c r="AC112" s="50">
        <f t="shared" si="36"/>
        <v>623.33416073179296</v>
      </c>
      <c r="AD112" s="15">
        <f>IF(AE112=0, Model!$B$19, 0 )</f>
        <v>0</v>
      </c>
      <c r="AE112" s="50">
        <f>IF(AE111+AB111-AB112&lt;Model!$B$19*Model!$B$18, AE111+AB111-AB112,  0)</f>
        <v>169.84623553890629</v>
      </c>
      <c r="AF112" s="15">
        <f t="shared" si="31"/>
        <v>5.4999999999999885</v>
      </c>
      <c r="AG112" s="50">
        <f t="shared" si="32"/>
        <v>0</v>
      </c>
    </row>
    <row r="113" spans="2:33" x14ac:dyDescent="0.25">
      <c r="B113" s="13">
        <f t="shared" si="33"/>
        <v>5.5499999999999883</v>
      </c>
      <c r="C113" s="13">
        <f>B113+Model!$B$4</f>
        <v>7.5499999999999883</v>
      </c>
      <c r="D113" s="13">
        <f t="shared" si="34"/>
        <v>1</v>
      </c>
      <c r="E113" s="13">
        <f t="shared" si="37"/>
        <v>7.5499999999999883</v>
      </c>
      <c r="F113" s="14">
        <f>IF(AB113&gt;0, VLOOKUP(B113,Model!$A$40:$B$60, 2), 0)</f>
        <v>300</v>
      </c>
      <c r="G113" s="13">
        <f>IF(AB113&gt;0, VLOOKUP(B113,Model!$A$39:$C$58, 3), 0)</f>
        <v>0</v>
      </c>
      <c r="H113" s="13">
        <f t="shared" si="20"/>
        <v>0</v>
      </c>
      <c r="I113" s="46">
        <f>Model!$B$21*EXP((-0.029*9.81*F113)/(8.31*(273+J113)))</f>
        <v>100357.4491247143</v>
      </c>
      <c r="J113" s="13">
        <f>IF(Model!$B$31="Summer",  IF(F113&lt;=2000,  Model!$B$20-Model!$B$35*F113/1000,  IF(F113&lt;Model!$B$36,  Model!$B$33-6.5*F113/1000,  Model!$B$38)),     IF(F113&lt;=2000,  Model!$B$20-Model!$B$35*F113/1000,  IF(F113&lt;Model!$B$36,  Model!$B$33-5.4*F113/1000,   Model!$B$38)))</f>
        <v>-19.088750000000001</v>
      </c>
      <c r="K113" s="13">
        <f t="shared" si="21"/>
        <v>253.91125</v>
      </c>
      <c r="L113" s="46">
        <f>IF(AB112-AA112*(B113-B112)&gt;0, L112-Y112*(B113-B112)*3600-AD113*Model!$B$16, 0)</f>
        <v>1392.8414899575694</v>
      </c>
      <c r="M113" s="57">
        <f t="shared" si="22"/>
        <v>68.299888224234167</v>
      </c>
      <c r="N113" s="57">
        <f>Model!$B$13*I113*K113/(Model!$B$13*I113-L113*287*K113)</f>
        <v>341.29988822423417</v>
      </c>
      <c r="O113" s="57">
        <f t="shared" si="23"/>
        <v>297.60556911211711</v>
      </c>
      <c r="P113" s="57">
        <f t="shared" si="24"/>
        <v>24.605569112117081</v>
      </c>
      <c r="Q113" s="63">
        <f t="shared" si="25"/>
        <v>2.5746995406960314E-2</v>
      </c>
      <c r="R113" s="17">
        <f t="shared" si="26"/>
        <v>1.6158979187660178E-5</v>
      </c>
      <c r="S113" s="46">
        <f>0.37*Model!$B$10*(Q113^2*(N113-K113)*I113/(R113*O113^2))^0.33333*(N113-K113)</f>
        <v>623417.17240160692</v>
      </c>
      <c r="T113" s="51">
        <f>Model!$B$32+(90-Model!$B$6)*SIN(RADIANS(-15*(E113+6)))</f>
        <v>6.9452999124649288</v>
      </c>
      <c r="U113" s="46">
        <f t="shared" si="27"/>
        <v>6.9452999124649288</v>
      </c>
      <c r="V113" s="51">
        <f t="shared" si="28"/>
        <v>8.2698137521897337</v>
      </c>
      <c r="W113" s="46">
        <f t="shared" si="29"/>
        <v>0</v>
      </c>
      <c r="X113" s="46">
        <f>0.3*W113*Model!$B$9</f>
        <v>0</v>
      </c>
      <c r="Y113" s="17">
        <f>(S113-X113)/Model!$B$11</f>
        <v>1.3373746056025032E-2</v>
      </c>
      <c r="Z113" s="46">
        <f t="shared" si="30"/>
        <v>0</v>
      </c>
      <c r="AA113" s="57">
        <f>Y113/Model!$B$12*3600</f>
        <v>86.588706985639334</v>
      </c>
      <c r="AB113" s="51">
        <f t="shared" si="35"/>
        <v>1172.3240680860911</v>
      </c>
      <c r="AC113" s="51">
        <f t="shared" si="36"/>
        <v>627.67593191390893</v>
      </c>
      <c r="AD113" s="13">
        <f>IF(AE113=0, Model!$B$19, 0 )</f>
        <v>0</v>
      </c>
      <c r="AE113" s="51">
        <f>IF(AE112+AB112-AB113&lt;Model!$B$19*Model!$B$18, AE112+AB112-AB113,  0)</f>
        <v>174.18800672102225</v>
      </c>
      <c r="AF113" s="13">
        <f t="shared" si="31"/>
        <v>5.5499999999999883</v>
      </c>
      <c r="AG113" s="50">
        <f t="shared" si="32"/>
        <v>0</v>
      </c>
    </row>
    <row r="114" spans="2:33" x14ac:dyDescent="0.25">
      <c r="B114" s="15">
        <f t="shared" si="33"/>
        <v>5.5999999999999881</v>
      </c>
      <c r="C114" s="15">
        <f>B114+Model!$B$4</f>
        <v>7.5999999999999881</v>
      </c>
      <c r="D114" s="15">
        <f t="shared" si="34"/>
        <v>1</v>
      </c>
      <c r="E114" s="15">
        <f t="shared" si="37"/>
        <v>7.5999999999999881</v>
      </c>
      <c r="F114" s="16">
        <f>IF(AB114&gt;0, VLOOKUP(B114,Model!$A$40:$B$60, 2), 0)</f>
        <v>300</v>
      </c>
      <c r="G114" s="15">
        <f>IF(AB114&gt;0, VLOOKUP(B114,Model!$A$39:$C$58, 3), 0)</f>
        <v>0</v>
      </c>
      <c r="H114" s="15">
        <f t="shared" si="20"/>
        <v>0</v>
      </c>
      <c r="I114" s="45">
        <f>Model!$B$21*EXP((-0.029*9.81*F114)/(8.31*(273+J114)))</f>
        <v>100357.4491247143</v>
      </c>
      <c r="J114" s="15">
        <f>IF(Model!$B$31="Summer",  IF(F114&lt;=2000,  Model!$B$20-Model!$B$35*F114/1000,  IF(F114&lt;Model!$B$36,  Model!$B$33-6.5*F114/1000,  Model!$B$38)),     IF(F114&lt;=2000,  Model!$B$20-Model!$B$35*F114/1000,  IF(F114&lt;Model!$B$36,  Model!$B$33-5.4*F114/1000,   Model!$B$38)))</f>
        <v>-19.088750000000001</v>
      </c>
      <c r="K114" s="15">
        <f t="shared" si="21"/>
        <v>253.91125</v>
      </c>
      <c r="L114" s="45">
        <f>IF(AB113-AA113*(B114-B113)&gt;0, L113-Y113*(B114-B113)*3600-AD114*Model!$B$16, 0)</f>
        <v>1390.434215667485</v>
      </c>
      <c r="M114" s="56">
        <f t="shared" si="22"/>
        <v>68.09699161005716</v>
      </c>
      <c r="N114" s="56">
        <f>Model!$B$13*I114*K114/(Model!$B$13*I114-L114*287*K114)</f>
        <v>341.09699161005716</v>
      </c>
      <c r="O114" s="56">
        <f t="shared" si="23"/>
        <v>297.50412080502861</v>
      </c>
      <c r="P114" s="56">
        <f t="shared" si="24"/>
        <v>24.504120805028577</v>
      </c>
      <c r="Q114" s="62">
        <f t="shared" si="25"/>
        <v>2.5739792577157031E-2</v>
      </c>
      <c r="R114" s="33">
        <f t="shared" si="26"/>
        <v>1.6148428563722974E-5</v>
      </c>
      <c r="S114" s="45">
        <f>0.37*Model!$B$10*(Q114^2*(N114-K114)*I114/(R114*O114^2))^0.33333*(N114-K114)</f>
        <v>621648.67307682394</v>
      </c>
      <c r="T114" s="50">
        <f>Model!$B$32+(90-Model!$B$6)*SIN(RADIANS(-15*(E114+6)))</f>
        <v>7.3650474466685711</v>
      </c>
      <c r="U114" s="45">
        <f t="shared" si="27"/>
        <v>7.3650474466685711</v>
      </c>
      <c r="V114" s="50">
        <f t="shared" si="28"/>
        <v>7.800882997418177</v>
      </c>
      <c r="W114" s="45">
        <f t="shared" si="29"/>
        <v>0</v>
      </c>
      <c r="X114" s="45">
        <f>0.3*W114*Model!$B$9</f>
        <v>0</v>
      </c>
      <c r="Y114" s="33">
        <f>(S114-X114)/Model!$B$11</f>
        <v>1.3335807638674761E-2</v>
      </c>
      <c r="Z114" s="45">
        <f t="shared" si="30"/>
        <v>0</v>
      </c>
      <c r="AA114" s="56">
        <f>Y114/Model!$B$12*3600</f>
        <v>86.343073601419249</v>
      </c>
      <c r="AB114" s="50">
        <f t="shared" si="35"/>
        <v>1167.9946327368091</v>
      </c>
      <c r="AC114" s="50">
        <f t="shared" si="36"/>
        <v>632.00536726319092</v>
      </c>
      <c r="AD114" s="15">
        <f>IF(AE114=0, Model!$B$19, 0 )</f>
        <v>0</v>
      </c>
      <c r="AE114" s="50">
        <f>IF(AE113+AB113-AB114&lt;Model!$B$19*Model!$B$18, AE113+AB113-AB114,  0)</f>
        <v>178.51744207030424</v>
      </c>
      <c r="AF114" s="15">
        <f t="shared" si="31"/>
        <v>5.5999999999999881</v>
      </c>
      <c r="AG114" s="50">
        <f t="shared" si="32"/>
        <v>0</v>
      </c>
    </row>
    <row r="115" spans="2:33" x14ac:dyDescent="0.25">
      <c r="B115" s="13">
        <f t="shared" si="33"/>
        <v>5.6499999999999879</v>
      </c>
      <c r="C115" s="13">
        <f>B115+Model!$B$4</f>
        <v>7.6499999999999879</v>
      </c>
      <c r="D115" s="13">
        <f t="shared" si="34"/>
        <v>1</v>
      </c>
      <c r="E115" s="13">
        <f t="shared" si="37"/>
        <v>7.6499999999999879</v>
      </c>
      <c r="F115" s="14">
        <f>IF(AB115&gt;0, VLOOKUP(B115,Model!$A$40:$B$60, 2), 0)</f>
        <v>300</v>
      </c>
      <c r="G115" s="13">
        <f>IF(AB115&gt;0, VLOOKUP(B115,Model!$A$39:$C$58, 3), 0)</f>
        <v>0</v>
      </c>
      <c r="H115" s="13">
        <f t="shared" si="20"/>
        <v>0</v>
      </c>
      <c r="I115" s="46">
        <f>Model!$B$21*EXP((-0.029*9.81*F115)/(8.31*(273+J115)))</f>
        <v>100357.4491247143</v>
      </c>
      <c r="J115" s="13">
        <f>IF(Model!$B$31="Summer",  IF(F115&lt;=2000,  Model!$B$20-Model!$B$35*F115/1000,  IF(F115&lt;Model!$B$36,  Model!$B$33-6.5*F115/1000,  Model!$B$38)),     IF(F115&lt;=2000,  Model!$B$20-Model!$B$35*F115/1000,  IF(F115&lt;Model!$B$36,  Model!$B$33-5.4*F115/1000,   Model!$B$38)))</f>
        <v>-19.088750000000001</v>
      </c>
      <c r="K115" s="13">
        <f t="shared" si="21"/>
        <v>253.91125</v>
      </c>
      <c r="L115" s="46">
        <f>IF(AB114-AA114*(B115-B114)&gt;0, L114-Y114*(B115-B114)*3600-AD115*Model!$B$16, 0)</f>
        <v>1388.0337702925235</v>
      </c>
      <c r="M115" s="57">
        <f t="shared" si="22"/>
        <v>67.894910638468275</v>
      </c>
      <c r="N115" s="57">
        <f>Model!$B$13*I115*K115/(Model!$B$13*I115-L115*287*K115)</f>
        <v>340.89491063846828</v>
      </c>
      <c r="O115" s="57">
        <f t="shared" si="23"/>
        <v>297.40308031923416</v>
      </c>
      <c r="P115" s="57">
        <f t="shared" si="24"/>
        <v>24.403080319234135</v>
      </c>
      <c r="Q115" s="63">
        <f t="shared" si="25"/>
        <v>2.5732618702665626E-2</v>
      </c>
      <c r="R115" s="17">
        <f t="shared" si="26"/>
        <v>1.6137920353200354E-5</v>
      </c>
      <c r="S115" s="46">
        <f>0.37*Model!$B$10*(Q115^2*(N115-K115)*I115/(R115*O115^2))^0.33333*(N115-K115)</f>
        <v>619887.92378620605</v>
      </c>
      <c r="T115" s="51">
        <f>Model!$B$32+(90-Model!$B$6)*SIN(RADIANS(-15*(E115+6)))</f>
        <v>7.7823557528255645</v>
      </c>
      <c r="U115" s="46">
        <f t="shared" si="27"/>
        <v>7.7823557528255645</v>
      </c>
      <c r="V115" s="51">
        <f t="shared" si="28"/>
        <v>7.3849535927036589</v>
      </c>
      <c r="W115" s="46">
        <f t="shared" si="29"/>
        <v>0</v>
      </c>
      <c r="X115" s="46">
        <f>0.3*W115*Model!$B$9</f>
        <v>0</v>
      </c>
      <c r="Y115" s="17">
        <f>(S115-X115)/Model!$B$11</f>
        <v>1.3298035477554565E-2</v>
      </c>
      <c r="Z115" s="46">
        <f t="shared" si="30"/>
        <v>0</v>
      </c>
      <c r="AA115" s="57">
        <f>Y115/Model!$B$12*3600</f>
        <v>86.098516647986045</v>
      </c>
      <c r="AB115" s="51">
        <f t="shared" si="35"/>
        <v>1163.6774790567381</v>
      </c>
      <c r="AC115" s="51">
        <f t="shared" si="36"/>
        <v>636.32252094326191</v>
      </c>
      <c r="AD115" s="13">
        <f>IF(AE115=0, Model!$B$19, 0 )</f>
        <v>0</v>
      </c>
      <c r="AE115" s="51">
        <f>IF(AE114+AB114-AB115&lt;Model!$B$19*Model!$B$18, AE114+AB114-AB115,  0)</f>
        <v>182.83459575037523</v>
      </c>
      <c r="AF115" s="13">
        <f t="shared" si="31"/>
        <v>5.6499999999999879</v>
      </c>
      <c r="AG115" s="50">
        <f t="shared" si="32"/>
        <v>0</v>
      </c>
    </row>
    <row r="116" spans="2:33" x14ac:dyDescent="0.25">
      <c r="B116" s="15">
        <f t="shared" si="33"/>
        <v>5.6999999999999877</v>
      </c>
      <c r="C116" s="15">
        <f>B116+Model!$B$4</f>
        <v>7.6999999999999877</v>
      </c>
      <c r="D116" s="15">
        <f t="shared" si="34"/>
        <v>1</v>
      </c>
      <c r="E116" s="15">
        <f t="shared" si="37"/>
        <v>7.6999999999999877</v>
      </c>
      <c r="F116" s="16">
        <f>IF(AB116&gt;0, VLOOKUP(B116,Model!$A$40:$B$60, 2), 0)</f>
        <v>300</v>
      </c>
      <c r="G116" s="15">
        <f>IF(AB116&gt;0, VLOOKUP(B116,Model!$A$39:$C$58, 3), 0)</f>
        <v>0</v>
      </c>
      <c r="H116" s="15">
        <f t="shared" si="20"/>
        <v>0</v>
      </c>
      <c r="I116" s="45">
        <f>Model!$B$21*EXP((-0.029*9.81*F116)/(8.31*(273+J116)))</f>
        <v>100357.4491247143</v>
      </c>
      <c r="J116" s="15">
        <f>IF(Model!$B$31="Summer",  IF(F116&lt;=2000,  Model!$B$20-Model!$B$35*F116/1000,  IF(F116&lt;Model!$B$36,  Model!$B$33-6.5*F116/1000,  Model!$B$38)),     IF(F116&lt;=2000,  Model!$B$20-Model!$B$35*F116/1000,  IF(F116&lt;Model!$B$36,  Model!$B$33-5.4*F116/1000,   Model!$B$38)))</f>
        <v>-19.088750000000001</v>
      </c>
      <c r="K116" s="15">
        <f t="shared" si="21"/>
        <v>253.91125</v>
      </c>
      <c r="L116" s="45">
        <f>IF(AB115-AA115*(B116-B115)&gt;0, L115-Y115*(B116-B115)*3600-AD116*Model!$B$16, 0)</f>
        <v>1385.6401239065638</v>
      </c>
      <c r="M116" s="56">
        <f t="shared" si="22"/>
        <v>67.693640324626699</v>
      </c>
      <c r="N116" s="56">
        <f>Model!$B$13*I116*K116/(Model!$B$13*I116-L116*287*K116)</f>
        <v>340.6936403246267</v>
      </c>
      <c r="O116" s="56">
        <f t="shared" si="23"/>
        <v>297.30244516231335</v>
      </c>
      <c r="P116" s="56">
        <f t="shared" si="24"/>
        <v>24.302445162313347</v>
      </c>
      <c r="Q116" s="62">
        <f t="shared" si="25"/>
        <v>2.572547360652425E-2</v>
      </c>
      <c r="R116" s="33">
        <f t="shared" si="26"/>
        <v>1.6127454296880584E-5</v>
      </c>
      <c r="S116" s="45">
        <f>0.37*Model!$B$10*(Q116^2*(N116-K116)*I116/(R116*O116^2))^0.33333*(N116-K116)</f>
        <v>618134.87568837462</v>
      </c>
      <c r="T116" s="50">
        <f>Model!$B$32+(90-Model!$B$6)*SIN(RADIANS(-15*(E116+6)))</f>
        <v>8.1971533273059141</v>
      </c>
      <c r="U116" s="45">
        <f t="shared" si="27"/>
        <v>8.1971533273059141</v>
      </c>
      <c r="V116" s="50">
        <f t="shared" si="28"/>
        <v>7.013618316605343</v>
      </c>
      <c r="W116" s="45">
        <f t="shared" si="29"/>
        <v>0</v>
      </c>
      <c r="X116" s="45">
        <f>0.3*W116*Model!$B$9</f>
        <v>0</v>
      </c>
      <c r="Y116" s="33">
        <f>(S116-X116)/Model!$B$11</f>
        <v>1.3260428524903457E-2</v>
      </c>
      <c r="Z116" s="45">
        <f t="shared" si="30"/>
        <v>0</v>
      </c>
      <c r="AA116" s="56">
        <f>Y116/Model!$B$12*3600</f>
        <v>85.855029341580774</v>
      </c>
      <c r="AB116" s="50">
        <f t="shared" si="35"/>
        <v>1159.3725532243388</v>
      </c>
      <c r="AC116" s="50">
        <f t="shared" si="36"/>
        <v>640.62744677566116</v>
      </c>
      <c r="AD116" s="15">
        <f>IF(AE116=0, Model!$B$19, 0 )</f>
        <v>0</v>
      </c>
      <c r="AE116" s="50">
        <f>IF(AE115+AB115-AB116&lt;Model!$B$19*Model!$B$18, AE115+AB115-AB116,  0)</f>
        <v>187.13952158277448</v>
      </c>
      <c r="AF116" s="15">
        <f t="shared" si="31"/>
        <v>5.6999999999999877</v>
      </c>
      <c r="AG116" s="50">
        <f t="shared" si="32"/>
        <v>0</v>
      </c>
    </row>
    <row r="117" spans="2:33" x14ac:dyDescent="0.25">
      <c r="B117" s="13">
        <f t="shared" si="33"/>
        <v>5.7499999999999876</v>
      </c>
      <c r="C117" s="13">
        <f>B117+Model!$B$4</f>
        <v>7.7499999999999876</v>
      </c>
      <c r="D117" s="13">
        <f t="shared" si="34"/>
        <v>1</v>
      </c>
      <c r="E117" s="13">
        <f t="shared" si="37"/>
        <v>7.7499999999999876</v>
      </c>
      <c r="F117" s="14">
        <f>IF(AB117&gt;0, VLOOKUP(B117,Model!$A$40:$B$60, 2), 0)</f>
        <v>300</v>
      </c>
      <c r="G117" s="13">
        <f>IF(AB117&gt;0, VLOOKUP(B117,Model!$A$39:$C$58, 3), 0)</f>
        <v>0</v>
      </c>
      <c r="H117" s="13">
        <f t="shared" si="20"/>
        <v>0</v>
      </c>
      <c r="I117" s="46">
        <f>Model!$B$21*EXP((-0.029*9.81*F117)/(8.31*(273+J117)))</f>
        <v>100357.4491247143</v>
      </c>
      <c r="J117" s="13">
        <f>IF(Model!$B$31="Summer",  IF(F117&lt;=2000,  Model!$B$20-Model!$B$35*F117/1000,  IF(F117&lt;Model!$B$36,  Model!$B$33-6.5*F117/1000,  Model!$B$38)),     IF(F117&lt;=2000,  Model!$B$20-Model!$B$35*F117/1000,  IF(F117&lt;Model!$B$36,  Model!$B$33-5.4*F117/1000,   Model!$B$38)))</f>
        <v>-19.088750000000001</v>
      </c>
      <c r="K117" s="13">
        <f t="shared" si="21"/>
        <v>253.91125</v>
      </c>
      <c r="L117" s="46">
        <f>IF(AB116-AA116*(B117-B116)&gt;0, L116-Y116*(B117-B116)*3600-AD117*Model!$B$16, 0)</f>
        <v>1383.2532467720812</v>
      </c>
      <c r="M117" s="57">
        <f t="shared" si="22"/>
        <v>67.493175725407866</v>
      </c>
      <c r="N117" s="57">
        <f>Model!$B$13*I117*K117/(Model!$B$13*I117-L117*287*K117)</f>
        <v>340.49317572540787</v>
      </c>
      <c r="O117" s="57">
        <f t="shared" si="23"/>
        <v>297.20221286270396</v>
      </c>
      <c r="P117" s="57">
        <f t="shared" si="24"/>
        <v>24.202212862703931</v>
      </c>
      <c r="Q117" s="63">
        <f t="shared" si="25"/>
        <v>2.5718357113251981E-2</v>
      </c>
      <c r="R117" s="17">
        <f t="shared" si="26"/>
        <v>1.6117030137721212E-5</v>
      </c>
      <c r="S117" s="46">
        <f>0.37*Model!$B$10*(Q117^2*(N117-K117)*I117/(R117*O117^2))^0.33333*(N117-K117)</f>
        <v>616389.48035444657</v>
      </c>
      <c r="T117" s="51">
        <f>Model!$B$32+(90-Model!$B$6)*SIN(RADIANS(-15*(E117+6)))</f>
        <v>8.6093690966806182</v>
      </c>
      <c r="U117" s="46">
        <f t="shared" si="27"/>
        <v>8.6093690966806182</v>
      </c>
      <c r="V117" s="51">
        <f t="shared" si="28"/>
        <v>6.6801594997954119</v>
      </c>
      <c r="W117" s="46">
        <f t="shared" si="29"/>
        <v>0</v>
      </c>
      <c r="X117" s="46">
        <f>0.3*W117*Model!$B$9</f>
        <v>0</v>
      </c>
      <c r="Y117" s="17">
        <f>(S117-X117)/Model!$B$11</f>
        <v>1.3222985741809429E-2</v>
      </c>
      <c r="Z117" s="46">
        <f t="shared" si="30"/>
        <v>0</v>
      </c>
      <c r="AA117" s="57">
        <f>Y117/Model!$B$12*3600</f>
        <v>85.612604955737496</v>
      </c>
      <c r="AB117" s="51">
        <f t="shared" si="35"/>
        <v>1155.0798017572599</v>
      </c>
      <c r="AC117" s="51">
        <f t="shared" si="36"/>
        <v>644.92019824274007</v>
      </c>
      <c r="AD117" s="13">
        <f>IF(AE117=0, Model!$B$19, 0 )</f>
        <v>0</v>
      </c>
      <c r="AE117" s="51">
        <f>IF(AE116+AB116-AB117&lt;Model!$B$19*Model!$B$18, AE116+AB116-AB117,  0)</f>
        <v>191.43227304985339</v>
      </c>
      <c r="AF117" s="13">
        <f t="shared" si="31"/>
        <v>5.7499999999999876</v>
      </c>
      <c r="AG117" s="50">
        <f t="shared" si="32"/>
        <v>0</v>
      </c>
    </row>
    <row r="118" spans="2:33" x14ac:dyDescent="0.25">
      <c r="B118" s="15">
        <f t="shared" si="33"/>
        <v>5.7999999999999874</v>
      </c>
      <c r="C118" s="15">
        <f>B118+Model!$B$4</f>
        <v>7.7999999999999874</v>
      </c>
      <c r="D118" s="15">
        <f t="shared" si="34"/>
        <v>1</v>
      </c>
      <c r="E118" s="15">
        <f t="shared" si="37"/>
        <v>7.7999999999999874</v>
      </c>
      <c r="F118" s="16">
        <f>IF(AB118&gt;0, VLOOKUP(B118,Model!$A$40:$B$60, 2), 0)</f>
        <v>300</v>
      </c>
      <c r="G118" s="15">
        <f>IF(AB118&gt;0, VLOOKUP(B118,Model!$A$39:$C$58, 3), 0)</f>
        <v>0</v>
      </c>
      <c r="H118" s="15">
        <f t="shared" si="20"/>
        <v>0</v>
      </c>
      <c r="I118" s="45">
        <f>Model!$B$21*EXP((-0.029*9.81*F118)/(8.31*(273+J118)))</f>
        <v>100357.4491247143</v>
      </c>
      <c r="J118" s="15">
        <f>IF(Model!$B$31="Summer",  IF(F118&lt;=2000,  Model!$B$20-Model!$B$35*F118/1000,  IF(F118&lt;Model!$B$36,  Model!$B$33-6.5*F118/1000,  Model!$B$38)),     IF(F118&lt;=2000,  Model!$B$20-Model!$B$35*F118/1000,  IF(F118&lt;Model!$B$36,  Model!$B$33-5.4*F118/1000,   Model!$B$38)))</f>
        <v>-19.088750000000001</v>
      </c>
      <c r="K118" s="15">
        <f t="shared" si="21"/>
        <v>253.91125</v>
      </c>
      <c r="L118" s="45">
        <f>IF(AB117-AA117*(B118-B117)&gt;0, L117-Y117*(B118-B117)*3600-AD118*Model!$B$16, 0)</f>
        <v>1380.8731093385554</v>
      </c>
      <c r="M118" s="56">
        <f t="shared" si="22"/>
        <v>67.293511938958147</v>
      </c>
      <c r="N118" s="56">
        <f>Model!$B$13*I118*K118/(Model!$B$13*I118-L118*287*K118)</f>
        <v>340.29351193895815</v>
      </c>
      <c r="O118" s="56">
        <f t="shared" si="23"/>
        <v>297.1023809694791</v>
      </c>
      <c r="P118" s="56">
        <f t="shared" si="24"/>
        <v>24.102380969479071</v>
      </c>
      <c r="Q118" s="62">
        <f t="shared" si="25"/>
        <v>2.5711269048833016E-2</v>
      </c>
      <c r="R118" s="33">
        <f t="shared" si="26"/>
        <v>1.6106647620825824E-5</v>
      </c>
      <c r="S118" s="45">
        <f>0.37*Model!$B$10*(Q118^2*(N118-K118)*I118/(R118*O118^2))^0.33333*(N118-K118)</f>
        <v>614651.68976362376</v>
      </c>
      <c r="T118" s="50">
        <f>Model!$B$32+(90-Model!$B$6)*SIN(RADIANS(-15*(E118+6)))</f>
        <v>9.0189324298996976</v>
      </c>
      <c r="U118" s="45">
        <f t="shared" si="27"/>
        <v>9.0189324298996976</v>
      </c>
      <c r="V118" s="50">
        <f t="shared" si="28"/>
        <v>6.3791449299257801</v>
      </c>
      <c r="W118" s="45">
        <f t="shared" si="29"/>
        <v>0</v>
      </c>
      <c r="X118" s="45">
        <f>0.3*W118*Model!$B$9</f>
        <v>0</v>
      </c>
      <c r="Y118" s="33">
        <f>(S118-X118)/Model!$B$11</f>
        <v>1.318570609811485E-2</v>
      </c>
      <c r="Z118" s="45">
        <f t="shared" si="30"/>
        <v>0</v>
      </c>
      <c r="AA118" s="56">
        <f>Y118/Model!$B$12*3600</f>
        <v>85.371236820670759</v>
      </c>
      <c r="AB118" s="50">
        <f t="shared" si="35"/>
        <v>1150.7991715094731</v>
      </c>
      <c r="AC118" s="50">
        <f t="shared" si="36"/>
        <v>649.20082849052687</v>
      </c>
      <c r="AD118" s="15">
        <f>IF(AE118=0, Model!$B$19, 0 )</f>
        <v>0</v>
      </c>
      <c r="AE118" s="50">
        <f>IF(AE117+AB117-AB118&lt;Model!$B$19*Model!$B$18, AE117+AB117-AB118,  0)</f>
        <v>195.7129032976402</v>
      </c>
      <c r="AF118" s="15">
        <f t="shared" si="31"/>
        <v>5.7999999999999874</v>
      </c>
      <c r="AG118" s="50">
        <f t="shared" si="32"/>
        <v>0</v>
      </c>
    </row>
    <row r="119" spans="2:33" x14ac:dyDescent="0.25">
      <c r="B119" s="13">
        <f t="shared" si="33"/>
        <v>5.8499999999999872</v>
      </c>
      <c r="C119" s="13">
        <f>B119+Model!$B$4</f>
        <v>7.8499999999999872</v>
      </c>
      <c r="D119" s="13">
        <f t="shared" si="34"/>
        <v>1</v>
      </c>
      <c r="E119" s="13">
        <f t="shared" si="37"/>
        <v>7.8499999999999872</v>
      </c>
      <c r="F119" s="14">
        <f>IF(AB119&gt;0, VLOOKUP(B119,Model!$A$40:$B$60, 2), 0)</f>
        <v>300</v>
      </c>
      <c r="G119" s="13">
        <f>IF(AB119&gt;0, VLOOKUP(B119,Model!$A$39:$C$58, 3), 0)</f>
        <v>0</v>
      </c>
      <c r="H119" s="13">
        <f t="shared" si="20"/>
        <v>0</v>
      </c>
      <c r="I119" s="46">
        <f>Model!$B$21*EXP((-0.029*9.81*F119)/(8.31*(273+J119)))</f>
        <v>100357.4491247143</v>
      </c>
      <c r="J119" s="13">
        <f>IF(Model!$B$31="Summer",  IF(F119&lt;=2000,  Model!$B$20-Model!$B$35*F119/1000,  IF(F119&lt;Model!$B$36,  Model!$B$33-6.5*F119/1000,  Model!$B$38)),     IF(F119&lt;=2000,  Model!$B$20-Model!$B$35*F119/1000,  IF(F119&lt;Model!$B$36,  Model!$B$33-5.4*F119/1000,   Model!$B$38)))</f>
        <v>-19.088750000000001</v>
      </c>
      <c r="K119" s="13">
        <f t="shared" si="21"/>
        <v>253.91125</v>
      </c>
      <c r="L119" s="46">
        <f>IF(AB118-AA118*(B119-B118)&gt;0, L118-Y118*(B119-B118)*3600-AD119*Model!$B$16, 0)</f>
        <v>1378.4996822408948</v>
      </c>
      <c r="M119" s="57">
        <f t="shared" si="22"/>
        <v>67.094644104255508</v>
      </c>
      <c r="N119" s="57">
        <f>Model!$B$13*I119*K119/(Model!$B$13*I119-L119*287*K119)</f>
        <v>340.09464410425551</v>
      </c>
      <c r="O119" s="57">
        <f t="shared" si="23"/>
        <v>297.00294705212775</v>
      </c>
      <c r="P119" s="57">
        <f t="shared" si="24"/>
        <v>24.002947052127752</v>
      </c>
      <c r="Q119" s="63">
        <f t="shared" si="25"/>
        <v>2.5704209240701072E-2</v>
      </c>
      <c r="R119" s="17">
        <f t="shared" si="26"/>
        <v>1.6096306493421283E-5</v>
      </c>
      <c r="S119" s="46">
        <f>0.37*Model!$B$10*(Q119^2*(N119-K119)*I119/(R119*O119^2))^0.33333*(N119-K119)</f>
        <v>612921.45629884105</v>
      </c>
      <c r="T119" s="51">
        <f>Model!$B$32+(90-Model!$B$6)*SIN(RADIANS(-15*(E119+6)))</f>
        <v>9.4257731503944626</v>
      </c>
      <c r="U119" s="46">
        <f t="shared" si="27"/>
        <v>9.4257731503944626</v>
      </c>
      <c r="V119" s="51">
        <f t="shared" si="28"/>
        <v>6.1061344410993801</v>
      </c>
      <c r="W119" s="46">
        <f t="shared" si="29"/>
        <v>0</v>
      </c>
      <c r="X119" s="46">
        <f>0.3*W119*Model!$B$9</f>
        <v>0</v>
      </c>
      <c r="Y119" s="17">
        <f>(S119-X119)/Model!$B$11</f>
        <v>1.3148588572323094E-2</v>
      </c>
      <c r="Z119" s="46">
        <f t="shared" si="30"/>
        <v>0</v>
      </c>
      <c r="AA119" s="57">
        <f>Y119/Model!$B$12*3600</f>
        <v>85.130918322670993</v>
      </c>
      <c r="AB119" s="51">
        <f t="shared" si="35"/>
        <v>1146.5306096684396</v>
      </c>
      <c r="AC119" s="51">
        <f t="shared" si="36"/>
        <v>653.46939033156036</v>
      </c>
      <c r="AD119" s="13">
        <f>IF(AE119=0, Model!$B$19, 0 )</f>
        <v>0</v>
      </c>
      <c r="AE119" s="51">
        <f>IF(AE118+AB118-AB119&lt;Model!$B$19*Model!$B$18, AE118+AB118-AB119,  0)</f>
        <v>199.98146513867368</v>
      </c>
      <c r="AF119" s="13">
        <f t="shared" si="31"/>
        <v>5.8499999999999872</v>
      </c>
      <c r="AG119" s="50">
        <f t="shared" si="32"/>
        <v>0</v>
      </c>
    </row>
    <row r="120" spans="2:33" x14ac:dyDescent="0.25">
      <c r="B120" s="15">
        <f t="shared" si="33"/>
        <v>5.899999999999987</v>
      </c>
      <c r="C120" s="15">
        <f>B120+Model!$B$4</f>
        <v>7.899999999999987</v>
      </c>
      <c r="D120" s="15">
        <f t="shared" si="34"/>
        <v>1</v>
      </c>
      <c r="E120" s="15">
        <f t="shared" si="37"/>
        <v>7.899999999999987</v>
      </c>
      <c r="F120" s="16">
        <f>IF(AB120&gt;0, VLOOKUP(B120,Model!$A$40:$B$60, 2), 0)</f>
        <v>300</v>
      </c>
      <c r="G120" s="15">
        <f>IF(AB120&gt;0, VLOOKUP(B120,Model!$A$39:$C$58, 3), 0)</f>
        <v>0</v>
      </c>
      <c r="H120" s="15">
        <f t="shared" si="20"/>
        <v>0</v>
      </c>
      <c r="I120" s="45">
        <f>Model!$B$21*EXP((-0.029*9.81*F120)/(8.31*(273+J120)))</f>
        <v>100357.4491247143</v>
      </c>
      <c r="J120" s="15">
        <f>IF(Model!$B$31="Summer",  IF(F120&lt;=2000,  Model!$B$20-Model!$B$35*F120/1000,  IF(F120&lt;Model!$B$36,  Model!$B$33-6.5*F120/1000,  Model!$B$38)),     IF(F120&lt;=2000,  Model!$B$20-Model!$B$35*F120/1000,  IF(F120&lt;Model!$B$36,  Model!$B$33-5.4*F120/1000,   Model!$B$38)))</f>
        <v>-19.088750000000001</v>
      </c>
      <c r="K120" s="15">
        <f t="shared" si="21"/>
        <v>253.91125</v>
      </c>
      <c r="L120" s="45">
        <f>IF(AB119-AA119*(B120-B119)&gt;0, L119-Y119*(B120-B119)*3600-AD120*Model!$B$16, 0)</f>
        <v>1376.1329362978765</v>
      </c>
      <c r="M120" s="56">
        <f t="shared" si="22"/>
        <v>66.896567400675679</v>
      </c>
      <c r="N120" s="56">
        <f>Model!$B$13*I120*K120/(Model!$B$13*I120-L120*287*K120)</f>
        <v>339.89656740067568</v>
      </c>
      <c r="O120" s="56">
        <f t="shared" si="23"/>
        <v>296.90390870033787</v>
      </c>
      <c r="P120" s="56">
        <f t="shared" si="24"/>
        <v>23.903908700337837</v>
      </c>
      <c r="Q120" s="62">
        <f t="shared" si="25"/>
        <v>2.569717751772399E-2</v>
      </c>
      <c r="R120" s="33">
        <f t="shared" si="26"/>
        <v>1.6086006504835134E-5</v>
      </c>
      <c r="S120" s="45">
        <f>0.37*Model!$B$10*(Q120^2*(N120-K120)*I120/(R120*O120^2))^0.33333*(N120-K120)</f>
        <v>611198.73274246894</v>
      </c>
      <c r="T120" s="50">
        <f>Model!$B$32+(90-Model!$B$6)*SIN(RADIANS(-15*(E120+6)))</f>
        <v>9.8298215481018758</v>
      </c>
      <c r="U120" s="45">
        <f t="shared" si="27"/>
        <v>9.8298215481018758</v>
      </c>
      <c r="V120" s="50">
        <f t="shared" si="28"/>
        <v>5.8574633619715692</v>
      </c>
      <c r="W120" s="45">
        <f t="shared" si="29"/>
        <v>0</v>
      </c>
      <c r="X120" s="45">
        <f>0.3*W120*Model!$B$9</f>
        <v>0</v>
      </c>
      <c r="Y120" s="33">
        <f>(S120-X120)/Model!$B$11</f>
        <v>1.3111632151506359E-2</v>
      </c>
      <c r="Z120" s="45">
        <f t="shared" si="30"/>
        <v>0</v>
      </c>
      <c r="AA120" s="56">
        <f>Y120/Model!$B$12*3600</f>
        <v>84.891642903507744</v>
      </c>
      <c r="AB120" s="50">
        <f t="shared" si="35"/>
        <v>1142.2740637523061</v>
      </c>
      <c r="AC120" s="50">
        <f t="shared" si="36"/>
        <v>657.72593624769388</v>
      </c>
      <c r="AD120" s="15">
        <f>IF(AE120=0, Model!$B$19, 0 )</f>
        <v>0</v>
      </c>
      <c r="AE120" s="50">
        <f>IF(AE119+AB119-AB120&lt;Model!$B$19*Model!$B$18, AE119+AB119-AB120,  0)</f>
        <v>204.2380110548072</v>
      </c>
      <c r="AF120" s="15">
        <f t="shared" si="31"/>
        <v>5.899999999999987</v>
      </c>
      <c r="AG120" s="50">
        <f t="shared" si="32"/>
        <v>0</v>
      </c>
    </row>
    <row r="121" spans="2:33" x14ac:dyDescent="0.25">
      <c r="B121" s="13">
        <f t="shared" si="33"/>
        <v>5.9499999999999869</v>
      </c>
      <c r="C121" s="13">
        <f>B121+Model!$B$4</f>
        <v>7.9499999999999869</v>
      </c>
      <c r="D121" s="13">
        <f t="shared" si="34"/>
        <v>1</v>
      </c>
      <c r="E121" s="13">
        <f t="shared" si="37"/>
        <v>7.9499999999999869</v>
      </c>
      <c r="F121" s="14">
        <f>IF(AB121&gt;0, VLOOKUP(B121,Model!$A$40:$B$60, 2), 0)</f>
        <v>300</v>
      </c>
      <c r="G121" s="13">
        <f>IF(AB121&gt;0, VLOOKUP(B121,Model!$A$39:$C$58, 3), 0)</f>
        <v>0</v>
      </c>
      <c r="H121" s="13">
        <f t="shared" si="20"/>
        <v>0</v>
      </c>
      <c r="I121" s="46">
        <f>Model!$B$21*EXP((-0.029*9.81*F121)/(8.31*(273+J121)))</f>
        <v>100357.4491247143</v>
      </c>
      <c r="J121" s="13">
        <f>IF(Model!$B$31="Summer",  IF(F121&lt;=2000,  Model!$B$20-Model!$B$35*F121/1000,  IF(F121&lt;Model!$B$36,  Model!$B$33-6.5*F121/1000,  Model!$B$38)),     IF(F121&lt;=2000,  Model!$B$20-Model!$B$35*F121/1000,  IF(F121&lt;Model!$B$36,  Model!$B$33-5.4*F121/1000,   Model!$B$38)))</f>
        <v>-19.088750000000001</v>
      </c>
      <c r="K121" s="13">
        <f t="shared" si="21"/>
        <v>253.91125</v>
      </c>
      <c r="L121" s="46">
        <f>IF(AB120-AA120*(B121-B120)&gt;0, L120-Y120*(B121-B120)*3600-AD121*Model!$B$16, 0)</f>
        <v>1373.7728425106054</v>
      </c>
      <c r="M121" s="57">
        <f t="shared" si="22"/>
        <v>66.699277047564465</v>
      </c>
      <c r="N121" s="57">
        <f>Model!$B$13*I121*K121/(Model!$B$13*I121-L121*287*K121)</f>
        <v>339.69927704756446</v>
      </c>
      <c r="O121" s="57">
        <f t="shared" si="23"/>
        <v>296.80526352378223</v>
      </c>
      <c r="P121" s="57">
        <f t="shared" si="24"/>
        <v>23.80526352378223</v>
      </c>
      <c r="Q121" s="63">
        <f t="shared" si="25"/>
        <v>2.569017371018854E-2</v>
      </c>
      <c r="R121" s="17">
        <f t="shared" si="26"/>
        <v>1.6075747406473349E-5</v>
      </c>
      <c r="S121" s="46">
        <f>0.37*Model!$B$10*(Q121^2*(N121-K121)*I121/(R121*O121^2))^0.33333*(N121-K121)</f>
        <v>609483.47227207641</v>
      </c>
      <c r="T121" s="51">
        <f>Model!$B$32+(90-Model!$B$6)*SIN(RADIANS(-15*(E121+6)))</f>
        <v>10.231008391408995</v>
      </c>
      <c r="U121" s="46">
        <f t="shared" si="27"/>
        <v>10.231008391408995</v>
      </c>
      <c r="V121" s="51">
        <f t="shared" si="28"/>
        <v>5.6300803165262812</v>
      </c>
      <c r="W121" s="46">
        <f t="shared" si="29"/>
        <v>0</v>
      </c>
      <c r="X121" s="46">
        <f>0.3*W121*Model!$B$9</f>
        <v>0</v>
      </c>
      <c r="Y121" s="17">
        <f>(S121-X121)/Model!$B$11</f>
        <v>1.3074835831214769E-2</v>
      </c>
      <c r="Z121" s="46">
        <f t="shared" si="30"/>
        <v>0</v>
      </c>
      <c r="AA121" s="57">
        <f>Y121/Model!$B$12*3600</f>
        <v>84.653404059841137</v>
      </c>
      <c r="AB121" s="51">
        <f t="shared" si="35"/>
        <v>1138.0294816071307</v>
      </c>
      <c r="AC121" s="51">
        <f t="shared" si="36"/>
        <v>661.97051839286928</v>
      </c>
      <c r="AD121" s="13">
        <f>IF(AE121=0, Model!$B$19, 0 )</f>
        <v>0</v>
      </c>
      <c r="AE121" s="51">
        <f>IF(AE120+AB120-AB121&lt;Model!$B$19*Model!$B$18, AE120+AB120-AB121,  0)</f>
        <v>208.4825931999826</v>
      </c>
      <c r="AF121" s="13">
        <f t="shared" si="31"/>
        <v>5.9499999999999869</v>
      </c>
      <c r="AG121" s="50">
        <f t="shared" si="32"/>
        <v>0</v>
      </c>
    </row>
    <row r="122" spans="2:33" x14ac:dyDescent="0.25">
      <c r="B122" s="15">
        <f t="shared" si="33"/>
        <v>5.9999999999999867</v>
      </c>
      <c r="C122" s="15">
        <f>B122+Model!$B$4</f>
        <v>7.9999999999999867</v>
      </c>
      <c r="D122" s="15">
        <f t="shared" si="34"/>
        <v>1</v>
      </c>
      <c r="E122" s="15">
        <f t="shared" si="37"/>
        <v>7.9999999999999867</v>
      </c>
      <c r="F122" s="16">
        <f>IF(AB122&gt;0, VLOOKUP(B122,Model!$A$40:$B$60, 2), 0)</f>
        <v>300</v>
      </c>
      <c r="G122" s="15">
        <f>IF(AB122&gt;0, VLOOKUP(B122,Model!$A$39:$C$58, 3), 0)</f>
        <v>0</v>
      </c>
      <c r="H122" s="15">
        <f t="shared" si="20"/>
        <v>0</v>
      </c>
      <c r="I122" s="45">
        <f>Model!$B$21*EXP((-0.029*9.81*F122)/(8.31*(273+J122)))</f>
        <v>100357.4491247143</v>
      </c>
      <c r="J122" s="15">
        <f>IF(Model!$B$31="Summer",  IF(F122&lt;=2000,  Model!$B$20-Model!$B$35*F122/1000,  IF(F122&lt;Model!$B$36,  Model!$B$33-6.5*F122/1000,  Model!$B$38)),     IF(F122&lt;=2000,  Model!$B$20-Model!$B$35*F122/1000,  IF(F122&lt;Model!$B$36,  Model!$B$33-5.4*F122/1000,   Model!$B$38)))</f>
        <v>-19.088750000000001</v>
      </c>
      <c r="K122" s="15">
        <f t="shared" si="21"/>
        <v>253.91125</v>
      </c>
      <c r="L122" s="45">
        <f>IF(AB121-AA121*(B122-B121)&gt;0, L121-Y121*(B122-B121)*3600-AD122*Model!$B$16, 0)</f>
        <v>1371.4193720609867</v>
      </c>
      <c r="M122" s="56">
        <f t="shared" si="22"/>
        <v>66.502768303814833</v>
      </c>
      <c r="N122" s="56">
        <f>Model!$B$13*I122*K122/(Model!$B$13*I122-L122*287*K122)</f>
        <v>339.50276830381483</v>
      </c>
      <c r="O122" s="56">
        <f t="shared" si="23"/>
        <v>296.70700915190741</v>
      </c>
      <c r="P122" s="56">
        <f t="shared" si="24"/>
        <v>23.707009151907414</v>
      </c>
      <c r="Q122" s="62">
        <f t="shared" si="25"/>
        <v>2.5683197649785428E-2</v>
      </c>
      <c r="R122" s="33">
        <f t="shared" si="26"/>
        <v>1.606552895179837E-5</v>
      </c>
      <c r="S122" s="45">
        <f>0.37*Model!$B$10*(Q122^2*(N122-K122)*I122/(R122*O122^2))^0.33333*(N122-K122)</f>
        <v>607775.62845624378</v>
      </c>
      <c r="T122" s="50">
        <f>Model!$B$32+(90-Model!$B$6)*SIN(RADIANS(-15*(E122+6)))</f>
        <v>10.62926493901556</v>
      </c>
      <c r="U122" s="45">
        <f t="shared" si="27"/>
        <v>10.62926493901556</v>
      </c>
      <c r="V122" s="50">
        <f t="shared" si="28"/>
        <v>5.4214241008787853</v>
      </c>
      <c r="W122" s="45">
        <f t="shared" si="29"/>
        <v>0</v>
      </c>
      <c r="X122" s="45">
        <f>0.3*W122*Model!$B$9</f>
        <v>0</v>
      </c>
      <c r="Y122" s="33">
        <f>(S122-X122)/Model!$B$11</f>
        <v>1.3038198615386545E-2</v>
      </c>
      <c r="Z122" s="45">
        <f t="shared" si="30"/>
        <v>0</v>
      </c>
      <c r="AA122" s="56">
        <f>Y122/Model!$B$12*3600</f>
        <v>84.416195342640279</v>
      </c>
      <c r="AB122" s="50">
        <f t="shared" si="35"/>
        <v>1133.7968114041387</v>
      </c>
      <c r="AC122" s="50">
        <f t="shared" si="36"/>
        <v>666.20318859586132</v>
      </c>
      <c r="AD122" s="15">
        <f>IF(AE122=0, Model!$B$19, 0 )</f>
        <v>0</v>
      </c>
      <c r="AE122" s="50">
        <f>IF(AE121+AB121-AB122&lt;Model!$B$19*Model!$B$18, AE121+AB121-AB122,  0)</f>
        <v>212.71526340297464</v>
      </c>
      <c r="AF122" s="15">
        <f t="shared" si="31"/>
        <v>5.9999999999999867</v>
      </c>
      <c r="AG122" s="50">
        <f t="shared" si="32"/>
        <v>0</v>
      </c>
    </row>
    <row r="123" spans="2:33" x14ac:dyDescent="0.25">
      <c r="B123" s="13">
        <f t="shared" si="33"/>
        <v>6.0499999999999865</v>
      </c>
      <c r="C123" s="13">
        <f>B123+Model!$B$4</f>
        <v>8.0499999999999865</v>
      </c>
      <c r="D123" s="13">
        <f t="shared" si="34"/>
        <v>1</v>
      </c>
      <c r="E123" s="13">
        <f t="shared" si="37"/>
        <v>8.0499999999999865</v>
      </c>
      <c r="F123" s="14">
        <f>IF(AB123&gt;0, VLOOKUP(B123,Model!$A$40:$B$60, 2), 0)</f>
        <v>300</v>
      </c>
      <c r="G123" s="13">
        <f>IF(AB123&gt;0, VLOOKUP(B123,Model!$A$39:$C$58, 3), 0)</f>
        <v>0</v>
      </c>
      <c r="H123" s="13">
        <f t="shared" si="20"/>
        <v>0</v>
      </c>
      <c r="I123" s="46">
        <f>Model!$B$21*EXP((-0.029*9.81*F123)/(8.31*(273+J123)))</f>
        <v>100357.4491247143</v>
      </c>
      <c r="J123" s="13">
        <f>IF(Model!$B$31="Summer",  IF(F123&lt;=2000,  Model!$B$20-Model!$B$35*F123/1000,  IF(F123&lt;Model!$B$36,  Model!$B$33-6.5*F123/1000,  Model!$B$38)),     IF(F123&lt;=2000,  Model!$B$20-Model!$B$35*F123/1000,  IF(F123&lt;Model!$B$36,  Model!$B$33-5.4*F123/1000,   Model!$B$38)))</f>
        <v>-19.088750000000001</v>
      </c>
      <c r="K123" s="13">
        <f t="shared" si="21"/>
        <v>253.91125</v>
      </c>
      <c r="L123" s="46">
        <f>IF(AB122-AA122*(B123-B122)&gt;0, L122-Y122*(B123-B122)*3600-AD123*Model!$B$16, 0)</f>
        <v>1369.072496310217</v>
      </c>
      <c r="M123" s="57">
        <f t="shared" si="22"/>
        <v>66.307036467450075</v>
      </c>
      <c r="N123" s="57">
        <f>Model!$B$13*I123*K123/(Model!$B$13*I123-L123*287*K123)</f>
        <v>339.30703646745008</v>
      </c>
      <c r="O123" s="57">
        <f t="shared" si="23"/>
        <v>296.60914323372504</v>
      </c>
      <c r="P123" s="57">
        <f t="shared" si="24"/>
        <v>23.609143233725035</v>
      </c>
      <c r="Q123" s="63">
        <f t="shared" si="25"/>
        <v>2.5676249169594479E-2</v>
      </c>
      <c r="R123" s="17">
        <f t="shared" si="26"/>
        <v>1.60553508963074E-5</v>
      </c>
      <c r="S123" s="46">
        <f>0.37*Model!$B$10*(Q123^2*(N123-K123)*I123/(R123*O123^2))^0.33333*(N123-K123)</f>
        <v>606075.15525042987</v>
      </c>
      <c r="T123" s="51">
        <f>Model!$B$32+(90-Model!$B$6)*SIN(RADIANS(-15*(E123+6)))</f>
        <v>11.024522951712402</v>
      </c>
      <c r="U123" s="46">
        <f t="shared" si="27"/>
        <v>11.024522951712402</v>
      </c>
      <c r="V123" s="51">
        <f t="shared" si="28"/>
        <v>5.2293290771582015</v>
      </c>
      <c r="W123" s="46">
        <f t="shared" si="29"/>
        <v>0</v>
      </c>
      <c r="X123" s="46">
        <f>0.3*W123*Model!$B$9</f>
        <v>0</v>
      </c>
      <c r="Y123" s="17">
        <f>(S123-X123)/Model!$B$11</f>
        <v>1.3001719516259357E-2</v>
      </c>
      <c r="Z123" s="46">
        <f t="shared" si="30"/>
        <v>0</v>
      </c>
      <c r="AA123" s="57">
        <f>Y123/Model!$B$12*3600</f>
        <v>84.180010356609287</v>
      </c>
      <c r="AB123" s="51">
        <f t="shared" si="35"/>
        <v>1129.5760016370066</v>
      </c>
      <c r="AC123" s="51">
        <f t="shared" si="36"/>
        <v>670.42399836299342</v>
      </c>
      <c r="AD123" s="13">
        <f>IF(AE123=0, Model!$B$19, 0 )</f>
        <v>0</v>
      </c>
      <c r="AE123" s="51">
        <f>IF(AE122+AB122-AB123&lt;Model!$B$19*Model!$B$18, AE122+AB122-AB123,  0)</f>
        <v>216.93607317010674</v>
      </c>
      <c r="AF123" s="13">
        <f t="shared" si="31"/>
        <v>6.0499999999999865</v>
      </c>
      <c r="AG123" s="50">
        <f t="shared" si="32"/>
        <v>0</v>
      </c>
    </row>
    <row r="124" spans="2:33" x14ac:dyDescent="0.25">
      <c r="B124" s="15">
        <f t="shared" si="33"/>
        <v>6.0999999999999863</v>
      </c>
      <c r="C124" s="15">
        <f>B124+Model!$B$4</f>
        <v>8.0999999999999872</v>
      </c>
      <c r="D124" s="15">
        <f t="shared" si="34"/>
        <v>1</v>
      </c>
      <c r="E124" s="15">
        <f t="shared" si="37"/>
        <v>8.0999999999999872</v>
      </c>
      <c r="F124" s="16">
        <f>IF(AB124&gt;0, VLOOKUP(B124,Model!$A$40:$B$60, 2), 0)</f>
        <v>300</v>
      </c>
      <c r="G124" s="15">
        <f>IF(AB124&gt;0, VLOOKUP(B124,Model!$A$39:$C$58, 3), 0)</f>
        <v>0</v>
      </c>
      <c r="H124" s="15">
        <f t="shared" si="20"/>
        <v>0</v>
      </c>
      <c r="I124" s="45">
        <f>Model!$B$21*EXP((-0.029*9.81*F124)/(8.31*(273+J124)))</f>
        <v>100357.4491247143</v>
      </c>
      <c r="J124" s="15">
        <f>IF(Model!$B$31="Summer",  IF(F124&lt;=2000,  Model!$B$20-Model!$B$35*F124/1000,  IF(F124&lt;Model!$B$36,  Model!$B$33-6.5*F124/1000,  Model!$B$38)),     IF(F124&lt;=2000,  Model!$B$20-Model!$B$35*F124/1000,  IF(F124&lt;Model!$B$36,  Model!$B$33-5.4*F124/1000,   Model!$B$38)))</f>
        <v>-19.088750000000001</v>
      </c>
      <c r="K124" s="15">
        <f t="shared" si="21"/>
        <v>253.91125</v>
      </c>
      <c r="L124" s="45">
        <f>IF(AB123-AA123*(B124-B123)&gt;0, L123-Y123*(B124-B123)*3600-AD124*Model!$B$16, 0)</f>
        <v>1366.7321867972903</v>
      </c>
      <c r="M124" s="56">
        <f t="shared" si="22"/>
        <v>66.112076875211699</v>
      </c>
      <c r="N124" s="56">
        <f>Model!$B$13*I124*K124/(Model!$B$13*I124-L124*287*K124)</f>
        <v>339.1120768752117</v>
      </c>
      <c r="O124" s="56">
        <f t="shared" si="23"/>
        <v>296.51166343760588</v>
      </c>
      <c r="P124" s="56">
        <f t="shared" si="24"/>
        <v>23.511663437605847</v>
      </c>
      <c r="Q124" s="62">
        <f t="shared" si="25"/>
        <v>2.5669328104070018E-2</v>
      </c>
      <c r="R124" s="33">
        <f t="shared" si="26"/>
        <v>1.604521299751101E-5</v>
      </c>
      <c r="S124" s="45">
        <f>0.37*Model!$B$10*(Q124^2*(N124-K124)*I124/(R124*O124^2))^0.33333*(N124-K124)</f>
        <v>604382.00699289329</v>
      </c>
      <c r="T124" s="50">
        <f>Model!$B$32+(90-Model!$B$6)*SIN(RADIANS(-15*(E124+6)))</f>
        <v>11.416714704073776</v>
      </c>
      <c r="U124" s="45">
        <f t="shared" si="27"/>
        <v>11.416714704073776</v>
      </c>
      <c r="V124" s="50">
        <f t="shared" si="28"/>
        <v>5.0519516651182839</v>
      </c>
      <c r="W124" s="45">
        <f t="shared" si="29"/>
        <v>0</v>
      </c>
      <c r="X124" s="45">
        <f>0.3*W124*Model!$B$9</f>
        <v>0</v>
      </c>
      <c r="Y124" s="33">
        <f>(S124-X124)/Model!$B$11</f>
        <v>1.2965397554282812E-2</v>
      </c>
      <c r="Z124" s="45">
        <f t="shared" si="30"/>
        <v>0</v>
      </c>
      <c r="AA124" s="56">
        <f>Y124/Model!$B$12*3600</f>
        <v>83.944842759620755</v>
      </c>
      <c r="AB124" s="50">
        <f t="shared" si="35"/>
        <v>1125.3670011191762</v>
      </c>
      <c r="AC124" s="50">
        <f t="shared" si="36"/>
        <v>674.63299888082383</v>
      </c>
      <c r="AD124" s="15">
        <f>IF(AE124=0, Model!$B$19, 0 )</f>
        <v>0</v>
      </c>
      <c r="AE124" s="50">
        <f>IF(AE123+AB123-AB124&lt;Model!$B$19*Model!$B$18, AE123+AB123-AB124,  0)</f>
        <v>221.14507368793716</v>
      </c>
      <c r="AF124" s="15">
        <f t="shared" si="31"/>
        <v>6.0999999999999863</v>
      </c>
      <c r="AG124" s="50">
        <f t="shared" si="32"/>
        <v>0</v>
      </c>
    </row>
    <row r="125" spans="2:33" x14ac:dyDescent="0.25">
      <c r="B125" s="13">
        <f t="shared" si="33"/>
        <v>6.1499999999999861</v>
      </c>
      <c r="C125" s="13">
        <f>B125+Model!$B$4</f>
        <v>8.1499999999999861</v>
      </c>
      <c r="D125" s="13">
        <f t="shared" si="34"/>
        <v>1</v>
      </c>
      <c r="E125" s="13">
        <f t="shared" si="37"/>
        <v>8.1499999999999861</v>
      </c>
      <c r="F125" s="14">
        <f>IF(AB125&gt;0, VLOOKUP(B125,Model!$A$40:$B$60, 2), 0)</f>
        <v>300</v>
      </c>
      <c r="G125" s="13">
        <f>IF(AB125&gt;0, VLOOKUP(B125,Model!$A$39:$C$58, 3), 0)</f>
        <v>0</v>
      </c>
      <c r="H125" s="13">
        <f t="shared" si="20"/>
        <v>0</v>
      </c>
      <c r="I125" s="46">
        <f>Model!$B$21*EXP((-0.029*9.81*F125)/(8.31*(273+J125)))</f>
        <v>100357.4491247143</v>
      </c>
      <c r="J125" s="13">
        <f>IF(Model!$B$31="Summer",  IF(F125&lt;=2000,  Model!$B$20-Model!$B$35*F125/1000,  IF(F125&lt;Model!$B$36,  Model!$B$33-6.5*F125/1000,  Model!$B$38)),     IF(F125&lt;=2000,  Model!$B$20-Model!$B$35*F125/1000,  IF(F125&lt;Model!$B$36,  Model!$B$33-5.4*F125/1000,   Model!$B$38)))</f>
        <v>-19.088750000000001</v>
      </c>
      <c r="K125" s="13">
        <f t="shared" si="21"/>
        <v>253.91125</v>
      </c>
      <c r="L125" s="46">
        <f>IF(AB124-AA124*(B125-B124)&gt;0, L124-Y124*(B125-B124)*3600-AD125*Model!$B$16, 0)</f>
        <v>1364.3984152375194</v>
      </c>
      <c r="M125" s="57">
        <f t="shared" si="22"/>
        <v>65.917884902153332</v>
      </c>
      <c r="N125" s="57">
        <f>Model!$B$13*I125*K125/(Model!$B$13*I125-L125*287*K125)</f>
        <v>338.91788490215333</v>
      </c>
      <c r="O125" s="57">
        <f t="shared" si="23"/>
        <v>296.41456745107666</v>
      </c>
      <c r="P125" s="57">
        <f t="shared" si="24"/>
        <v>23.414567451076664</v>
      </c>
      <c r="Q125" s="63">
        <f t="shared" si="25"/>
        <v>2.5662434289026443E-2</v>
      </c>
      <c r="R125" s="17">
        <f t="shared" si="26"/>
        <v>1.6035115014911974E-5</v>
      </c>
      <c r="S125" s="46">
        <f>0.37*Model!$B$10*(Q125^2*(N125-K125)*I125/(R125*O125^2))^0.33333*(N125-K125)</f>
        <v>602696.13840066863</v>
      </c>
      <c r="T125" s="51">
        <f>Model!$B$32+(90-Model!$B$6)*SIN(RADIANS(-15*(E125+6)))</f>
        <v>11.805772996061975</v>
      </c>
      <c r="U125" s="46">
        <f t="shared" si="27"/>
        <v>11.805772996061975</v>
      </c>
      <c r="V125" s="51">
        <f t="shared" si="28"/>
        <v>4.8877126391380274</v>
      </c>
      <c r="W125" s="46">
        <f t="shared" si="29"/>
        <v>0</v>
      </c>
      <c r="X125" s="46">
        <f>0.3*W125*Model!$B$9</f>
        <v>0</v>
      </c>
      <c r="Y125" s="17">
        <f>(S125-X125)/Model!$B$11</f>
        <v>1.2929231758032149E-2</v>
      </c>
      <c r="Z125" s="46">
        <f t="shared" si="30"/>
        <v>0</v>
      </c>
      <c r="AA125" s="57">
        <f>Y125/Model!$B$12*3600</f>
        <v>83.710686262156798</v>
      </c>
      <c r="AB125" s="51">
        <f t="shared" si="35"/>
        <v>1121.1697589811952</v>
      </c>
      <c r="AC125" s="51">
        <f t="shared" si="36"/>
        <v>678.83024101880483</v>
      </c>
      <c r="AD125" s="13">
        <f>IF(AE125=0, Model!$B$19, 0 )</f>
        <v>0</v>
      </c>
      <c r="AE125" s="51">
        <f>IF(AE124+AB124-AB125&lt;Model!$B$19*Model!$B$18, AE124+AB124-AB125,  0)</f>
        <v>225.34231582591815</v>
      </c>
      <c r="AF125" s="13">
        <f t="shared" si="31"/>
        <v>6.1499999999999861</v>
      </c>
      <c r="AG125" s="50">
        <f t="shared" si="32"/>
        <v>0</v>
      </c>
    </row>
    <row r="126" spans="2:33" x14ac:dyDescent="0.25">
      <c r="B126" s="15">
        <f t="shared" si="33"/>
        <v>6.199999999999986</v>
      </c>
      <c r="C126" s="15">
        <f>B126+Model!$B$4</f>
        <v>8.1999999999999851</v>
      </c>
      <c r="D126" s="15">
        <f t="shared" si="34"/>
        <v>1</v>
      </c>
      <c r="E126" s="15">
        <f t="shared" si="37"/>
        <v>8.1999999999999851</v>
      </c>
      <c r="F126" s="16">
        <f>IF(AB126&gt;0, VLOOKUP(B126,Model!$A$40:$B$60, 2), 0)</f>
        <v>300</v>
      </c>
      <c r="G126" s="15">
        <f>IF(AB126&gt;0, VLOOKUP(B126,Model!$A$39:$C$58, 3), 0)</f>
        <v>0</v>
      </c>
      <c r="H126" s="15">
        <f t="shared" si="20"/>
        <v>0</v>
      </c>
      <c r="I126" s="45">
        <f>Model!$B$21*EXP((-0.029*9.81*F126)/(8.31*(273+J126)))</f>
        <v>100357.4491247143</v>
      </c>
      <c r="J126" s="15">
        <f>IF(Model!$B$31="Summer",  IF(F126&lt;=2000,  Model!$B$20-Model!$B$35*F126/1000,  IF(F126&lt;Model!$B$36,  Model!$B$33-6.5*F126/1000,  Model!$B$38)),     IF(F126&lt;=2000,  Model!$B$20-Model!$B$35*F126/1000,  IF(F126&lt;Model!$B$36,  Model!$B$33-5.4*F126/1000,   Model!$B$38)))</f>
        <v>-19.088750000000001</v>
      </c>
      <c r="K126" s="15">
        <f t="shared" si="21"/>
        <v>253.91125</v>
      </c>
      <c r="L126" s="45">
        <f>IF(AB125-AA125*(B126-B125)&gt;0, L125-Y125*(B126-B125)*3600-AD126*Model!$B$16, 0)</f>
        <v>1362.0711535210737</v>
      </c>
      <c r="M126" s="56">
        <f t="shared" si="22"/>
        <v>65.72445596123913</v>
      </c>
      <c r="N126" s="56">
        <f>Model!$B$13*I126*K126/(Model!$B$13*I126-L126*287*K126)</f>
        <v>338.72445596123913</v>
      </c>
      <c r="O126" s="56">
        <f t="shared" si="23"/>
        <v>296.31785298061959</v>
      </c>
      <c r="P126" s="56">
        <f t="shared" si="24"/>
        <v>23.317852980619563</v>
      </c>
      <c r="Q126" s="62">
        <f t="shared" si="25"/>
        <v>2.5655567561623991E-2</v>
      </c>
      <c r="R126" s="33">
        <f t="shared" si="26"/>
        <v>1.6025056709984436E-5</v>
      </c>
      <c r="S126" s="45">
        <f>0.37*Model!$B$10*(Q126^2*(N126-K126)*I126/(R126*O126^2))^0.33333*(N126-K126)</f>
        <v>601017.50456558634</v>
      </c>
      <c r="T126" s="50">
        <f>Model!$B$32+(90-Model!$B$6)*SIN(RADIANS(-15*(E126+6)))</f>
        <v>12.191631164541509</v>
      </c>
      <c r="U126" s="45">
        <f t="shared" si="27"/>
        <v>12.191631164541509</v>
      </c>
      <c r="V126" s="50">
        <f t="shared" si="28"/>
        <v>4.7352514030157424</v>
      </c>
      <c r="W126" s="45">
        <f t="shared" si="29"/>
        <v>0</v>
      </c>
      <c r="X126" s="45">
        <f>0.3*W126*Model!$B$9</f>
        <v>0</v>
      </c>
      <c r="Y126" s="33">
        <f>(S126-X126)/Model!$B$11</f>
        <v>1.2893221164122844E-2</v>
      </c>
      <c r="Z126" s="45">
        <f t="shared" si="30"/>
        <v>0</v>
      </c>
      <c r="AA126" s="56">
        <f>Y126/Model!$B$12*3600</f>
        <v>83.477534626756409</v>
      </c>
      <c r="AB126" s="50">
        <f t="shared" si="35"/>
        <v>1116.9842246680873</v>
      </c>
      <c r="AC126" s="50">
        <f t="shared" si="36"/>
        <v>683.01577533191266</v>
      </c>
      <c r="AD126" s="15">
        <f>IF(AE126=0, Model!$B$19, 0 )</f>
        <v>0</v>
      </c>
      <c r="AE126" s="50">
        <f>IF(AE125+AB125-AB126&lt;Model!$B$19*Model!$B$18, AE125+AB125-AB126,  0)</f>
        <v>229.52785013902599</v>
      </c>
      <c r="AF126" s="15">
        <f t="shared" si="31"/>
        <v>6.199999999999986</v>
      </c>
      <c r="AG126" s="50">
        <f t="shared" si="32"/>
        <v>0</v>
      </c>
    </row>
    <row r="127" spans="2:33" x14ac:dyDescent="0.25">
      <c r="B127" s="13">
        <f t="shared" si="33"/>
        <v>6.2499999999999858</v>
      </c>
      <c r="C127" s="13">
        <f>B127+Model!$B$4</f>
        <v>8.2499999999999858</v>
      </c>
      <c r="D127" s="13">
        <f t="shared" si="34"/>
        <v>1</v>
      </c>
      <c r="E127" s="13">
        <f t="shared" si="37"/>
        <v>8.2499999999999858</v>
      </c>
      <c r="F127" s="14">
        <f>IF(AB127&gt;0, VLOOKUP(B127,Model!$A$40:$B$60, 2), 0)</f>
        <v>300</v>
      </c>
      <c r="G127" s="13">
        <f>IF(AB127&gt;0, VLOOKUP(B127,Model!$A$39:$C$58, 3), 0)</f>
        <v>0</v>
      </c>
      <c r="H127" s="13">
        <f t="shared" si="20"/>
        <v>0</v>
      </c>
      <c r="I127" s="46">
        <f>Model!$B$21*EXP((-0.029*9.81*F127)/(8.31*(273+J127)))</f>
        <v>100357.4491247143</v>
      </c>
      <c r="J127" s="13">
        <f>IF(Model!$B$31="Summer",  IF(F127&lt;=2000,  Model!$B$20-Model!$B$35*F127/1000,  IF(F127&lt;Model!$B$36,  Model!$B$33-6.5*F127/1000,  Model!$B$38)),     IF(F127&lt;=2000,  Model!$B$20-Model!$B$35*F127/1000,  IF(F127&lt;Model!$B$36,  Model!$B$33-5.4*F127/1000,   Model!$B$38)))</f>
        <v>-19.088750000000001</v>
      </c>
      <c r="K127" s="13">
        <f t="shared" si="21"/>
        <v>253.91125</v>
      </c>
      <c r="L127" s="46">
        <f>IF(AB126-AA126*(B127-B126)&gt;0, L126-Y126*(B127-B126)*3600-AD127*Model!$B$16, 0)</f>
        <v>1359.7503737115317</v>
      </c>
      <c r="M127" s="57">
        <f t="shared" si="22"/>
        <v>65.531785502947571</v>
      </c>
      <c r="N127" s="57">
        <f>Model!$B$13*I127*K127/(Model!$B$13*I127-L127*287*K127)</f>
        <v>338.53178550294757</v>
      </c>
      <c r="O127" s="57">
        <f t="shared" si="23"/>
        <v>296.22151775147381</v>
      </c>
      <c r="P127" s="57">
        <f t="shared" si="24"/>
        <v>23.221517751473783</v>
      </c>
      <c r="Q127" s="63">
        <f t="shared" si="25"/>
        <v>2.564872776035464E-2</v>
      </c>
      <c r="R127" s="17">
        <f t="shared" si="26"/>
        <v>1.6015037846153276E-5</v>
      </c>
      <c r="S127" s="46">
        <f>0.37*Model!$B$10*(Q127^2*(N127-K127)*I127/(R127*O127^2))^0.33333*(N127-K127)</f>
        <v>599346.06095035071</v>
      </c>
      <c r="T127" s="51">
        <f>Model!$B$32+(90-Model!$B$6)*SIN(RADIANS(-15*(E127+6)))</f>
        <v>12.57422309470164</v>
      </c>
      <c r="U127" s="46">
        <f t="shared" si="27"/>
        <v>12.57422309470164</v>
      </c>
      <c r="V127" s="51">
        <f t="shared" si="28"/>
        <v>4.5933894388863434</v>
      </c>
      <c r="W127" s="46">
        <f t="shared" si="29"/>
        <v>0</v>
      </c>
      <c r="X127" s="46">
        <f>0.3*W127*Model!$B$9</f>
        <v>0</v>
      </c>
      <c r="Y127" s="17">
        <f>(S127-X127)/Model!$B$11</f>
        <v>1.2857364817126477E-2</v>
      </c>
      <c r="Z127" s="46">
        <f t="shared" si="30"/>
        <v>0</v>
      </c>
      <c r="AA127" s="57">
        <f>Y127/Model!$B$12*3600</f>
        <v>83.245381667470554</v>
      </c>
      <c r="AB127" s="51">
        <f t="shared" si="35"/>
        <v>1112.8103479367496</v>
      </c>
      <c r="AC127" s="51">
        <f t="shared" si="36"/>
        <v>687.18965206325038</v>
      </c>
      <c r="AD127" s="13">
        <f>IF(AE127=0, Model!$B$19, 0 )</f>
        <v>0</v>
      </c>
      <c r="AE127" s="51">
        <f>IF(AE126+AB126-AB127&lt;Model!$B$19*Model!$B$18, AE126+AB126-AB127,  0)</f>
        <v>233.7017268703637</v>
      </c>
      <c r="AF127" s="13">
        <f t="shared" si="31"/>
        <v>6.2499999999999858</v>
      </c>
      <c r="AG127" s="50">
        <f t="shared" si="32"/>
        <v>0</v>
      </c>
    </row>
    <row r="128" spans="2:33" x14ac:dyDescent="0.25">
      <c r="B128" s="15">
        <f t="shared" si="33"/>
        <v>6.2999999999999856</v>
      </c>
      <c r="C128" s="15">
        <f>B128+Model!$B$4</f>
        <v>8.2999999999999865</v>
      </c>
      <c r="D128" s="15">
        <f t="shared" si="34"/>
        <v>1</v>
      </c>
      <c r="E128" s="15">
        <f t="shared" si="37"/>
        <v>8.2999999999999865</v>
      </c>
      <c r="F128" s="16">
        <f>IF(AB128&gt;0, VLOOKUP(B128,Model!$A$40:$B$60, 2), 0)</f>
        <v>300</v>
      </c>
      <c r="G128" s="15">
        <f>IF(AB128&gt;0, VLOOKUP(B128,Model!$A$39:$C$58, 3), 0)</f>
        <v>0</v>
      </c>
      <c r="H128" s="15">
        <f t="shared" si="20"/>
        <v>0</v>
      </c>
      <c r="I128" s="45">
        <f>Model!$B$21*EXP((-0.029*9.81*F128)/(8.31*(273+J128)))</f>
        <v>100357.4491247143</v>
      </c>
      <c r="J128" s="15">
        <f>IF(Model!$B$31="Summer",  IF(F128&lt;=2000,  Model!$B$20-Model!$B$35*F128/1000,  IF(F128&lt;Model!$B$36,  Model!$B$33-6.5*F128/1000,  Model!$B$38)),     IF(F128&lt;=2000,  Model!$B$20-Model!$B$35*F128/1000,  IF(F128&lt;Model!$B$36,  Model!$B$33-5.4*F128/1000,   Model!$B$38)))</f>
        <v>-19.088750000000001</v>
      </c>
      <c r="K128" s="15">
        <f t="shared" si="21"/>
        <v>253.91125</v>
      </c>
      <c r="L128" s="45">
        <f>IF(AB127-AA127*(B128-B127)&gt;0, L127-Y127*(B128-B127)*3600-AD128*Model!$B$16, 0)</f>
        <v>1357.4360480444489</v>
      </c>
      <c r="M128" s="56">
        <f t="shared" si="22"/>
        <v>65.339869014880662</v>
      </c>
      <c r="N128" s="56">
        <f>Model!$B$13*I128*K128/(Model!$B$13*I128-L128*287*K128)</f>
        <v>338.33986901488066</v>
      </c>
      <c r="O128" s="56">
        <f t="shared" si="23"/>
        <v>296.12555950744036</v>
      </c>
      <c r="P128" s="56">
        <f t="shared" si="24"/>
        <v>23.125559507440329</v>
      </c>
      <c r="Q128" s="62">
        <f t="shared" si="25"/>
        <v>2.5641914725028265E-2</v>
      </c>
      <c r="R128" s="33">
        <f t="shared" si="26"/>
        <v>1.6005058188773793E-5</v>
      </c>
      <c r="S128" s="45">
        <f>0.37*Model!$B$10*(Q128^2*(N128-K128)*I128/(R128*O128^2))^0.33333*(N128-K128)</f>
        <v>597681.76338466664</v>
      </c>
      <c r="T128" s="50">
        <f>Model!$B$32+(90-Model!$B$6)*SIN(RADIANS(-15*(E128+6)))</f>
        <v>12.95348323138473</v>
      </c>
      <c r="U128" s="45">
        <f t="shared" si="27"/>
        <v>12.95348323138473</v>
      </c>
      <c r="V128" s="50">
        <f t="shared" si="28"/>
        <v>4.4611008523384807</v>
      </c>
      <c r="W128" s="45">
        <f t="shared" si="29"/>
        <v>0</v>
      </c>
      <c r="X128" s="45">
        <f>0.3*W128*Model!$B$9</f>
        <v>0</v>
      </c>
      <c r="Y128" s="33">
        <f>(S128-X128)/Model!$B$11</f>
        <v>1.2821661769487647E-2</v>
      </c>
      <c r="Z128" s="45">
        <f t="shared" si="30"/>
        <v>0</v>
      </c>
      <c r="AA128" s="56">
        <f>Y128/Model!$B$12*3600</f>
        <v>83.014221249324279</v>
      </c>
      <c r="AB128" s="50">
        <f t="shared" si="35"/>
        <v>1108.6480788533761</v>
      </c>
      <c r="AC128" s="50">
        <f t="shared" si="36"/>
        <v>691.35192114662391</v>
      </c>
      <c r="AD128" s="15">
        <f>IF(AE128=0, Model!$B$19, 0 )</f>
        <v>0</v>
      </c>
      <c r="AE128" s="50">
        <f>IF(AE127+AB127-AB128&lt;Model!$B$19*Model!$B$18, AE127+AB127-AB128,  0)</f>
        <v>237.86399595373723</v>
      </c>
      <c r="AF128" s="15">
        <f t="shared" si="31"/>
        <v>6.2999999999999856</v>
      </c>
      <c r="AG128" s="50">
        <f t="shared" si="32"/>
        <v>0</v>
      </c>
    </row>
    <row r="129" spans="2:33" x14ac:dyDescent="0.25">
      <c r="B129" s="13">
        <f t="shared" si="33"/>
        <v>6.3499999999999854</v>
      </c>
      <c r="C129" s="13">
        <f>B129+Model!$B$4</f>
        <v>8.3499999999999854</v>
      </c>
      <c r="D129" s="13">
        <f t="shared" si="34"/>
        <v>1</v>
      </c>
      <c r="E129" s="13">
        <f t="shared" si="37"/>
        <v>8.3499999999999854</v>
      </c>
      <c r="F129" s="14">
        <f>IF(AB129&gt;0, VLOOKUP(B129,Model!$A$40:$B$60, 2), 0)</f>
        <v>300</v>
      </c>
      <c r="G129" s="13">
        <f>IF(AB129&gt;0, VLOOKUP(B129,Model!$A$39:$C$58, 3), 0)</f>
        <v>0</v>
      </c>
      <c r="H129" s="13">
        <f t="shared" si="20"/>
        <v>0</v>
      </c>
      <c r="I129" s="46">
        <f>Model!$B$21*EXP((-0.029*9.81*F129)/(8.31*(273+J129)))</f>
        <v>100357.4491247143</v>
      </c>
      <c r="J129" s="13">
        <f>IF(Model!$B$31="Summer",  IF(F129&lt;=2000,  Model!$B$20-Model!$B$35*F129/1000,  IF(F129&lt;Model!$B$36,  Model!$B$33-6.5*F129/1000,  Model!$B$38)),     IF(F129&lt;=2000,  Model!$B$20-Model!$B$35*F129/1000,  IF(F129&lt;Model!$B$36,  Model!$B$33-5.4*F129/1000,   Model!$B$38)))</f>
        <v>-19.088750000000001</v>
      </c>
      <c r="K129" s="13">
        <f t="shared" si="21"/>
        <v>253.91125</v>
      </c>
      <c r="L129" s="46">
        <f>IF(AB128-AA128*(B129-B128)&gt;0, L128-Y128*(B129-B128)*3600-AD129*Model!$B$16, 0)</f>
        <v>1355.1281489259411</v>
      </c>
      <c r="M129" s="57">
        <f t="shared" si="22"/>
        <v>65.148702021377233</v>
      </c>
      <c r="N129" s="57">
        <f>Model!$B$13*I129*K129/(Model!$B$13*I129-L129*287*K129)</f>
        <v>338.14870202137723</v>
      </c>
      <c r="O129" s="57">
        <f t="shared" si="23"/>
        <v>296.02997601068864</v>
      </c>
      <c r="P129" s="57">
        <f t="shared" si="24"/>
        <v>23.029976010688614</v>
      </c>
      <c r="Q129" s="63">
        <f t="shared" si="25"/>
        <v>2.5635128296758895E-2</v>
      </c>
      <c r="R129" s="17">
        <f t="shared" si="26"/>
        <v>1.5995117505111617E-5</v>
      </c>
      <c r="S129" s="46">
        <f>0.37*Model!$B$10*(Q129^2*(N129-K129)*I129/(R129*O129^2))^0.33333*(N129-K129)</f>
        <v>596024.56806140894</v>
      </c>
      <c r="T129" s="51">
        <f>Model!$B$32+(90-Model!$B$6)*SIN(RADIANS(-15*(E129+6)))</f>
        <v>13.329346590318735</v>
      </c>
      <c r="U129" s="46">
        <f t="shared" si="27"/>
        <v>13.329346590318735</v>
      </c>
      <c r="V129" s="51">
        <f t="shared" si="28"/>
        <v>4.3374884568316459</v>
      </c>
      <c r="W129" s="46">
        <f t="shared" si="29"/>
        <v>0</v>
      </c>
      <c r="X129" s="46">
        <f>0.3*W129*Model!$B$9</f>
        <v>0</v>
      </c>
      <c r="Y129" s="17">
        <f>(S129-X129)/Model!$B$11</f>
        <v>1.2786111081441788E-2</v>
      </c>
      <c r="Z129" s="46">
        <f t="shared" si="30"/>
        <v>0</v>
      </c>
      <c r="AA129" s="57">
        <f>Y129/Model!$B$12*3600</f>
        <v>82.784047287784603</v>
      </c>
      <c r="AB129" s="51">
        <f t="shared" si="35"/>
        <v>1104.4973677909099</v>
      </c>
      <c r="AC129" s="51">
        <f t="shared" si="36"/>
        <v>695.50263220909005</v>
      </c>
      <c r="AD129" s="13">
        <f>IF(AE129=0, Model!$B$19, 0 )</f>
        <v>0</v>
      </c>
      <c r="AE129" s="51">
        <f>IF(AE128+AB128-AB129&lt;Model!$B$19*Model!$B$18, AE128+AB128-AB129,  0)</f>
        <v>242.01470701620337</v>
      </c>
      <c r="AF129" s="13">
        <f t="shared" si="31"/>
        <v>6.3499999999999854</v>
      </c>
      <c r="AG129" s="50">
        <f t="shared" si="32"/>
        <v>0</v>
      </c>
    </row>
    <row r="130" spans="2:33" x14ac:dyDescent="0.25">
      <c r="B130" s="15">
        <f t="shared" si="33"/>
        <v>6.3999999999999853</v>
      </c>
      <c r="C130" s="15">
        <f>B130+Model!$B$4</f>
        <v>8.3999999999999844</v>
      </c>
      <c r="D130" s="15">
        <f t="shared" si="34"/>
        <v>1</v>
      </c>
      <c r="E130" s="15">
        <f t="shared" si="37"/>
        <v>8.3999999999999844</v>
      </c>
      <c r="F130" s="16">
        <f>IF(AB130&gt;0, VLOOKUP(B130,Model!$A$40:$B$60, 2), 0)</f>
        <v>300</v>
      </c>
      <c r="G130" s="15">
        <f>IF(AB130&gt;0, VLOOKUP(B130,Model!$A$39:$C$58, 3), 0)</f>
        <v>0</v>
      </c>
      <c r="H130" s="15">
        <f t="shared" ref="H130:H193" si="38">IF(B130=1, 0, G130*97)</f>
        <v>0</v>
      </c>
      <c r="I130" s="45">
        <f>Model!$B$21*EXP((-0.029*9.81*F130)/(8.31*(273+J130)))</f>
        <v>100357.4491247143</v>
      </c>
      <c r="J130" s="15">
        <f>IF(Model!$B$31="Summer",  IF(F130&lt;=2000,  Model!$B$20-Model!$B$35*F130/1000,  IF(F130&lt;Model!$B$36,  Model!$B$33-6.5*F130/1000,  Model!$B$38)),     IF(F130&lt;=2000,  Model!$B$20-Model!$B$35*F130/1000,  IF(F130&lt;Model!$B$36,  Model!$B$33-5.4*F130/1000,   Model!$B$38)))</f>
        <v>-19.088750000000001</v>
      </c>
      <c r="K130" s="15">
        <f t="shared" ref="K130:K193" si="39">273+J130</f>
        <v>253.91125</v>
      </c>
      <c r="L130" s="45">
        <f>IF(AB129-AA129*(B130-B129)&gt;0, L129-Y129*(B130-B129)*3600-AD130*Model!$B$16, 0)</f>
        <v>1352.8266489312816</v>
      </c>
      <c r="M130" s="56">
        <f t="shared" ref="M130:M193" si="40">IF(AB130=0, 0, N130-273)</f>
        <v>64.95828008313191</v>
      </c>
      <c r="N130" s="56">
        <f>Model!$B$13*I130*K130/(Model!$B$13*I130-L130*287*K130)</f>
        <v>337.95828008313191</v>
      </c>
      <c r="O130" s="56">
        <f t="shared" ref="O130:O193" si="41">(K130+N130)/2</f>
        <v>295.93476504156592</v>
      </c>
      <c r="P130" s="56">
        <f t="shared" ref="P130:P193" si="42">(J130+M130)/2+W129/150</f>
        <v>22.934765041565953</v>
      </c>
      <c r="Q130" s="62">
        <f t="shared" ref="Q130:Q193" si="43">(O130-273)*7.1*0.00001+0.024</f>
        <v>2.5628368317951181E-2</v>
      </c>
      <c r="R130" s="33">
        <f t="shared" ref="R130:R193" si="44">((O130-273)*0.104+13.6)*0.000001</f>
        <v>1.5985215564322855E-5</v>
      </c>
      <c r="S130" s="45">
        <f>0.37*Model!$B$10*(Q130^2*(N130-K130)*I130/(R130*O130^2))^0.33333*(N130-K130)</f>
        <v>594374.43153285002</v>
      </c>
      <c r="T130" s="50">
        <f>Model!$B$32+(90-Model!$B$6)*SIN(RADIANS(-15*(E130+6)))</f>
        <v>13.70174876925212</v>
      </c>
      <c r="U130" s="45">
        <f t="shared" ref="U130:U193" si="45">IF(OR(T130&lt;0, AB130=0),  0, T130)</f>
        <v>13.70174876925212</v>
      </c>
      <c r="V130" s="50">
        <f t="shared" ref="V130:V193" si="46">IF(T130&lt;0,99999,1/SIN(RADIANS(T130)))</f>
        <v>4.2217642190307725</v>
      </c>
      <c r="W130" s="45">
        <f t="shared" ref="W130:W193" si="47">IF(G130=0,0, 1353*((1+F130/7100)*0.7^V130^0.678)+F130/7100)</f>
        <v>0</v>
      </c>
      <c r="X130" s="45">
        <f>0.3*W130*Model!$B$9</f>
        <v>0</v>
      </c>
      <c r="Y130" s="33">
        <f>(S130-X130)/Model!$B$11</f>
        <v>1.2750711820934249E-2</v>
      </c>
      <c r="Z130" s="45">
        <f t="shared" ref="Z130:Z193" si="48">100*X130/S130</f>
        <v>0</v>
      </c>
      <c r="AA130" s="56">
        <f>Y130/Model!$B$12*3600</f>
        <v>82.554853748236681</v>
      </c>
      <c r="AB130" s="50">
        <f t="shared" si="35"/>
        <v>1100.3581654265208</v>
      </c>
      <c r="AC130" s="50">
        <f t="shared" si="36"/>
        <v>699.64183457347917</v>
      </c>
      <c r="AD130" s="15">
        <f>IF(AE130=0, Model!$B$19, 0 )</f>
        <v>0</v>
      </c>
      <c r="AE130" s="50">
        <f>IF(AE129+AB129-AB130&lt;Model!$B$19*Model!$B$18, AE129+AB129-AB130,  0)</f>
        <v>246.15390938059249</v>
      </c>
      <c r="AF130" s="15">
        <f t="shared" ref="AF130:AF193" si="49">B130</f>
        <v>6.3999999999999853</v>
      </c>
      <c r="AG130" s="50">
        <f t="shared" ref="AG130:AG193" si="50">IF(OR(P130&gt;0, AB130&lt;=0),0, IF(P130&lt;-2,0.99,ABS(P130/2)))</f>
        <v>0</v>
      </c>
    </row>
    <row r="131" spans="2:33" x14ac:dyDescent="0.25">
      <c r="B131" s="13">
        <f t="shared" ref="B131:B194" si="51">IF(AB130&gt;0, B130+0.05, 1)</f>
        <v>6.4499999999999851</v>
      </c>
      <c r="C131" s="13">
        <f>B131+Model!$B$4</f>
        <v>8.4499999999999851</v>
      </c>
      <c r="D131" s="13">
        <f t="shared" ref="D131:D194" si="52">INT(C131/24+1)</f>
        <v>1</v>
      </c>
      <c r="E131" s="13">
        <f t="shared" si="37"/>
        <v>8.4499999999999851</v>
      </c>
      <c r="F131" s="14">
        <f>IF(AB131&gt;0, VLOOKUP(B131,Model!$A$40:$B$60, 2), 0)</f>
        <v>300</v>
      </c>
      <c r="G131" s="13">
        <f>IF(AB131&gt;0, VLOOKUP(B131,Model!$A$39:$C$58, 3), 0)</f>
        <v>0</v>
      </c>
      <c r="H131" s="13">
        <f t="shared" si="38"/>
        <v>0</v>
      </c>
      <c r="I131" s="46">
        <f>Model!$B$21*EXP((-0.029*9.81*F131)/(8.31*(273+J131)))</f>
        <v>100357.4491247143</v>
      </c>
      <c r="J131" s="13">
        <f>IF(Model!$B$31="Summer",  IF(F131&lt;=2000,  Model!$B$20-Model!$B$35*F131/1000,  IF(F131&lt;Model!$B$36,  Model!$B$33-6.5*F131/1000,  Model!$B$38)),     IF(F131&lt;=2000,  Model!$B$20-Model!$B$35*F131/1000,  IF(F131&lt;Model!$B$36,  Model!$B$33-5.4*F131/1000,   Model!$B$38)))</f>
        <v>-19.088750000000001</v>
      </c>
      <c r="K131" s="13">
        <f t="shared" si="39"/>
        <v>253.91125</v>
      </c>
      <c r="L131" s="46">
        <f>IF(AB130-AA130*(B131-B130)&gt;0, L130-Y130*(B131-B130)*3600-AD131*Model!$B$16, 0)</f>
        <v>1350.5315208035136</v>
      </c>
      <c r="M131" s="57">
        <f t="shared" si="40"/>
        <v>64.768598796818708</v>
      </c>
      <c r="N131" s="57">
        <f>Model!$B$13*I131*K131/(Model!$B$13*I131-L131*287*K131)</f>
        <v>337.76859879681871</v>
      </c>
      <c r="O131" s="57">
        <f t="shared" si="41"/>
        <v>295.83992439840938</v>
      </c>
      <c r="P131" s="57">
        <f t="shared" si="42"/>
        <v>22.839924398409352</v>
      </c>
      <c r="Q131" s="63">
        <f t="shared" si="43"/>
        <v>2.5621634632287067E-2</v>
      </c>
      <c r="R131" s="17">
        <f t="shared" si="44"/>
        <v>1.5975352137434574E-5</v>
      </c>
      <c r="S131" s="46">
        <f>0.37*Model!$B$10*(Q131^2*(N131-K131)*I131/(R131*O131^2))^0.33333*(N131-K131)</f>
        <v>592731.31070692663</v>
      </c>
      <c r="T131" s="51">
        <f>Model!$B$32+(90-Model!$B$6)*SIN(RADIANS(-15*(E131+6)))</f>
        <v>14.070625958988632</v>
      </c>
      <c r="U131" s="46">
        <f t="shared" si="45"/>
        <v>14.070625958988632</v>
      </c>
      <c r="V131" s="51">
        <f t="shared" si="46"/>
        <v>4.113233164717637</v>
      </c>
      <c r="W131" s="46">
        <f t="shared" si="47"/>
        <v>0</v>
      </c>
      <c r="X131" s="46">
        <f>0.3*W131*Model!$B$9</f>
        <v>0</v>
      </c>
      <c r="Y131" s="17">
        <f>(S131-X131)/Model!$B$11</f>
        <v>1.2715463063540204E-2</v>
      </c>
      <c r="Z131" s="46">
        <f t="shared" si="48"/>
        <v>0</v>
      </c>
      <c r="AA131" s="57">
        <f>Y131/Model!$B$12*3600</f>
        <v>82.326634645465106</v>
      </c>
      <c r="AB131" s="51">
        <f t="shared" ref="AB131:AB194" si="53">IF(AB130-AA130*(B131-B130)&gt;0, AB130-AA130*(B131-B130), 0)</f>
        <v>1096.2304227391089</v>
      </c>
      <c r="AC131" s="51">
        <f t="shared" ref="AC131:AC194" si="54">AC130+AB130-AB131</f>
        <v>703.76957726089108</v>
      </c>
      <c r="AD131" s="13">
        <f>IF(AE131=0, Model!$B$19, 0 )</f>
        <v>0</v>
      </c>
      <c r="AE131" s="51">
        <f>IF(AE130+AB130-AB131&lt;Model!$B$19*Model!$B$18, AE130+AB130-AB131,  0)</f>
        <v>250.28165206800441</v>
      </c>
      <c r="AF131" s="13">
        <f t="shared" si="49"/>
        <v>6.4499999999999851</v>
      </c>
      <c r="AG131" s="50">
        <f t="shared" si="50"/>
        <v>0</v>
      </c>
    </row>
    <row r="132" spans="2:33" x14ac:dyDescent="0.25">
      <c r="B132" s="15">
        <f t="shared" si="51"/>
        <v>6.4999999999999849</v>
      </c>
      <c r="C132" s="15">
        <f>B132+Model!$B$4</f>
        <v>8.4999999999999858</v>
      </c>
      <c r="D132" s="15">
        <f t="shared" si="52"/>
        <v>1</v>
      </c>
      <c r="E132" s="15">
        <f t="shared" si="37"/>
        <v>8.4999999999999858</v>
      </c>
      <c r="F132" s="16">
        <f>IF(AB132&gt;0, VLOOKUP(B132,Model!$A$40:$B$60, 2), 0)</f>
        <v>300</v>
      </c>
      <c r="G132" s="15">
        <f>IF(AB132&gt;0, VLOOKUP(B132,Model!$A$39:$C$58, 3), 0)</f>
        <v>0</v>
      </c>
      <c r="H132" s="15">
        <f t="shared" si="38"/>
        <v>0</v>
      </c>
      <c r="I132" s="45">
        <f>Model!$B$21*EXP((-0.029*9.81*F132)/(8.31*(273+J132)))</f>
        <v>100357.4491247143</v>
      </c>
      <c r="J132" s="15">
        <f>IF(Model!$B$31="Summer",  IF(F132&lt;=2000,  Model!$B$20-Model!$B$35*F132/1000,  IF(F132&lt;Model!$B$36,  Model!$B$33-6.5*F132/1000,  Model!$B$38)),     IF(F132&lt;=2000,  Model!$B$20-Model!$B$35*F132/1000,  IF(F132&lt;Model!$B$36,  Model!$B$33-5.4*F132/1000,   Model!$B$38)))</f>
        <v>-19.088750000000001</v>
      </c>
      <c r="K132" s="15">
        <f t="shared" si="39"/>
        <v>253.91125</v>
      </c>
      <c r="L132" s="45">
        <f>IF(AB131-AA131*(B132-B131)&gt;0, L131-Y131*(B132-B131)*3600-AD132*Model!$B$16, 0)</f>
        <v>1348.2427374520764</v>
      </c>
      <c r="M132" s="56">
        <f t="shared" si="40"/>
        <v>64.579653794719036</v>
      </c>
      <c r="N132" s="56">
        <f>Model!$B$13*I132*K132/(Model!$B$13*I132-L132*287*K132)</f>
        <v>337.57965379471904</v>
      </c>
      <c r="O132" s="56">
        <f t="shared" si="41"/>
        <v>295.74545189735954</v>
      </c>
      <c r="P132" s="56">
        <f t="shared" si="42"/>
        <v>22.745451897359516</v>
      </c>
      <c r="Q132" s="62">
        <f t="shared" si="43"/>
        <v>2.5614927084712528E-2</v>
      </c>
      <c r="R132" s="33">
        <f t="shared" si="44"/>
        <v>1.5965526997325391E-5</v>
      </c>
      <c r="S132" s="45">
        <f>0.37*Model!$B$10*(Q132^2*(N132-K132)*I132/(R132*O132^2))^0.33333*(N132-K132)</f>
        <v>591095.16284355964</v>
      </c>
      <c r="T132" s="50">
        <f>Model!$B$32+(90-Model!$B$6)*SIN(RADIANS(-15*(E132+6)))</f>
        <v>14.435914954320786</v>
      </c>
      <c r="U132" s="45">
        <f t="shared" si="45"/>
        <v>14.435914954320786</v>
      </c>
      <c r="V132" s="50">
        <f t="shared" si="46"/>
        <v>4.0112800512889146</v>
      </c>
      <c r="W132" s="45">
        <f t="shared" si="47"/>
        <v>0</v>
      </c>
      <c r="X132" s="45">
        <f>0.3*W132*Model!$B$9</f>
        <v>0</v>
      </c>
      <c r="Y132" s="33">
        <f>(S132-X132)/Model!$B$11</f>
        <v>1.2680363892385705E-2</v>
      </c>
      <c r="Z132" s="45">
        <f t="shared" si="48"/>
        <v>0</v>
      </c>
      <c r="AA132" s="56">
        <f>Y132/Model!$B$12*3600</f>
        <v>82.099384043142919</v>
      </c>
      <c r="AB132" s="50">
        <f t="shared" si="53"/>
        <v>1092.1140910068357</v>
      </c>
      <c r="AC132" s="50">
        <f t="shared" si="54"/>
        <v>707.88590899316432</v>
      </c>
      <c r="AD132" s="15">
        <f>IF(AE132=0, Model!$B$19, 0 )</f>
        <v>0</v>
      </c>
      <c r="AE132" s="50">
        <f>IF(AE131+AB131-AB132&lt;Model!$B$19*Model!$B$18, AE131+AB131-AB132,  0)</f>
        <v>254.39798380027764</v>
      </c>
      <c r="AF132" s="15">
        <f t="shared" si="49"/>
        <v>6.4999999999999849</v>
      </c>
      <c r="AG132" s="50">
        <f t="shared" si="50"/>
        <v>0</v>
      </c>
    </row>
    <row r="133" spans="2:33" x14ac:dyDescent="0.25">
      <c r="B133" s="13">
        <f t="shared" si="51"/>
        <v>6.5499999999999847</v>
      </c>
      <c r="C133" s="13">
        <f>B133+Model!$B$4</f>
        <v>8.5499999999999847</v>
      </c>
      <c r="D133" s="13">
        <f t="shared" si="52"/>
        <v>1</v>
      </c>
      <c r="E133" s="13">
        <f t="shared" si="37"/>
        <v>8.5499999999999847</v>
      </c>
      <c r="F133" s="14">
        <f>IF(AB133&gt;0, VLOOKUP(B133,Model!$A$40:$B$60, 2), 0)</f>
        <v>300</v>
      </c>
      <c r="G133" s="13">
        <f>IF(AB133&gt;0, VLOOKUP(B133,Model!$A$39:$C$58, 3), 0)</f>
        <v>0</v>
      </c>
      <c r="H133" s="13">
        <f t="shared" si="38"/>
        <v>0</v>
      </c>
      <c r="I133" s="46">
        <f>Model!$B$21*EXP((-0.029*9.81*F133)/(8.31*(273+J133)))</f>
        <v>100357.4491247143</v>
      </c>
      <c r="J133" s="13">
        <f>IF(Model!$B$31="Summer",  IF(F133&lt;=2000,  Model!$B$20-Model!$B$35*F133/1000,  IF(F133&lt;Model!$B$36,  Model!$B$33-6.5*F133/1000,  Model!$B$38)),     IF(F133&lt;=2000,  Model!$B$20-Model!$B$35*F133/1000,  IF(F133&lt;Model!$B$36,  Model!$B$33-5.4*F133/1000,   Model!$B$38)))</f>
        <v>-19.088750000000001</v>
      </c>
      <c r="K133" s="13">
        <f t="shared" si="39"/>
        <v>253.91125</v>
      </c>
      <c r="L133" s="46">
        <f>IF(AB132-AA132*(B133-B132)&gt;0, L132-Y132*(B133-B132)*3600-AD133*Model!$B$16, 0)</f>
        <v>1345.9602719514471</v>
      </c>
      <c r="M133" s="57">
        <f t="shared" si="40"/>
        <v>64.391440744354838</v>
      </c>
      <c r="N133" s="57">
        <f>Model!$B$13*I133*K133/(Model!$B$13*I133-L133*287*K133)</f>
        <v>337.39144074435484</v>
      </c>
      <c r="O133" s="57">
        <f t="shared" si="41"/>
        <v>295.65134537217739</v>
      </c>
      <c r="P133" s="57">
        <f t="shared" si="42"/>
        <v>22.651345372177417</v>
      </c>
      <c r="Q133" s="63">
        <f t="shared" si="43"/>
        <v>2.5608245521424596E-2</v>
      </c>
      <c r="R133" s="17">
        <f t="shared" si="44"/>
        <v>1.595573991870645E-5</v>
      </c>
      <c r="S133" s="46">
        <f>0.37*Model!$B$10*(Q133^2*(N133-K133)*I133/(R133*O133^2))^0.33333*(N133-K133)</f>
        <v>589465.94555101567</v>
      </c>
      <c r="T133" s="51">
        <f>Model!$B$32+(90-Model!$B$6)*SIN(RADIANS(-15*(E133+6)))</f>
        <v>14.797553164859757</v>
      </c>
      <c r="U133" s="46">
        <f t="shared" si="45"/>
        <v>14.797553164859757</v>
      </c>
      <c r="V133" s="51">
        <f t="shared" si="46"/>
        <v>3.9153582674783181</v>
      </c>
      <c r="W133" s="46">
        <f t="shared" si="47"/>
        <v>0</v>
      </c>
      <c r="X133" s="46">
        <f>0.3*W133*Model!$B$9</f>
        <v>0</v>
      </c>
      <c r="Y133" s="17">
        <f>(S133-X133)/Model!$B$11</f>
        <v>1.2645413398069627E-2</v>
      </c>
      <c r="Z133" s="46">
        <f t="shared" si="48"/>
        <v>0</v>
      </c>
      <c r="AA133" s="57">
        <f>Y133/Model!$B$12*3600</f>
        <v>81.873096053326123</v>
      </c>
      <c r="AB133" s="51">
        <f t="shared" si="53"/>
        <v>1088.0091218046784</v>
      </c>
      <c r="AC133" s="51">
        <f t="shared" si="54"/>
        <v>711.99087819532156</v>
      </c>
      <c r="AD133" s="13">
        <f>IF(AE133=0, Model!$B$19, 0 )</f>
        <v>0</v>
      </c>
      <c r="AE133" s="51">
        <f>IF(AE132+AB132-AB133&lt;Model!$B$19*Model!$B$18, AE132+AB132-AB133,  0)</f>
        <v>258.50295300243488</v>
      </c>
      <c r="AF133" s="13">
        <f t="shared" si="49"/>
        <v>6.5499999999999847</v>
      </c>
      <c r="AG133" s="50">
        <f t="shared" si="50"/>
        <v>0</v>
      </c>
    </row>
    <row r="134" spans="2:33" x14ac:dyDescent="0.25">
      <c r="B134" s="15">
        <f t="shared" si="51"/>
        <v>6.5999999999999845</v>
      </c>
      <c r="C134" s="15">
        <f>B134+Model!$B$4</f>
        <v>8.5999999999999837</v>
      </c>
      <c r="D134" s="15">
        <f t="shared" si="52"/>
        <v>1</v>
      </c>
      <c r="E134" s="15">
        <f t="shared" si="37"/>
        <v>8.5999999999999837</v>
      </c>
      <c r="F134" s="16">
        <f>IF(AB134&gt;0, VLOOKUP(B134,Model!$A$40:$B$60, 2), 0)</f>
        <v>300</v>
      </c>
      <c r="G134" s="15">
        <f>IF(AB134&gt;0, VLOOKUP(B134,Model!$A$39:$C$58, 3), 0)</f>
        <v>0</v>
      </c>
      <c r="H134" s="15">
        <f t="shared" si="38"/>
        <v>0</v>
      </c>
      <c r="I134" s="45">
        <f>Model!$B$21*EXP((-0.029*9.81*F134)/(8.31*(273+J134)))</f>
        <v>100357.4491247143</v>
      </c>
      <c r="J134" s="15">
        <f>IF(Model!$B$31="Summer",  IF(F134&lt;=2000,  Model!$B$20-Model!$B$35*F134/1000,  IF(F134&lt;Model!$B$36,  Model!$B$33-6.5*F134/1000,  Model!$B$38)),     IF(F134&lt;=2000,  Model!$B$20-Model!$B$35*F134/1000,  IF(F134&lt;Model!$B$36,  Model!$B$33-5.4*F134/1000,   Model!$B$38)))</f>
        <v>-19.088750000000001</v>
      </c>
      <c r="K134" s="15">
        <f t="shared" si="39"/>
        <v>253.91125</v>
      </c>
      <c r="L134" s="45">
        <f>IF(AB133-AA133*(B134-B133)&gt;0, L133-Y133*(B134-B133)*3600-AD134*Model!$B$16, 0)</f>
        <v>1343.6840975397945</v>
      </c>
      <c r="M134" s="56">
        <f t="shared" si="40"/>
        <v>64.203955348125817</v>
      </c>
      <c r="N134" s="56">
        <f>Model!$B$13*I134*K134/(Model!$B$13*I134-L134*287*K134)</f>
        <v>337.20395534812582</v>
      </c>
      <c r="O134" s="56">
        <f t="shared" si="41"/>
        <v>295.55760267406288</v>
      </c>
      <c r="P134" s="56">
        <f t="shared" si="42"/>
        <v>22.557602674062906</v>
      </c>
      <c r="Q134" s="62">
        <f t="shared" si="43"/>
        <v>2.5601589789858464E-2</v>
      </c>
      <c r="R134" s="33">
        <f t="shared" si="44"/>
        <v>1.5945990678102538E-5</v>
      </c>
      <c r="S134" s="45">
        <f>0.37*Model!$B$10*(Q134^2*(N134-K134)*I134/(R134*O134^2))^0.33333*(N134-K134)</f>
        <v>587843.61678231554</v>
      </c>
      <c r="T134" s="50">
        <f>Model!$B$32+(90-Model!$B$6)*SIN(RADIANS(-15*(E134+6)))</f>
        <v>15.155478625759859</v>
      </c>
      <c r="U134" s="45">
        <f t="shared" si="45"/>
        <v>15.155478625759859</v>
      </c>
      <c r="V134" s="50">
        <f t="shared" si="46"/>
        <v>3.824980537858631</v>
      </c>
      <c r="W134" s="45">
        <f t="shared" si="47"/>
        <v>0</v>
      </c>
      <c r="X134" s="45">
        <f>0.3*W134*Model!$B$9</f>
        <v>0</v>
      </c>
      <c r="Y134" s="33">
        <f>(S134-X134)/Model!$B$11</f>
        <v>1.2610610678586626E-2</v>
      </c>
      <c r="Z134" s="45">
        <f t="shared" si="48"/>
        <v>0</v>
      </c>
      <c r="AA134" s="56">
        <f>Y134/Model!$B$12*3600</f>
        <v>81.647764835954959</v>
      </c>
      <c r="AB134" s="50">
        <f t="shared" si="53"/>
        <v>1083.9154670020121</v>
      </c>
      <c r="AC134" s="50">
        <f t="shared" si="54"/>
        <v>716.08453299798794</v>
      </c>
      <c r="AD134" s="15">
        <f>IF(AE134=0, Model!$B$19, 0 )</f>
        <v>0</v>
      </c>
      <c r="AE134" s="50">
        <f>IF(AE133+AB133-AB134&lt;Model!$B$19*Model!$B$18, AE133+AB133-AB134,  0)</f>
        <v>262.59660780510126</v>
      </c>
      <c r="AF134" s="15">
        <f t="shared" si="49"/>
        <v>6.5999999999999845</v>
      </c>
      <c r="AG134" s="50">
        <f t="shared" si="50"/>
        <v>0</v>
      </c>
    </row>
    <row r="135" spans="2:33" x14ac:dyDescent="0.25">
      <c r="B135" s="13">
        <f t="shared" si="51"/>
        <v>6.6499999999999844</v>
      </c>
      <c r="C135" s="13">
        <f>B135+Model!$B$4</f>
        <v>8.6499999999999844</v>
      </c>
      <c r="D135" s="13">
        <f t="shared" si="52"/>
        <v>1</v>
      </c>
      <c r="E135" s="13">
        <f t="shared" si="37"/>
        <v>8.6499999999999844</v>
      </c>
      <c r="F135" s="14">
        <f>IF(AB135&gt;0, VLOOKUP(B135,Model!$A$40:$B$60, 2), 0)</f>
        <v>300</v>
      </c>
      <c r="G135" s="13">
        <f>IF(AB135&gt;0, VLOOKUP(B135,Model!$A$39:$C$58, 3), 0)</f>
        <v>0</v>
      </c>
      <c r="H135" s="13">
        <f t="shared" si="38"/>
        <v>0</v>
      </c>
      <c r="I135" s="46">
        <f>Model!$B$21*EXP((-0.029*9.81*F135)/(8.31*(273+J135)))</f>
        <v>100357.4491247143</v>
      </c>
      <c r="J135" s="13">
        <f>IF(Model!$B$31="Summer",  IF(F135&lt;=2000,  Model!$B$20-Model!$B$35*F135/1000,  IF(F135&lt;Model!$B$36,  Model!$B$33-6.5*F135/1000,  Model!$B$38)),     IF(F135&lt;=2000,  Model!$B$20-Model!$B$35*F135/1000,  IF(F135&lt;Model!$B$36,  Model!$B$33-5.4*F135/1000,   Model!$B$38)))</f>
        <v>-19.088750000000001</v>
      </c>
      <c r="K135" s="13">
        <f t="shared" si="39"/>
        <v>253.91125</v>
      </c>
      <c r="L135" s="46">
        <f>IF(AB134-AA134*(B135-B134)&gt;0, L134-Y134*(B135-B134)*3600-AD135*Model!$B$16, 0)</f>
        <v>1341.4141876176488</v>
      </c>
      <c r="M135" s="57">
        <f t="shared" si="40"/>
        <v>64.017193342951828</v>
      </c>
      <c r="N135" s="57">
        <f>Model!$B$13*I135*K135/(Model!$B$13*I135-L135*287*K135)</f>
        <v>337.01719334295183</v>
      </c>
      <c r="O135" s="57">
        <f t="shared" si="41"/>
        <v>295.46422167147591</v>
      </c>
      <c r="P135" s="57">
        <f t="shared" si="42"/>
        <v>22.464221671475912</v>
      </c>
      <c r="Q135" s="63">
        <f t="shared" si="43"/>
        <v>2.5594959738674788E-2</v>
      </c>
      <c r="R135" s="17">
        <f t="shared" si="44"/>
        <v>1.5936279053833495E-5</v>
      </c>
      <c r="S135" s="46">
        <f>0.37*Model!$B$10*(Q135^2*(N135-K135)*I135/(R135*O135^2))^0.33333*(N135-K135)</f>
        <v>586228.13483169104</v>
      </c>
      <c r="T135" s="51">
        <f>Model!$B$32+(90-Model!$B$6)*SIN(RADIANS(-15*(E135+6)))</f>
        <v>15.509630008336028</v>
      </c>
      <c r="U135" s="46">
        <f t="shared" si="45"/>
        <v>15.509630008336028</v>
      </c>
      <c r="V135" s="51">
        <f t="shared" si="46"/>
        <v>3.739711098837502</v>
      </c>
      <c r="W135" s="46">
        <f t="shared" si="47"/>
        <v>0</v>
      </c>
      <c r="X135" s="46">
        <f>0.3*W135*Model!$B$9</f>
        <v>0</v>
      </c>
      <c r="Y135" s="17">
        <f>(S135-X135)/Model!$B$11</f>
        <v>1.2575954839251122E-2</v>
      </c>
      <c r="Z135" s="46">
        <f t="shared" si="48"/>
        <v>0</v>
      </c>
      <c r="AA135" s="57">
        <f>Y135/Model!$B$12*3600</f>
        <v>81.42338459836165</v>
      </c>
      <c r="AB135" s="51">
        <f t="shared" si="53"/>
        <v>1079.8330787602142</v>
      </c>
      <c r="AC135" s="51">
        <f t="shared" si="54"/>
        <v>720.16692123978578</v>
      </c>
      <c r="AD135" s="13">
        <f>IF(AE135=0, Model!$B$19, 0 )</f>
        <v>0</v>
      </c>
      <c r="AE135" s="51">
        <f>IF(AE134+AB134-AB135&lt;Model!$B$19*Model!$B$18, AE134+AB134-AB135,  0)</f>
        <v>266.6789960468991</v>
      </c>
      <c r="AF135" s="13">
        <f t="shared" si="49"/>
        <v>6.6499999999999844</v>
      </c>
      <c r="AG135" s="50">
        <f t="shared" si="50"/>
        <v>0</v>
      </c>
    </row>
    <row r="136" spans="2:33" x14ac:dyDescent="0.25">
      <c r="B136" s="15">
        <f t="shared" si="51"/>
        <v>6.6999999999999842</v>
      </c>
      <c r="C136" s="15">
        <f>B136+Model!$B$4</f>
        <v>8.6999999999999851</v>
      </c>
      <c r="D136" s="15">
        <f t="shared" si="52"/>
        <v>1</v>
      </c>
      <c r="E136" s="15">
        <f t="shared" si="37"/>
        <v>8.6999999999999851</v>
      </c>
      <c r="F136" s="16">
        <f>IF(AB136&gt;0, VLOOKUP(B136,Model!$A$40:$B$60, 2), 0)</f>
        <v>300</v>
      </c>
      <c r="G136" s="15">
        <f>IF(AB136&gt;0, VLOOKUP(B136,Model!$A$39:$C$58, 3), 0)</f>
        <v>0</v>
      </c>
      <c r="H136" s="15">
        <f t="shared" si="38"/>
        <v>0</v>
      </c>
      <c r="I136" s="45">
        <f>Model!$B$21*EXP((-0.029*9.81*F136)/(8.31*(273+J136)))</f>
        <v>100357.4491247143</v>
      </c>
      <c r="J136" s="15">
        <f>IF(Model!$B$31="Summer",  IF(F136&lt;=2000,  Model!$B$20-Model!$B$35*F136/1000,  IF(F136&lt;Model!$B$36,  Model!$B$33-6.5*F136/1000,  Model!$B$38)),     IF(F136&lt;=2000,  Model!$B$20-Model!$B$35*F136/1000,  IF(F136&lt;Model!$B$36,  Model!$B$33-5.4*F136/1000,   Model!$B$38)))</f>
        <v>-19.088750000000001</v>
      </c>
      <c r="K136" s="15">
        <f t="shared" si="39"/>
        <v>253.91125</v>
      </c>
      <c r="L136" s="45">
        <f>IF(AB135-AA135*(B136-B135)&gt;0, L135-Y135*(B136-B135)*3600-AD136*Model!$B$16, 0)</f>
        <v>1339.1505157465836</v>
      </c>
      <c r="M136" s="56">
        <f t="shared" si="40"/>
        <v>63.831150499919261</v>
      </c>
      <c r="N136" s="56">
        <f>Model!$B$13*I136*K136/(Model!$B$13*I136-L136*287*K136)</f>
        <v>336.83115049991926</v>
      </c>
      <c r="O136" s="56">
        <f t="shared" si="41"/>
        <v>295.37120024995966</v>
      </c>
      <c r="P136" s="56">
        <f t="shared" si="42"/>
        <v>22.371200249959628</v>
      </c>
      <c r="Q136" s="62">
        <f t="shared" si="43"/>
        <v>2.5588355217747136E-2</v>
      </c>
      <c r="R136" s="33">
        <f t="shared" si="44"/>
        <v>1.5926604825995805E-5</v>
      </c>
      <c r="S136" s="45">
        <f>0.37*Model!$B$10*(Q136^2*(N136-K136)*I136/(R136*O136^2))^0.33333*(N136-K136)</f>
        <v>584619.45833108143</v>
      </c>
      <c r="T136" s="50">
        <f>Model!$B$32+(90-Model!$B$6)*SIN(RADIANS(-15*(E136+6)))</f>
        <v>15.859946630571997</v>
      </c>
      <c r="U136" s="45">
        <f t="shared" si="45"/>
        <v>15.859946630571997</v>
      </c>
      <c r="V136" s="50">
        <f t="shared" si="46"/>
        <v>3.659159081394161</v>
      </c>
      <c r="W136" s="45">
        <f t="shared" si="47"/>
        <v>0</v>
      </c>
      <c r="X136" s="45">
        <f>0.3*W136*Model!$B$9</f>
        <v>0</v>
      </c>
      <c r="Y136" s="33">
        <f>(S136-X136)/Model!$B$11</f>
        <v>1.2541444992622148E-2</v>
      </c>
      <c r="Z136" s="45">
        <f t="shared" si="48"/>
        <v>0</v>
      </c>
      <c r="AA136" s="56">
        <f>Y136/Model!$B$12*3600</f>
        <v>81.199949594783931</v>
      </c>
      <c r="AB136" s="50">
        <f t="shared" si="53"/>
        <v>1075.7619095302962</v>
      </c>
      <c r="AC136" s="50">
        <f t="shared" si="54"/>
        <v>724.23809046970382</v>
      </c>
      <c r="AD136" s="15">
        <f>IF(AE136=0, Model!$B$19, 0 )</f>
        <v>0</v>
      </c>
      <c r="AE136" s="50">
        <f>IF(AE135+AB135-AB136&lt;Model!$B$19*Model!$B$18, AE135+AB135-AB136,  0)</f>
        <v>270.75016527681714</v>
      </c>
      <c r="AF136" s="15">
        <f t="shared" si="49"/>
        <v>6.6999999999999842</v>
      </c>
      <c r="AG136" s="50">
        <f t="shared" si="50"/>
        <v>0</v>
      </c>
    </row>
    <row r="137" spans="2:33" x14ac:dyDescent="0.25">
      <c r="B137" s="13">
        <f t="shared" si="51"/>
        <v>6.749999999999984</v>
      </c>
      <c r="C137" s="13">
        <f>B137+Model!$B$4</f>
        <v>8.749999999999984</v>
      </c>
      <c r="D137" s="13">
        <f t="shared" si="52"/>
        <v>1</v>
      </c>
      <c r="E137" s="13">
        <f t="shared" si="37"/>
        <v>8.749999999999984</v>
      </c>
      <c r="F137" s="14">
        <f>IF(AB137&gt;0, VLOOKUP(B137,Model!$A$40:$B$60, 2), 0)</f>
        <v>300</v>
      </c>
      <c r="G137" s="13">
        <f>IF(AB137&gt;0, VLOOKUP(B137,Model!$A$39:$C$58, 3), 0)</f>
        <v>0</v>
      </c>
      <c r="H137" s="13">
        <f t="shared" si="38"/>
        <v>0</v>
      </c>
      <c r="I137" s="46">
        <f>Model!$B$21*EXP((-0.029*9.81*F137)/(8.31*(273+J137)))</f>
        <v>100357.4491247143</v>
      </c>
      <c r="J137" s="13">
        <f>IF(Model!$B$31="Summer",  IF(F137&lt;=2000,  Model!$B$20-Model!$B$35*F137/1000,  IF(F137&lt;Model!$B$36,  Model!$B$33-6.5*F137/1000,  Model!$B$38)),     IF(F137&lt;=2000,  Model!$B$20-Model!$B$35*F137/1000,  IF(F137&lt;Model!$B$36,  Model!$B$33-5.4*F137/1000,   Model!$B$38)))</f>
        <v>-19.088750000000001</v>
      </c>
      <c r="K137" s="13">
        <f t="shared" si="39"/>
        <v>253.91125</v>
      </c>
      <c r="L137" s="46">
        <f>IF(AB136-AA136*(B137-B136)&gt;0, L136-Y136*(B137-B136)*3600-AD137*Model!$B$16, 0)</f>
        <v>1336.8930556479115</v>
      </c>
      <c r="M137" s="57">
        <f t="shared" si="40"/>
        <v>63.645822623931963</v>
      </c>
      <c r="N137" s="57">
        <f>Model!$B$13*I137*K137/(Model!$B$13*I137-L137*287*K137)</f>
        <v>336.64582262393196</v>
      </c>
      <c r="O137" s="57">
        <f t="shared" si="41"/>
        <v>295.27853631196598</v>
      </c>
      <c r="P137" s="57">
        <f t="shared" si="42"/>
        <v>22.278536311965979</v>
      </c>
      <c r="Q137" s="63">
        <f t="shared" si="43"/>
        <v>2.5581776078149585E-2</v>
      </c>
      <c r="R137" s="17">
        <f t="shared" si="44"/>
        <v>1.591696777644446E-5</v>
      </c>
      <c r="S137" s="46">
        <f>0.37*Model!$B$10*(Q137^2*(N137-K137)*I137/(R137*O137^2))^0.33333*(N137-K137)</f>
        <v>583017.54624667508</v>
      </c>
      <c r="T137" s="51">
        <f>Model!$B$32+(90-Model!$B$6)*SIN(RADIANS(-15*(E137+6)))</f>
        <v>16.206368467517983</v>
      </c>
      <c r="U137" s="46">
        <f t="shared" si="45"/>
        <v>16.206368467517983</v>
      </c>
      <c r="V137" s="51">
        <f t="shared" si="46"/>
        <v>3.5829728888803731</v>
      </c>
      <c r="W137" s="46">
        <f t="shared" si="47"/>
        <v>0</v>
      </c>
      <c r="X137" s="46">
        <f>0.3*W137*Model!$B$9</f>
        <v>0</v>
      </c>
      <c r="Y137" s="17">
        <f>(S137-X137)/Model!$B$11</f>
        <v>1.2507080258429155E-2</v>
      </c>
      <c r="Z137" s="46">
        <f t="shared" si="48"/>
        <v>0</v>
      </c>
      <c r="AA137" s="57">
        <f>Y137/Model!$B$12*3600</f>
        <v>80.977454125884549</v>
      </c>
      <c r="AB137" s="51">
        <f t="shared" si="53"/>
        <v>1071.701912050557</v>
      </c>
      <c r="AC137" s="51">
        <f t="shared" si="54"/>
        <v>728.29808794944302</v>
      </c>
      <c r="AD137" s="13">
        <f>IF(AE137=0, Model!$B$19, 0 )</f>
        <v>0</v>
      </c>
      <c r="AE137" s="51">
        <f>IF(AE136+AB136-AB137&lt;Model!$B$19*Model!$B$18, AE136+AB136-AB137,  0)</f>
        <v>274.81016275655634</v>
      </c>
      <c r="AF137" s="13">
        <f t="shared" si="49"/>
        <v>6.749999999999984</v>
      </c>
      <c r="AG137" s="50">
        <f t="shared" si="50"/>
        <v>0</v>
      </c>
    </row>
    <row r="138" spans="2:33" x14ac:dyDescent="0.25">
      <c r="B138" s="15">
        <f t="shared" si="51"/>
        <v>6.7999999999999838</v>
      </c>
      <c r="C138" s="15">
        <f>B138+Model!$B$4</f>
        <v>8.7999999999999829</v>
      </c>
      <c r="D138" s="15">
        <f t="shared" si="52"/>
        <v>1</v>
      </c>
      <c r="E138" s="15">
        <f t="shared" si="37"/>
        <v>8.7999999999999829</v>
      </c>
      <c r="F138" s="16">
        <f>IF(AB138&gt;0, VLOOKUP(B138,Model!$A$40:$B$60, 2), 0)</f>
        <v>300</v>
      </c>
      <c r="G138" s="15">
        <f>IF(AB138&gt;0, VLOOKUP(B138,Model!$A$39:$C$58, 3), 0)</f>
        <v>0</v>
      </c>
      <c r="H138" s="15">
        <f t="shared" si="38"/>
        <v>0</v>
      </c>
      <c r="I138" s="45">
        <f>Model!$B$21*EXP((-0.029*9.81*F138)/(8.31*(273+J138)))</f>
        <v>100357.4491247143</v>
      </c>
      <c r="J138" s="15">
        <f>IF(Model!$B$31="Summer",  IF(F138&lt;=2000,  Model!$B$20-Model!$B$35*F138/1000,  IF(F138&lt;Model!$B$36,  Model!$B$33-6.5*F138/1000,  Model!$B$38)),     IF(F138&lt;=2000,  Model!$B$20-Model!$B$35*F138/1000,  IF(F138&lt;Model!$B$36,  Model!$B$33-5.4*F138/1000,   Model!$B$38)))</f>
        <v>-19.088750000000001</v>
      </c>
      <c r="K138" s="15">
        <f t="shared" si="39"/>
        <v>253.91125</v>
      </c>
      <c r="L138" s="45">
        <f>IF(AB137-AA137*(B138-B137)&gt;0, L137-Y137*(B138-B137)*3600-AD138*Model!$B$16, 0)</f>
        <v>1334.6417812013942</v>
      </c>
      <c r="M138" s="56">
        <f t="shared" si="40"/>
        <v>63.461205553366369</v>
      </c>
      <c r="N138" s="56">
        <f>Model!$B$13*I138*K138/(Model!$B$13*I138-L138*287*K138)</f>
        <v>336.46120555336637</v>
      </c>
      <c r="O138" s="56">
        <f t="shared" si="41"/>
        <v>295.18622777668315</v>
      </c>
      <c r="P138" s="56">
        <f t="shared" si="42"/>
        <v>22.186227776683182</v>
      </c>
      <c r="Q138" s="62">
        <f t="shared" si="43"/>
        <v>2.5575222172144505E-2</v>
      </c>
      <c r="R138" s="33">
        <f t="shared" si="44"/>
        <v>1.5907367688775045E-5</v>
      </c>
      <c r="S138" s="45">
        <f>0.37*Model!$B$10*(Q138^2*(N138-K138)*I138/(R138*O138^2))^0.33333*(N138-K138)</f>
        <v>581422.3578754937</v>
      </c>
      <c r="T138" s="50">
        <f>Model!$B$32+(90-Model!$B$6)*SIN(RADIANS(-15*(E138+6)))</f>
        <v>16.548836161575597</v>
      </c>
      <c r="U138" s="45">
        <f t="shared" si="45"/>
        <v>16.548836161575597</v>
      </c>
      <c r="V138" s="50">
        <f t="shared" si="46"/>
        <v>3.5108353996079171</v>
      </c>
      <c r="W138" s="45">
        <f t="shared" si="47"/>
        <v>0</v>
      </c>
      <c r="X138" s="45">
        <f>0.3*W138*Model!$B$9</f>
        <v>0</v>
      </c>
      <c r="Y138" s="33">
        <f>(S138-X138)/Model!$B$11</f>
        <v>1.2472859763498739E-2</v>
      </c>
      <c r="Z138" s="45">
        <f t="shared" si="48"/>
        <v>0</v>
      </c>
      <c r="AA138" s="56">
        <f>Y138/Model!$B$12*3600</f>
        <v>80.755892538276996</v>
      </c>
      <c r="AB138" s="50">
        <f t="shared" si="53"/>
        <v>1067.6530393442629</v>
      </c>
      <c r="AC138" s="50">
        <f t="shared" si="54"/>
        <v>732.34696065573712</v>
      </c>
      <c r="AD138" s="15">
        <f>IF(AE138=0, Model!$B$19, 0 )</f>
        <v>0</v>
      </c>
      <c r="AE138" s="50">
        <f>IF(AE137+AB137-AB138&lt;Model!$B$19*Model!$B$18, AE137+AB137-AB138,  0)</f>
        <v>278.85903546285044</v>
      </c>
      <c r="AF138" s="15">
        <f t="shared" si="49"/>
        <v>6.7999999999999838</v>
      </c>
      <c r="AG138" s="50">
        <f t="shared" si="50"/>
        <v>0</v>
      </c>
    </row>
    <row r="139" spans="2:33" x14ac:dyDescent="0.25">
      <c r="B139" s="13">
        <f t="shared" si="51"/>
        <v>6.8499999999999837</v>
      </c>
      <c r="C139" s="13">
        <f>B139+Model!$B$4</f>
        <v>8.8499999999999837</v>
      </c>
      <c r="D139" s="13">
        <f t="shared" si="52"/>
        <v>1</v>
      </c>
      <c r="E139" s="13">
        <f t="shared" si="37"/>
        <v>8.8499999999999837</v>
      </c>
      <c r="F139" s="14">
        <f>IF(AB139&gt;0, VLOOKUP(B139,Model!$A$40:$B$60, 2), 0)</f>
        <v>300</v>
      </c>
      <c r="G139" s="13">
        <f>IF(AB139&gt;0, VLOOKUP(B139,Model!$A$39:$C$58, 3), 0)</f>
        <v>0</v>
      </c>
      <c r="H139" s="13">
        <f t="shared" si="38"/>
        <v>0</v>
      </c>
      <c r="I139" s="46">
        <f>Model!$B$21*EXP((-0.029*9.81*F139)/(8.31*(273+J139)))</f>
        <v>100357.4491247143</v>
      </c>
      <c r="J139" s="13">
        <f>IF(Model!$B$31="Summer",  IF(F139&lt;=2000,  Model!$B$20-Model!$B$35*F139/1000,  IF(F139&lt;Model!$B$36,  Model!$B$33-6.5*F139/1000,  Model!$B$38)),     IF(F139&lt;=2000,  Model!$B$20-Model!$B$35*F139/1000,  IF(F139&lt;Model!$B$36,  Model!$B$33-5.4*F139/1000,   Model!$B$38)))</f>
        <v>-19.088750000000001</v>
      </c>
      <c r="K139" s="13">
        <f t="shared" si="39"/>
        <v>253.91125</v>
      </c>
      <c r="L139" s="46">
        <f>IF(AB138-AA138*(B139-B138)&gt;0, L138-Y138*(B139-B138)*3600-AD139*Model!$B$16, 0)</f>
        <v>1332.3966664439645</v>
      </c>
      <c r="M139" s="57">
        <f t="shared" si="40"/>
        <v>63.277295159731295</v>
      </c>
      <c r="N139" s="57">
        <f>Model!$B$13*I139*K139/(Model!$B$13*I139-L139*287*K139)</f>
        <v>336.2772951597313</v>
      </c>
      <c r="O139" s="57">
        <f t="shared" si="41"/>
        <v>295.09427257986567</v>
      </c>
      <c r="P139" s="57">
        <f t="shared" si="42"/>
        <v>22.094272579865645</v>
      </c>
      <c r="Q139" s="63">
        <f t="shared" si="43"/>
        <v>2.5568693353170462E-2</v>
      </c>
      <c r="R139" s="17">
        <f t="shared" si="44"/>
        <v>1.5897804348306029E-5</v>
      </c>
      <c r="S139" s="46">
        <f>0.37*Model!$B$10*(Q139^2*(N139-K139)*I139/(R139*O139^2))^0.33333*(N139-K139)</f>
        <v>579833.85284201975</v>
      </c>
      <c r="T139" s="51">
        <f>Model!$B$32+(90-Model!$B$6)*SIN(RADIANS(-15*(E139+6)))</f>
        <v>16.887291032668525</v>
      </c>
      <c r="U139" s="46">
        <f t="shared" si="45"/>
        <v>16.887291032668525</v>
      </c>
      <c r="V139" s="51">
        <f t="shared" si="46"/>
        <v>3.4424598564519835</v>
      </c>
      <c r="W139" s="46">
        <f t="shared" si="47"/>
        <v>0</v>
      </c>
      <c r="X139" s="46">
        <f>0.3*W139*Model!$B$9</f>
        <v>0</v>
      </c>
      <c r="Y139" s="17">
        <f>(S139-X139)/Model!$B$11</f>
        <v>1.2438782641682286E-2</v>
      </c>
      <c r="Z139" s="46">
        <f t="shared" si="48"/>
        <v>0</v>
      </c>
      <c r="AA139" s="57">
        <f>Y139/Model!$B$12*3600</f>
        <v>80.535259224056887</v>
      </c>
      <c r="AB139" s="51">
        <f t="shared" si="53"/>
        <v>1063.615244717349</v>
      </c>
      <c r="AC139" s="51">
        <f t="shared" si="54"/>
        <v>736.38475528265099</v>
      </c>
      <c r="AD139" s="13">
        <f>IF(AE139=0, Model!$B$19, 0 )</f>
        <v>0</v>
      </c>
      <c r="AE139" s="51">
        <f>IF(AE138+AB138-AB139&lt;Model!$B$19*Model!$B$18, AE138+AB138-AB139,  0)</f>
        <v>282.89683008976431</v>
      </c>
      <c r="AF139" s="13">
        <f t="shared" si="49"/>
        <v>6.8499999999999837</v>
      </c>
      <c r="AG139" s="50">
        <f t="shared" si="50"/>
        <v>0</v>
      </c>
    </row>
    <row r="140" spans="2:33" x14ac:dyDescent="0.25">
      <c r="B140" s="15">
        <f t="shared" si="51"/>
        <v>6.8999999999999835</v>
      </c>
      <c r="C140" s="15">
        <f>B140+Model!$B$4</f>
        <v>8.8999999999999844</v>
      </c>
      <c r="D140" s="15">
        <f t="shared" si="52"/>
        <v>1</v>
      </c>
      <c r="E140" s="15">
        <f t="shared" si="37"/>
        <v>8.8999999999999844</v>
      </c>
      <c r="F140" s="16">
        <f>IF(AB140&gt;0, VLOOKUP(B140,Model!$A$40:$B$60, 2), 0)</f>
        <v>300</v>
      </c>
      <c r="G140" s="15">
        <f>IF(AB140&gt;0, VLOOKUP(B140,Model!$A$39:$C$58, 3), 0)</f>
        <v>0</v>
      </c>
      <c r="H140" s="15">
        <f t="shared" si="38"/>
        <v>0</v>
      </c>
      <c r="I140" s="45">
        <f>Model!$B$21*EXP((-0.029*9.81*F140)/(8.31*(273+J140)))</f>
        <v>100357.4491247143</v>
      </c>
      <c r="J140" s="15">
        <f>IF(Model!$B$31="Summer",  IF(F140&lt;=2000,  Model!$B$20-Model!$B$35*F140/1000,  IF(F140&lt;Model!$B$36,  Model!$B$33-6.5*F140/1000,  Model!$B$38)),     IF(F140&lt;=2000,  Model!$B$20-Model!$B$35*F140/1000,  IF(F140&lt;Model!$B$36,  Model!$B$33-5.4*F140/1000,   Model!$B$38)))</f>
        <v>-19.088750000000001</v>
      </c>
      <c r="K140" s="15">
        <f t="shared" si="39"/>
        <v>253.91125</v>
      </c>
      <c r="L140" s="45">
        <f>IF(AB139-AA139*(B140-B139)&gt;0, L139-Y139*(B140-B139)*3600-AD140*Model!$B$16, 0)</f>
        <v>1330.1576855684616</v>
      </c>
      <c r="M140" s="56">
        <f t="shared" si="40"/>
        <v>63.094087347331538</v>
      </c>
      <c r="N140" s="56">
        <f>Model!$B$13*I140*K140/(Model!$B$13*I140-L140*287*K140)</f>
        <v>336.09408734733154</v>
      </c>
      <c r="O140" s="56">
        <f t="shared" si="41"/>
        <v>295.00266867366577</v>
      </c>
      <c r="P140" s="56">
        <f t="shared" si="42"/>
        <v>22.002668673665767</v>
      </c>
      <c r="Q140" s="62">
        <f t="shared" si="43"/>
        <v>2.556218947583027E-2</v>
      </c>
      <c r="R140" s="33">
        <f t="shared" si="44"/>
        <v>1.5888277542061237E-5</v>
      </c>
      <c r="S140" s="45">
        <f>0.37*Model!$B$10*(Q140^2*(N140-K140)*I140/(R140*O140^2))^0.33333*(N140-K140)</f>
        <v>578251.99109486758</v>
      </c>
      <c r="T140" s="50">
        <f>Model!$B$32+(90-Model!$B$6)*SIN(RADIANS(-15*(E140+6)))</f>
        <v>17.221675088296966</v>
      </c>
      <c r="U140" s="45">
        <f t="shared" si="45"/>
        <v>17.221675088296966</v>
      </c>
      <c r="V140" s="50">
        <f t="shared" si="46"/>
        <v>3.3775863313886219</v>
      </c>
      <c r="W140" s="45">
        <f t="shared" si="47"/>
        <v>0</v>
      </c>
      <c r="X140" s="45">
        <f>0.3*W140*Model!$B$9</f>
        <v>0</v>
      </c>
      <c r="Y140" s="33">
        <f>(S140-X140)/Model!$B$11</f>
        <v>1.2404848033784567E-2</v>
      </c>
      <c r="Z140" s="45">
        <f t="shared" si="48"/>
        <v>0</v>
      </c>
      <c r="AA140" s="56">
        <f>Y140/Model!$B$12*3600</f>
        <v>80.315548620339797</v>
      </c>
      <c r="AB140" s="50">
        <f t="shared" si="53"/>
        <v>1059.5884817561462</v>
      </c>
      <c r="AC140" s="50">
        <f t="shared" si="54"/>
        <v>740.41151824385383</v>
      </c>
      <c r="AD140" s="15">
        <f>IF(AE140=0, Model!$B$19, 0 )</f>
        <v>0</v>
      </c>
      <c r="AE140" s="50">
        <f>IF(AE139+AB139-AB140&lt;Model!$B$19*Model!$B$18, AE139+AB139-AB140,  0)</f>
        <v>286.92359305096716</v>
      </c>
      <c r="AF140" s="15">
        <f t="shared" si="49"/>
        <v>6.8999999999999835</v>
      </c>
      <c r="AG140" s="50">
        <f t="shared" si="50"/>
        <v>0</v>
      </c>
    </row>
    <row r="141" spans="2:33" x14ac:dyDescent="0.25">
      <c r="B141" s="13">
        <f t="shared" si="51"/>
        <v>6.9499999999999833</v>
      </c>
      <c r="C141" s="13">
        <f>B141+Model!$B$4</f>
        <v>8.9499999999999833</v>
      </c>
      <c r="D141" s="13">
        <f t="shared" si="52"/>
        <v>1</v>
      </c>
      <c r="E141" s="13">
        <f t="shared" si="37"/>
        <v>8.9499999999999833</v>
      </c>
      <c r="F141" s="14">
        <f>IF(AB141&gt;0, VLOOKUP(B141,Model!$A$40:$B$60, 2), 0)</f>
        <v>300</v>
      </c>
      <c r="G141" s="13">
        <f>IF(AB141&gt;0, VLOOKUP(B141,Model!$A$39:$C$58, 3), 0)</f>
        <v>0</v>
      </c>
      <c r="H141" s="13">
        <f t="shared" si="38"/>
        <v>0</v>
      </c>
      <c r="I141" s="46">
        <f>Model!$B$21*EXP((-0.029*9.81*F141)/(8.31*(273+J141)))</f>
        <v>100357.4491247143</v>
      </c>
      <c r="J141" s="13">
        <f>IF(Model!$B$31="Summer",  IF(F141&lt;=2000,  Model!$B$20-Model!$B$35*F141/1000,  IF(F141&lt;Model!$B$36,  Model!$B$33-6.5*F141/1000,  Model!$B$38)),     IF(F141&lt;=2000,  Model!$B$20-Model!$B$35*F141/1000,  IF(F141&lt;Model!$B$36,  Model!$B$33-5.4*F141/1000,   Model!$B$38)))</f>
        <v>-19.088750000000001</v>
      </c>
      <c r="K141" s="13">
        <f t="shared" si="39"/>
        <v>253.91125</v>
      </c>
      <c r="L141" s="46">
        <f>IF(AB140-AA140*(B141-B140)&gt;0, L140-Y140*(B141-B140)*3600-AD141*Model!$B$16, 0)</f>
        <v>1327.9248129223804</v>
      </c>
      <c r="M141" s="57">
        <f t="shared" si="40"/>
        <v>62.911578052935795</v>
      </c>
      <c r="N141" s="57">
        <f>Model!$B$13*I141*K141/(Model!$B$13*I141-L141*287*K141)</f>
        <v>335.91157805293579</v>
      </c>
      <c r="O141" s="57">
        <f t="shared" si="41"/>
        <v>294.91141402646792</v>
      </c>
      <c r="P141" s="57">
        <f t="shared" si="42"/>
        <v>21.911414026467895</v>
      </c>
      <c r="Q141" s="63">
        <f t="shared" si="43"/>
        <v>2.5555710395879224E-2</v>
      </c>
      <c r="R141" s="17">
        <f t="shared" si="44"/>
        <v>1.5878787058752664E-5</v>
      </c>
      <c r="S141" s="46">
        <f>0.37*Model!$B$10*(Q141^2*(N141-K141)*I141/(R141*O141^2))^0.33333*(N141-K141)</f>
        <v>576676.73290348973</v>
      </c>
      <c r="T141" s="51">
        <f>Model!$B$32+(90-Model!$B$6)*SIN(RADIANS(-15*(E141+6)))</f>
        <v>17.551931033474364</v>
      </c>
      <c r="U141" s="46">
        <f t="shared" si="45"/>
        <v>17.551931033474364</v>
      </c>
      <c r="V141" s="51">
        <f t="shared" si="46"/>
        <v>3.3159786733069194</v>
      </c>
      <c r="W141" s="46">
        <f t="shared" si="47"/>
        <v>0</v>
      </c>
      <c r="X141" s="46">
        <f>0.3*W141*Model!$B$9</f>
        <v>0</v>
      </c>
      <c r="Y141" s="17">
        <f>(S141-X141)/Model!$B$11</f>
        <v>1.2371055087493076E-2</v>
      </c>
      <c r="Z141" s="46">
        <f t="shared" si="48"/>
        <v>0</v>
      </c>
      <c r="AA141" s="57">
        <f>Y141/Model!$B$12*3600</f>
        <v>80.096755208803685</v>
      </c>
      <c r="AB141" s="51">
        <f t="shared" si="53"/>
        <v>1055.5727043251293</v>
      </c>
      <c r="AC141" s="51">
        <f t="shared" si="54"/>
        <v>744.42729567487072</v>
      </c>
      <c r="AD141" s="13">
        <f>IF(AE141=0, Model!$B$19, 0 )</f>
        <v>0</v>
      </c>
      <c r="AE141" s="51">
        <f>IF(AE140+AB140-AB141&lt;Model!$B$19*Model!$B$18, AE140+AB140-AB141,  0)</f>
        <v>290.93937048198404</v>
      </c>
      <c r="AF141" s="13">
        <f t="shared" si="49"/>
        <v>6.9499999999999833</v>
      </c>
      <c r="AG141" s="50">
        <f t="shared" si="50"/>
        <v>0</v>
      </c>
    </row>
    <row r="142" spans="2:33" x14ac:dyDescent="0.25">
      <c r="B142" s="15">
        <f t="shared" si="51"/>
        <v>6.9999999999999831</v>
      </c>
      <c r="C142" s="15">
        <f>B142+Model!$B$4</f>
        <v>8.9999999999999822</v>
      </c>
      <c r="D142" s="15">
        <f t="shared" si="52"/>
        <v>1</v>
      </c>
      <c r="E142" s="15">
        <f t="shared" si="37"/>
        <v>8.9999999999999822</v>
      </c>
      <c r="F142" s="16">
        <f>IF(AB142&gt;0, VLOOKUP(B142,Model!$A$40:$B$60, 2), 0)</f>
        <v>300</v>
      </c>
      <c r="G142" s="15">
        <f>IF(AB142&gt;0, VLOOKUP(B142,Model!$A$39:$C$58, 3), 0)</f>
        <v>0</v>
      </c>
      <c r="H142" s="15">
        <f t="shared" si="38"/>
        <v>0</v>
      </c>
      <c r="I142" s="45">
        <f>Model!$B$21*EXP((-0.029*9.81*F142)/(8.31*(273+J142)))</f>
        <v>100357.4491247143</v>
      </c>
      <c r="J142" s="15">
        <f>IF(Model!$B$31="Summer",  IF(F142&lt;=2000,  Model!$B$20-Model!$B$35*F142/1000,  IF(F142&lt;Model!$B$36,  Model!$B$33-6.5*F142/1000,  Model!$B$38)),     IF(F142&lt;=2000,  Model!$B$20-Model!$B$35*F142/1000,  IF(F142&lt;Model!$B$36,  Model!$B$33-5.4*F142/1000,   Model!$B$38)))</f>
        <v>-19.088750000000001</v>
      </c>
      <c r="K142" s="15">
        <f t="shared" si="39"/>
        <v>253.91125</v>
      </c>
      <c r="L142" s="45">
        <f>IF(AB141-AA141*(B142-B141)&gt;0, L141-Y141*(B142-B141)*3600-AD142*Model!$B$16, 0)</f>
        <v>1325.6980230066317</v>
      </c>
      <c r="M142" s="56">
        <f t="shared" si="40"/>
        <v>62.729763245448623</v>
      </c>
      <c r="N142" s="56">
        <f>Model!$B$13*I142*K142/(Model!$B$13*I142-L142*287*K142)</f>
        <v>335.72976324544862</v>
      </c>
      <c r="O142" s="56">
        <f t="shared" si="41"/>
        <v>294.82050662272434</v>
      </c>
      <c r="P142" s="56">
        <f t="shared" si="42"/>
        <v>21.820506622724309</v>
      </c>
      <c r="Q142" s="62">
        <f t="shared" si="43"/>
        <v>2.5549255970213427E-2</v>
      </c>
      <c r="R142" s="33">
        <f t="shared" si="44"/>
        <v>1.5869332688763332E-5</v>
      </c>
      <c r="S142" s="45">
        <f>0.37*Model!$B$10*(Q142^2*(N142-K142)*I142/(R142*O142^2))^0.33333*(N142-K142)</f>
        <v>575108.03885492845</v>
      </c>
      <c r="T142" s="50">
        <f>Model!$B$32+(90-Model!$B$6)*SIN(RADIANS(-15*(E142+6)))</f>
        <v>17.878002280544724</v>
      </c>
      <c r="U142" s="45">
        <f t="shared" si="45"/>
        <v>17.878002280544724</v>
      </c>
      <c r="V142" s="50">
        <f t="shared" si="46"/>
        <v>3.2574218637662371</v>
      </c>
      <c r="W142" s="45">
        <f t="shared" si="47"/>
        <v>0</v>
      </c>
      <c r="X142" s="45">
        <f>0.3*W142*Model!$B$9</f>
        <v>0</v>
      </c>
      <c r="Y142" s="33">
        <f>(S142-X142)/Model!$B$11</f>
        <v>1.2337402957308344E-2</v>
      </c>
      <c r="Z142" s="45">
        <f t="shared" si="48"/>
        <v>0</v>
      </c>
      <c r="AA142" s="56">
        <f>Y142/Model!$B$12*3600</f>
        <v>79.8788735152377</v>
      </c>
      <c r="AB142" s="50">
        <f t="shared" si="53"/>
        <v>1051.5678665646892</v>
      </c>
      <c r="AC142" s="50">
        <f t="shared" si="54"/>
        <v>748.43213343531079</v>
      </c>
      <c r="AD142" s="15">
        <f>IF(AE142=0, Model!$B$19, 0 )</f>
        <v>0</v>
      </c>
      <c r="AE142" s="50">
        <f>IF(AE141+AB141-AB142&lt;Model!$B$19*Model!$B$18, AE141+AB141-AB142,  0)</f>
        <v>294.94420824242411</v>
      </c>
      <c r="AF142" s="15">
        <f t="shared" si="49"/>
        <v>6.9999999999999831</v>
      </c>
      <c r="AG142" s="50">
        <f t="shared" si="50"/>
        <v>0</v>
      </c>
    </row>
    <row r="143" spans="2:33" x14ac:dyDescent="0.25">
      <c r="B143" s="13">
        <f t="shared" si="51"/>
        <v>7.0499999999999829</v>
      </c>
      <c r="C143" s="13">
        <f>B143+Model!$B$4</f>
        <v>9.0499999999999829</v>
      </c>
      <c r="D143" s="13">
        <f t="shared" si="52"/>
        <v>1</v>
      </c>
      <c r="E143" s="13">
        <f t="shared" si="37"/>
        <v>9.0499999999999829</v>
      </c>
      <c r="F143" s="14">
        <f>IF(AB143&gt;0, VLOOKUP(B143,Model!$A$40:$B$60, 2), 0)</f>
        <v>300</v>
      </c>
      <c r="G143" s="13">
        <f>IF(AB143&gt;0, VLOOKUP(B143,Model!$A$39:$C$58, 3), 0)</f>
        <v>0</v>
      </c>
      <c r="H143" s="13">
        <f t="shared" si="38"/>
        <v>0</v>
      </c>
      <c r="I143" s="46">
        <f>Model!$B$21*EXP((-0.029*9.81*F143)/(8.31*(273+J143)))</f>
        <v>100357.4491247143</v>
      </c>
      <c r="J143" s="13">
        <f>IF(Model!$B$31="Summer",  IF(F143&lt;=2000,  Model!$B$20-Model!$B$35*F143/1000,  IF(F143&lt;Model!$B$36,  Model!$B$33-6.5*F143/1000,  Model!$B$38)),     IF(F143&lt;=2000,  Model!$B$20-Model!$B$35*F143/1000,  IF(F143&lt;Model!$B$36,  Model!$B$33-5.4*F143/1000,   Model!$B$38)))</f>
        <v>-19.088750000000001</v>
      </c>
      <c r="K143" s="13">
        <f t="shared" si="39"/>
        <v>253.91125</v>
      </c>
      <c r="L143" s="46">
        <f>IF(AB142-AA142*(B143-B142)&gt;0, L142-Y142*(B143-B142)*3600-AD143*Model!$B$16, 0)</f>
        <v>1323.4772904743163</v>
      </c>
      <c r="M143" s="57">
        <f t="shared" si="40"/>
        <v>62.548638925586602</v>
      </c>
      <c r="N143" s="57">
        <f>Model!$B$13*I143*K143/(Model!$B$13*I143-L143*287*K143)</f>
        <v>335.5486389255866</v>
      </c>
      <c r="O143" s="57">
        <f t="shared" si="41"/>
        <v>294.7299444627933</v>
      </c>
      <c r="P143" s="57">
        <f t="shared" si="42"/>
        <v>21.729944462793298</v>
      </c>
      <c r="Q143" s="63">
        <f t="shared" si="43"/>
        <v>2.5542826056858325E-2</v>
      </c>
      <c r="R143" s="17">
        <f t="shared" si="44"/>
        <v>1.58599142241305E-5</v>
      </c>
      <c r="S143" s="46">
        <f>0.37*Model!$B$10*(Q143^2*(N143-K143)*I143/(R143*O143^2))^0.33333*(N143-K143)</f>
        <v>573545.86985060829</v>
      </c>
      <c r="T143" s="51">
        <f>Model!$B$32+(90-Model!$B$6)*SIN(RADIANS(-15*(E143+6)))</f>
        <v>18.199832958878467</v>
      </c>
      <c r="U143" s="46">
        <f t="shared" si="45"/>
        <v>18.199832958878467</v>
      </c>
      <c r="V143" s="51">
        <f t="shared" si="46"/>
        <v>3.2017197184969564</v>
      </c>
      <c r="W143" s="46">
        <f t="shared" si="47"/>
        <v>0</v>
      </c>
      <c r="X143" s="46">
        <f>0.3*W143*Model!$B$9</f>
        <v>0</v>
      </c>
      <c r="Y143" s="17">
        <f>(S143-X143)/Model!$B$11</f>
        <v>1.2303890804475132E-2</v>
      </c>
      <c r="Z143" s="46">
        <f t="shared" si="48"/>
        <v>0</v>
      </c>
      <c r="AA143" s="57">
        <f>Y143/Model!$B$12*3600</f>
        <v>79.661898109096668</v>
      </c>
      <c r="AB143" s="51">
        <f t="shared" si="53"/>
        <v>1047.5739228889274</v>
      </c>
      <c r="AC143" s="51">
        <f t="shared" si="54"/>
        <v>752.42607711107257</v>
      </c>
      <c r="AD143" s="13">
        <f>IF(AE143=0, Model!$B$19, 0 )</f>
        <v>0</v>
      </c>
      <c r="AE143" s="51">
        <f>IF(AE142+AB142-AB143&lt;Model!$B$19*Model!$B$18, AE142+AB142-AB143,  0)</f>
        <v>298.93815191818589</v>
      </c>
      <c r="AF143" s="13">
        <f t="shared" si="49"/>
        <v>7.0499999999999829</v>
      </c>
      <c r="AG143" s="50">
        <f t="shared" si="50"/>
        <v>0</v>
      </c>
    </row>
    <row r="144" spans="2:33" x14ac:dyDescent="0.25">
      <c r="B144" s="15">
        <f t="shared" si="51"/>
        <v>7.0999999999999828</v>
      </c>
      <c r="C144" s="15">
        <f>B144+Model!$B$4</f>
        <v>9.0999999999999837</v>
      </c>
      <c r="D144" s="15">
        <f t="shared" si="52"/>
        <v>1</v>
      </c>
      <c r="E144" s="15">
        <f t="shared" si="37"/>
        <v>9.0999999999999837</v>
      </c>
      <c r="F144" s="16">
        <f>IF(AB144&gt;0, VLOOKUP(B144,Model!$A$40:$B$60, 2), 0)</f>
        <v>300</v>
      </c>
      <c r="G144" s="15">
        <f>IF(AB144&gt;0, VLOOKUP(B144,Model!$A$39:$C$58, 3), 0)</f>
        <v>0</v>
      </c>
      <c r="H144" s="15">
        <f t="shared" si="38"/>
        <v>0</v>
      </c>
      <c r="I144" s="45">
        <f>Model!$B$21*EXP((-0.029*9.81*F144)/(8.31*(273+J144)))</f>
        <v>100357.4491247143</v>
      </c>
      <c r="J144" s="15">
        <f>IF(Model!$B$31="Summer",  IF(F144&lt;=2000,  Model!$B$20-Model!$B$35*F144/1000,  IF(F144&lt;Model!$B$36,  Model!$B$33-6.5*F144/1000,  Model!$B$38)),     IF(F144&lt;=2000,  Model!$B$20-Model!$B$35*F144/1000,  IF(F144&lt;Model!$B$36,  Model!$B$33-5.4*F144/1000,   Model!$B$38)))</f>
        <v>-19.088750000000001</v>
      </c>
      <c r="K144" s="15">
        <f t="shared" si="39"/>
        <v>253.91125</v>
      </c>
      <c r="L144" s="45">
        <f>IF(AB143-AA143*(B144-B143)&gt;0, L143-Y143*(B144-B143)*3600-AD144*Model!$B$16, 0)</f>
        <v>1321.2625901295107</v>
      </c>
      <c r="M144" s="56">
        <f t="shared" si="40"/>
        <v>62.36820112555796</v>
      </c>
      <c r="N144" s="56">
        <f>Model!$B$13*I144*K144/(Model!$B$13*I144-L144*287*K144)</f>
        <v>335.36820112555796</v>
      </c>
      <c r="O144" s="56">
        <f t="shared" si="41"/>
        <v>294.63972556277895</v>
      </c>
      <c r="P144" s="56">
        <f t="shared" si="42"/>
        <v>21.639725562778978</v>
      </c>
      <c r="Q144" s="62">
        <f t="shared" si="43"/>
        <v>2.5536420514957307E-2</v>
      </c>
      <c r="R144" s="33">
        <f t="shared" si="44"/>
        <v>1.5850531458529009E-5</v>
      </c>
      <c r="S144" s="45">
        <f>0.37*Model!$B$10*(Q144^2*(N144-K144)*I144/(R144*O144^2))^0.33333*(N144-K144)</f>
        <v>571990.18710316019</v>
      </c>
      <c r="T144" s="50">
        <f>Model!$B$32+(90-Model!$B$6)*SIN(RADIANS(-15*(E144+6)))</f>
        <v>18.517367924445637</v>
      </c>
      <c r="U144" s="45">
        <f t="shared" si="45"/>
        <v>18.517367924445637</v>
      </c>
      <c r="V144" s="50">
        <f t="shared" si="46"/>
        <v>3.1486928830521448</v>
      </c>
      <c r="W144" s="45">
        <f t="shared" si="47"/>
        <v>0</v>
      </c>
      <c r="X144" s="45">
        <f>0.3*W144*Model!$B$9</f>
        <v>0</v>
      </c>
      <c r="Y144" s="33">
        <f>(S144-X144)/Model!$B$11</f>
        <v>1.2270517796914302E-2</v>
      </c>
      <c r="Z144" s="45">
        <f t="shared" si="48"/>
        <v>0</v>
      </c>
      <c r="AA144" s="56">
        <f>Y144/Model!$B$12*3600</f>
        <v>79.445823603060092</v>
      </c>
      <c r="AB144" s="50">
        <f t="shared" si="53"/>
        <v>1043.5908279834725</v>
      </c>
      <c r="AC144" s="50">
        <f t="shared" si="54"/>
        <v>756.40917201652746</v>
      </c>
      <c r="AD144" s="15">
        <f>IF(AE144=0, Model!$B$19, 0 )</f>
        <v>0</v>
      </c>
      <c r="AE144" s="50">
        <f>IF(AE143+AB143-AB144&lt;Model!$B$19*Model!$B$18, AE143+AB143-AB144,  0)</f>
        <v>302.92124682364079</v>
      </c>
      <c r="AF144" s="15">
        <f t="shared" si="49"/>
        <v>7.0999999999999828</v>
      </c>
      <c r="AG144" s="50">
        <f t="shared" si="50"/>
        <v>0</v>
      </c>
    </row>
    <row r="145" spans="2:33" x14ac:dyDescent="0.25">
      <c r="B145" s="13">
        <f t="shared" si="51"/>
        <v>7.1499999999999826</v>
      </c>
      <c r="C145" s="13">
        <f>B145+Model!$B$4</f>
        <v>9.1499999999999826</v>
      </c>
      <c r="D145" s="13">
        <f t="shared" si="52"/>
        <v>1</v>
      </c>
      <c r="E145" s="13">
        <f t="shared" si="37"/>
        <v>9.1499999999999826</v>
      </c>
      <c r="F145" s="14">
        <f>IF(AB145&gt;0, VLOOKUP(B145,Model!$A$40:$B$60, 2), 0)</f>
        <v>300</v>
      </c>
      <c r="G145" s="13">
        <f>IF(AB145&gt;0, VLOOKUP(B145,Model!$A$39:$C$58, 3), 0)</f>
        <v>0</v>
      </c>
      <c r="H145" s="13">
        <f t="shared" si="38"/>
        <v>0</v>
      </c>
      <c r="I145" s="46">
        <f>Model!$B$21*EXP((-0.029*9.81*F145)/(8.31*(273+J145)))</f>
        <v>100357.4491247143</v>
      </c>
      <c r="J145" s="13">
        <f>IF(Model!$B$31="Summer",  IF(F145&lt;=2000,  Model!$B$20-Model!$B$35*F145/1000,  IF(F145&lt;Model!$B$36,  Model!$B$33-6.5*F145/1000,  Model!$B$38)),     IF(F145&lt;=2000,  Model!$B$20-Model!$B$35*F145/1000,  IF(F145&lt;Model!$B$36,  Model!$B$33-5.4*F145/1000,   Model!$B$38)))</f>
        <v>-19.088750000000001</v>
      </c>
      <c r="K145" s="13">
        <f t="shared" si="39"/>
        <v>253.91125</v>
      </c>
      <c r="L145" s="46">
        <f>IF(AB144-AA144*(B145-B144)&gt;0, L144-Y144*(B145-B144)*3600-AD145*Model!$B$16, 0)</f>
        <v>1319.0538969260663</v>
      </c>
      <c r="M145" s="57">
        <f t="shared" si="40"/>
        <v>62.188445908747099</v>
      </c>
      <c r="N145" s="57">
        <f>Model!$B$13*I145*K145/(Model!$B$13*I145-L145*287*K145)</f>
        <v>335.1884459087471</v>
      </c>
      <c r="O145" s="57">
        <f t="shared" si="41"/>
        <v>294.54984795437355</v>
      </c>
      <c r="P145" s="57">
        <f t="shared" si="42"/>
        <v>21.549847954373547</v>
      </c>
      <c r="Q145" s="63">
        <f t="shared" si="43"/>
        <v>2.5530039204760522E-2</v>
      </c>
      <c r="R145" s="17">
        <f t="shared" si="44"/>
        <v>1.5841184187254847E-5</v>
      </c>
      <c r="S145" s="46">
        <f>0.37*Model!$B$10*(Q145^2*(N145-K145)*I145/(R145*O145^2))^0.33333*(N145-K145)</f>
        <v>570440.95213329827</v>
      </c>
      <c r="T145" s="51">
        <f>Model!$B$32+(90-Model!$B$6)*SIN(RADIANS(-15*(E145+6)))</f>
        <v>18.830552769264568</v>
      </c>
      <c r="U145" s="46">
        <f t="shared" si="45"/>
        <v>18.830552769264568</v>
      </c>
      <c r="V145" s="51">
        <f t="shared" si="46"/>
        <v>3.0981770796336576</v>
      </c>
      <c r="W145" s="46">
        <f t="shared" si="47"/>
        <v>0</v>
      </c>
      <c r="X145" s="46">
        <f>0.3*W145*Model!$B$9</f>
        <v>0</v>
      </c>
      <c r="Y145" s="17">
        <f>(S145-X145)/Model!$B$11</f>
        <v>1.2237283109155814E-2</v>
      </c>
      <c r="Z145" s="46">
        <f t="shared" si="48"/>
        <v>0</v>
      </c>
      <c r="AA145" s="57">
        <f>Y145/Model!$B$12*3600</f>
        <v>79.23064465259823</v>
      </c>
      <c r="AB145" s="51">
        <f t="shared" si="53"/>
        <v>1039.6185368033196</v>
      </c>
      <c r="AC145" s="51">
        <f t="shared" si="54"/>
        <v>760.38146319668044</v>
      </c>
      <c r="AD145" s="13">
        <f>IF(AE145=0, Model!$B$19, 0 )</f>
        <v>0</v>
      </c>
      <c r="AE145" s="51">
        <f>IF(AE144+AB144-AB145&lt;Model!$B$19*Model!$B$18, AE144+AB144-AB145,  0)</f>
        <v>306.89353800379376</v>
      </c>
      <c r="AF145" s="13">
        <f t="shared" si="49"/>
        <v>7.1499999999999826</v>
      </c>
      <c r="AG145" s="50">
        <f t="shared" si="50"/>
        <v>0</v>
      </c>
    </row>
    <row r="146" spans="2:33" x14ac:dyDescent="0.25">
      <c r="B146" s="15">
        <f t="shared" si="51"/>
        <v>7.1999999999999824</v>
      </c>
      <c r="C146" s="15">
        <f>B146+Model!$B$4</f>
        <v>9.1999999999999815</v>
      </c>
      <c r="D146" s="15">
        <f t="shared" si="52"/>
        <v>1</v>
      </c>
      <c r="E146" s="15">
        <f t="shared" si="37"/>
        <v>9.1999999999999815</v>
      </c>
      <c r="F146" s="16">
        <f>IF(AB146&gt;0, VLOOKUP(B146,Model!$A$40:$B$60, 2), 0)</f>
        <v>300</v>
      </c>
      <c r="G146" s="15">
        <f>IF(AB146&gt;0, VLOOKUP(B146,Model!$A$39:$C$58, 3), 0)</f>
        <v>0</v>
      </c>
      <c r="H146" s="15">
        <f t="shared" si="38"/>
        <v>0</v>
      </c>
      <c r="I146" s="45">
        <f>Model!$B$21*EXP((-0.029*9.81*F146)/(8.31*(273+J146)))</f>
        <v>100357.4491247143</v>
      </c>
      <c r="J146" s="15">
        <f>IF(Model!$B$31="Summer",  IF(F146&lt;=2000,  Model!$B$20-Model!$B$35*F146/1000,  IF(F146&lt;Model!$B$36,  Model!$B$33-6.5*F146/1000,  Model!$B$38)),     IF(F146&lt;=2000,  Model!$B$20-Model!$B$35*F146/1000,  IF(F146&lt;Model!$B$36,  Model!$B$33-5.4*F146/1000,   Model!$B$38)))</f>
        <v>-19.088750000000001</v>
      </c>
      <c r="K146" s="15">
        <f t="shared" si="39"/>
        <v>253.91125</v>
      </c>
      <c r="L146" s="45">
        <f>IF(AB145-AA145*(B146-B145)&gt;0, L145-Y145*(B146-B145)*3600-AD146*Model!$B$16, 0)</f>
        <v>1316.8511859664181</v>
      </c>
      <c r="M146" s="56">
        <f t="shared" si="40"/>
        <v>62.009369369401895</v>
      </c>
      <c r="N146" s="56">
        <f>Model!$B$13*I146*K146/(Model!$B$13*I146-L146*287*K146)</f>
        <v>335.0093693694019</v>
      </c>
      <c r="O146" s="56">
        <f t="shared" si="41"/>
        <v>294.46030968470097</v>
      </c>
      <c r="P146" s="56">
        <f t="shared" si="42"/>
        <v>21.460309684700945</v>
      </c>
      <c r="Q146" s="62">
        <f t="shared" si="43"/>
        <v>2.5523681987613768E-2</v>
      </c>
      <c r="R146" s="33">
        <f t="shared" si="44"/>
        <v>1.5831872207208901E-5</v>
      </c>
      <c r="S146" s="45">
        <f>0.37*Model!$B$10*(Q146^2*(N146-K146)*I146/(R146*O146^2))^0.33333*(N146-K146)</f>
        <v>568898.12676671916</v>
      </c>
      <c r="T146" s="50">
        <f>Model!$B$32+(90-Model!$B$6)*SIN(RADIANS(-15*(E146+6)))</f>
        <v>19.139333830724354</v>
      </c>
      <c r="U146" s="45">
        <f t="shared" si="45"/>
        <v>19.139333830724354</v>
      </c>
      <c r="V146" s="50">
        <f t="shared" si="46"/>
        <v>3.0500215691465655</v>
      </c>
      <c r="W146" s="45">
        <f t="shared" si="47"/>
        <v>0</v>
      </c>
      <c r="X146" s="45">
        <f>0.3*W146*Model!$B$9</f>
        <v>0</v>
      </c>
      <c r="Y146" s="33">
        <f>(S146-X146)/Model!$B$11</f>
        <v>1.2204185922272211E-2</v>
      </c>
      <c r="Z146" s="45">
        <f t="shared" si="48"/>
        <v>0</v>
      </c>
      <c r="AA146" s="56">
        <f>Y146/Model!$B$12*3600</f>
        <v>79.016355955541499</v>
      </c>
      <c r="AB146" s="50">
        <f t="shared" si="53"/>
        <v>1035.6570045706897</v>
      </c>
      <c r="AC146" s="50">
        <f t="shared" si="54"/>
        <v>764.34299542931035</v>
      </c>
      <c r="AD146" s="15">
        <f>IF(AE146=0, Model!$B$19, 0 )</f>
        <v>0</v>
      </c>
      <c r="AE146" s="50">
        <f>IF(AE145+AB145-AB146&lt;Model!$B$19*Model!$B$18, AE145+AB145-AB146,  0)</f>
        <v>310.85507023642367</v>
      </c>
      <c r="AF146" s="15">
        <f t="shared" si="49"/>
        <v>7.1999999999999824</v>
      </c>
      <c r="AG146" s="50">
        <f t="shared" si="50"/>
        <v>0</v>
      </c>
    </row>
    <row r="147" spans="2:33" x14ac:dyDescent="0.25">
      <c r="B147" s="13">
        <f t="shared" si="51"/>
        <v>7.2499999999999822</v>
      </c>
      <c r="C147" s="13">
        <f>B147+Model!$B$4</f>
        <v>9.2499999999999822</v>
      </c>
      <c r="D147" s="13">
        <f t="shared" si="52"/>
        <v>1</v>
      </c>
      <c r="E147" s="13">
        <f t="shared" si="37"/>
        <v>9.2499999999999822</v>
      </c>
      <c r="F147" s="14">
        <f>IF(AB147&gt;0, VLOOKUP(B147,Model!$A$40:$B$60, 2), 0)</f>
        <v>300</v>
      </c>
      <c r="G147" s="13">
        <f>IF(AB147&gt;0, VLOOKUP(B147,Model!$A$39:$C$58, 3), 0)</f>
        <v>0</v>
      </c>
      <c r="H147" s="13">
        <f t="shared" si="38"/>
        <v>0</v>
      </c>
      <c r="I147" s="46">
        <f>Model!$B$21*EXP((-0.029*9.81*F147)/(8.31*(273+J147)))</f>
        <v>100357.4491247143</v>
      </c>
      <c r="J147" s="13">
        <f>IF(Model!$B$31="Summer",  IF(F147&lt;=2000,  Model!$B$20-Model!$B$35*F147/1000,  IF(F147&lt;Model!$B$36,  Model!$B$33-6.5*F147/1000,  Model!$B$38)),     IF(F147&lt;=2000,  Model!$B$20-Model!$B$35*F147/1000,  IF(F147&lt;Model!$B$36,  Model!$B$33-5.4*F147/1000,   Model!$B$38)))</f>
        <v>-19.088750000000001</v>
      </c>
      <c r="K147" s="13">
        <f t="shared" si="39"/>
        <v>253.91125</v>
      </c>
      <c r="L147" s="46">
        <f>IF(AB146-AA146*(B147-B146)&gt;0, L146-Y146*(B147-B146)*3600-AD147*Model!$B$16, 0)</f>
        <v>1314.6544325004093</v>
      </c>
      <c r="M147" s="57">
        <f t="shared" si="40"/>
        <v>61.830967632325098</v>
      </c>
      <c r="N147" s="57">
        <f>Model!$B$13*I147*K147/(Model!$B$13*I147-L147*287*K147)</f>
        <v>334.8309676323251</v>
      </c>
      <c r="O147" s="57">
        <f t="shared" si="41"/>
        <v>294.37110881616252</v>
      </c>
      <c r="P147" s="57">
        <f t="shared" si="42"/>
        <v>21.371108816162547</v>
      </c>
      <c r="Q147" s="63">
        <f t="shared" si="43"/>
        <v>2.551734872594754E-2</v>
      </c>
      <c r="R147" s="17">
        <f t="shared" si="44"/>
        <v>1.58225953168809E-5</v>
      </c>
      <c r="S147" s="46">
        <f>0.37*Model!$B$10*(Q147^2*(N147-K147)*I147/(R147*O147^2))^0.33333*(N147-K147)</f>
        <v>567361.67313104728</v>
      </c>
      <c r="T147" s="51">
        <f>Model!$B$32+(90-Model!$B$6)*SIN(RADIANS(-15*(E147+6)))</f>
        <v>19.443658200779776</v>
      </c>
      <c r="U147" s="46">
        <f t="shared" si="45"/>
        <v>19.443658200779776</v>
      </c>
      <c r="V147" s="51">
        <f t="shared" si="46"/>
        <v>3.0040877982982694</v>
      </c>
      <c r="W147" s="46">
        <f t="shared" si="47"/>
        <v>0</v>
      </c>
      <c r="X147" s="46">
        <f>0.3*W147*Model!$B$9</f>
        <v>0</v>
      </c>
      <c r="Y147" s="17">
        <f>(S147-X147)/Model!$B$11</f>
        <v>1.2171225423813091E-2</v>
      </c>
      <c r="Z147" s="46">
        <f t="shared" si="48"/>
        <v>0</v>
      </c>
      <c r="AA147" s="57">
        <f>Y147/Model!$B$12*3600</f>
        <v>78.802952251656194</v>
      </c>
      <c r="AB147" s="51">
        <f t="shared" si="53"/>
        <v>1031.7061867729126</v>
      </c>
      <c r="AC147" s="51">
        <f t="shared" si="54"/>
        <v>768.29381322708741</v>
      </c>
      <c r="AD147" s="13">
        <f>IF(AE147=0, Model!$B$19, 0 )</f>
        <v>0</v>
      </c>
      <c r="AE147" s="51">
        <f>IF(AE146+AB146-AB147&lt;Model!$B$19*Model!$B$18, AE146+AB146-AB147,  0)</f>
        <v>314.80588803420073</v>
      </c>
      <c r="AF147" s="13">
        <f t="shared" si="49"/>
        <v>7.2499999999999822</v>
      </c>
      <c r="AG147" s="50">
        <f t="shared" si="50"/>
        <v>0</v>
      </c>
    </row>
    <row r="148" spans="2:33" x14ac:dyDescent="0.25">
      <c r="B148" s="15">
        <f t="shared" si="51"/>
        <v>7.2999999999999821</v>
      </c>
      <c r="C148" s="15">
        <f>B148+Model!$B$4</f>
        <v>9.2999999999999829</v>
      </c>
      <c r="D148" s="15">
        <f t="shared" si="52"/>
        <v>1</v>
      </c>
      <c r="E148" s="15">
        <f t="shared" si="37"/>
        <v>9.2999999999999829</v>
      </c>
      <c r="F148" s="16">
        <f>IF(AB148&gt;0, VLOOKUP(B148,Model!$A$40:$B$60, 2), 0)</f>
        <v>300</v>
      </c>
      <c r="G148" s="15">
        <f>IF(AB148&gt;0, VLOOKUP(B148,Model!$A$39:$C$58, 3), 0)</f>
        <v>0</v>
      </c>
      <c r="H148" s="15">
        <f t="shared" si="38"/>
        <v>0</v>
      </c>
      <c r="I148" s="45">
        <f>Model!$B$21*EXP((-0.029*9.81*F148)/(8.31*(273+J148)))</f>
        <v>100357.4491247143</v>
      </c>
      <c r="J148" s="15">
        <f>IF(Model!$B$31="Summer",  IF(F148&lt;=2000,  Model!$B$20-Model!$B$35*F148/1000,  IF(F148&lt;Model!$B$36,  Model!$B$33-6.5*F148/1000,  Model!$B$38)),     IF(F148&lt;=2000,  Model!$B$20-Model!$B$35*F148/1000,  IF(F148&lt;Model!$B$36,  Model!$B$33-5.4*F148/1000,   Model!$B$38)))</f>
        <v>-19.088750000000001</v>
      </c>
      <c r="K148" s="15">
        <f t="shared" si="39"/>
        <v>253.91125</v>
      </c>
      <c r="L148" s="45">
        <f>IF(AB147-AA147*(B148-B147)&gt;0, L147-Y147*(B148-B147)*3600-AD148*Model!$B$16, 0)</f>
        <v>1312.4636119241229</v>
      </c>
      <c r="M148" s="56">
        <f t="shared" si="40"/>
        <v>61.653236852570501</v>
      </c>
      <c r="N148" s="56">
        <f>Model!$B$13*I148*K148/(Model!$B$13*I148-L148*287*K148)</f>
        <v>334.6532368525705</v>
      </c>
      <c r="O148" s="56">
        <f t="shared" si="41"/>
        <v>294.28224342628528</v>
      </c>
      <c r="P148" s="56">
        <f t="shared" si="42"/>
        <v>21.282243426285248</v>
      </c>
      <c r="Q148" s="62">
        <f t="shared" si="43"/>
        <v>2.5511039283266257E-2</v>
      </c>
      <c r="R148" s="33">
        <f t="shared" si="44"/>
        <v>1.5813353316333668E-5</v>
      </c>
      <c r="S148" s="45">
        <f>0.37*Model!$B$10*(Q148^2*(N148-K148)*I148/(R148*O148^2))^0.33333*(N148-K148)</f>
        <v>565831.55365282181</v>
      </c>
      <c r="T148" s="50">
        <f>Model!$B$32+(90-Model!$B$6)*SIN(RADIANS(-15*(E148+6)))</f>
        <v>19.743473735016668</v>
      </c>
      <c r="U148" s="45">
        <f t="shared" si="45"/>
        <v>19.743473735016668</v>
      </c>
      <c r="V148" s="50">
        <f t="shared" si="46"/>
        <v>2.9602482063025368</v>
      </c>
      <c r="W148" s="45">
        <f t="shared" si="47"/>
        <v>0</v>
      </c>
      <c r="X148" s="45">
        <f>0.3*W148*Model!$B$9</f>
        <v>0</v>
      </c>
      <c r="Y148" s="33">
        <f>(S148-X148)/Model!$B$11</f>
        <v>1.2138400807740465E-2</v>
      </c>
      <c r="Z148" s="45">
        <f t="shared" si="48"/>
        <v>0</v>
      </c>
      <c r="AA148" s="56">
        <f>Y148/Model!$B$12*3600</f>
        <v>78.590428322225932</v>
      </c>
      <c r="AB148" s="50">
        <f t="shared" si="53"/>
        <v>1027.7660391603297</v>
      </c>
      <c r="AC148" s="50">
        <f t="shared" si="54"/>
        <v>772.23396083967032</v>
      </c>
      <c r="AD148" s="15">
        <f>IF(AE148=0, Model!$B$19, 0 )</f>
        <v>0</v>
      </c>
      <c r="AE148" s="50">
        <f>IF(AE147+AB147-AB148&lt;Model!$B$19*Model!$B$18, AE147+AB147-AB148,  0)</f>
        <v>318.74603564678364</v>
      </c>
      <c r="AF148" s="15">
        <f t="shared" si="49"/>
        <v>7.2999999999999821</v>
      </c>
      <c r="AG148" s="50">
        <f t="shared" si="50"/>
        <v>0</v>
      </c>
    </row>
    <row r="149" spans="2:33" x14ac:dyDescent="0.25">
      <c r="B149" s="13">
        <f t="shared" si="51"/>
        <v>7.3499999999999819</v>
      </c>
      <c r="C149" s="13">
        <f>B149+Model!$B$4</f>
        <v>9.3499999999999819</v>
      </c>
      <c r="D149" s="13">
        <f t="shared" si="52"/>
        <v>1</v>
      </c>
      <c r="E149" s="13">
        <f t="shared" si="37"/>
        <v>9.3499999999999819</v>
      </c>
      <c r="F149" s="14">
        <f>IF(AB149&gt;0, VLOOKUP(B149,Model!$A$40:$B$60, 2), 0)</f>
        <v>300</v>
      </c>
      <c r="G149" s="13">
        <f>IF(AB149&gt;0, VLOOKUP(B149,Model!$A$39:$C$58, 3), 0)</f>
        <v>0</v>
      </c>
      <c r="H149" s="13">
        <f t="shared" si="38"/>
        <v>0</v>
      </c>
      <c r="I149" s="46">
        <f>Model!$B$21*EXP((-0.029*9.81*F149)/(8.31*(273+J149)))</f>
        <v>100357.4491247143</v>
      </c>
      <c r="J149" s="13">
        <f>IF(Model!$B$31="Summer",  IF(F149&lt;=2000,  Model!$B$20-Model!$B$35*F149/1000,  IF(F149&lt;Model!$B$36,  Model!$B$33-6.5*F149/1000,  Model!$B$38)),     IF(F149&lt;=2000,  Model!$B$20-Model!$B$35*F149/1000,  IF(F149&lt;Model!$B$36,  Model!$B$33-5.4*F149/1000,   Model!$B$38)))</f>
        <v>-19.088750000000001</v>
      </c>
      <c r="K149" s="13">
        <f t="shared" si="39"/>
        <v>253.91125</v>
      </c>
      <c r="L149" s="46">
        <f>IF(AB148-AA148*(B149-B148)&gt;0, L148-Y148*(B149-B148)*3600-AD149*Model!$B$16, 0)</f>
        <v>1310.2786997787296</v>
      </c>
      <c r="M149" s="57">
        <f t="shared" si="40"/>
        <v>61.476173215140705</v>
      </c>
      <c r="N149" s="57">
        <f>Model!$B$13*I149*K149/(Model!$B$13*I149-L149*287*K149)</f>
        <v>334.4761732151407</v>
      </c>
      <c r="O149" s="57">
        <f t="shared" si="41"/>
        <v>294.19371160757032</v>
      </c>
      <c r="P149" s="57">
        <f t="shared" si="42"/>
        <v>21.19371160757035</v>
      </c>
      <c r="Q149" s="63">
        <f t="shared" si="43"/>
        <v>2.5504753524137492E-2</v>
      </c>
      <c r="R149" s="17">
        <f t="shared" si="44"/>
        <v>1.5804146007187311E-5</v>
      </c>
      <c r="S149" s="46">
        <f>0.37*Model!$B$10*(Q149^2*(N149-K149)*I149/(R149*O149^2))^0.33333*(N149-K149)</f>
        <v>564307.73105450615</v>
      </c>
      <c r="T149" s="51">
        <f>Model!$B$32+(90-Model!$B$6)*SIN(RADIANS(-15*(E149+6)))</f>
        <v>20.03872906158665</v>
      </c>
      <c r="U149" s="46">
        <f t="shared" si="45"/>
        <v>20.03872906158665</v>
      </c>
      <c r="V149" s="51">
        <f t="shared" si="46"/>
        <v>2.9183851696697447</v>
      </c>
      <c r="W149" s="46">
        <f t="shared" si="47"/>
        <v>0</v>
      </c>
      <c r="X149" s="46">
        <f>0.3*W149*Model!$B$9</f>
        <v>0</v>
      </c>
      <c r="Y149" s="17">
        <f>(S149-X149)/Model!$B$11</f>
        <v>1.2105711274364607E-2</v>
      </c>
      <c r="Z149" s="46">
        <f t="shared" si="48"/>
        <v>0</v>
      </c>
      <c r="AA149" s="57">
        <f>Y149/Model!$B$12*3600</f>
        <v>78.378778989636416</v>
      </c>
      <c r="AB149" s="51">
        <f t="shared" si="53"/>
        <v>1023.8365177442184</v>
      </c>
      <c r="AC149" s="51">
        <f t="shared" si="54"/>
        <v>776.16348225578156</v>
      </c>
      <c r="AD149" s="13">
        <f>IF(AE149=0, Model!$B$19, 0 )</f>
        <v>0</v>
      </c>
      <c r="AE149" s="51">
        <f>IF(AE148+AB148-AB149&lt;Model!$B$19*Model!$B$18, AE148+AB148-AB149,  0)</f>
        <v>322.67555706289488</v>
      </c>
      <c r="AF149" s="13">
        <f t="shared" si="49"/>
        <v>7.3499999999999819</v>
      </c>
      <c r="AG149" s="50">
        <f t="shared" si="50"/>
        <v>0</v>
      </c>
    </row>
    <row r="150" spans="2:33" x14ac:dyDescent="0.25">
      <c r="B150" s="15">
        <f t="shared" si="51"/>
        <v>7.3999999999999817</v>
      </c>
      <c r="C150" s="15">
        <f>B150+Model!$B$4</f>
        <v>9.3999999999999808</v>
      </c>
      <c r="D150" s="15">
        <f t="shared" si="52"/>
        <v>1</v>
      </c>
      <c r="E150" s="15">
        <f t="shared" si="37"/>
        <v>9.3999999999999808</v>
      </c>
      <c r="F150" s="16">
        <f>IF(AB150&gt;0, VLOOKUP(B150,Model!$A$40:$B$60, 2), 0)</f>
        <v>300</v>
      </c>
      <c r="G150" s="15">
        <f>IF(AB150&gt;0, VLOOKUP(B150,Model!$A$39:$C$58, 3), 0)</f>
        <v>0</v>
      </c>
      <c r="H150" s="15">
        <f t="shared" si="38"/>
        <v>0</v>
      </c>
      <c r="I150" s="45">
        <f>Model!$B$21*EXP((-0.029*9.81*F150)/(8.31*(273+J150)))</f>
        <v>100357.4491247143</v>
      </c>
      <c r="J150" s="15">
        <f>IF(Model!$B$31="Summer",  IF(F150&lt;=2000,  Model!$B$20-Model!$B$35*F150/1000,  IF(F150&lt;Model!$B$36,  Model!$B$33-6.5*F150/1000,  Model!$B$38)),     IF(F150&lt;=2000,  Model!$B$20-Model!$B$35*F150/1000,  IF(F150&lt;Model!$B$36,  Model!$B$33-5.4*F150/1000,   Model!$B$38)))</f>
        <v>-19.088750000000001</v>
      </c>
      <c r="K150" s="15">
        <f t="shared" si="39"/>
        <v>253.91125</v>
      </c>
      <c r="L150" s="45">
        <f>IF(AB149-AA149*(B150-B149)&gt;0, L149-Y149*(B150-B149)*3600-AD150*Model!$B$16, 0)</f>
        <v>1308.099671749344</v>
      </c>
      <c r="M150" s="56">
        <f t="shared" si="40"/>
        <v>61.299772934691191</v>
      </c>
      <c r="N150" s="56">
        <f>Model!$B$13*I150*K150/(Model!$B$13*I150-L150*287*K150)</f>
        <v>334.29977293469119</v>
      </c>
      <c r="O150" s="56">
        <f t="shared" si="41"/>
        <v>294.10551146734559</v>
      </c>
      <c r="P150" s="56">
        <f t="shared" si="42"/>
        <v>21.105511467345593</v>
      </c>
      <c r="Q150" s="62">
        <f t="shared" si="43"/>
        <v>2.5498491314181537E-2</v>
      </c>
      <c r="R150" s="33">
        <f t="shared" si="44"/>
        <v>1.5794973192603938E-5</v>
      </c>
      <c r="S150" s="45">
        <f>0.37*Model!$B$10*(Q150^2*(N150-K150)*I150/(R150*O150^2))^0.33333*(N150-K150)</f>
        <v>562790.16835155129</v>
      </c>
      <c r="T150" s="50">
        <f>Model!$B$32+(90-Model!$B$6)*SIN(RADIANS(-15*(E150+6)))</f>
        <v>20.329373590009549</v>
      </c>
      <c r="U150" s="45">
        <f t="shared" si="45"/>
        <v>20.329373590009549</v>
      </c>
      <c r="V150" s="50">
        <f t="shared" si="46"/>
        <v>2.8783900668189135</v>
      </c>
      <c r="W150" s="45">
        <f t="shared" si="47"/>
        <v>0</v>
      </c>
      <c r="X150" s="45">
        <f>0.3*W150*Model!$B$9</f>
        <v>0</v>
      </c>
      <c r="Y150" s="33">
        <f>(S150-X150)/Model!$B$11</f>
        <v>1.2073156030281054E-2</v>
      </c>
      <c r="Z150" s="45">
        <f t="shared" si="48"/>
        <v>0</v>
      </c>
      <c r="AA150" s="56">
        <f>Y150/Model!$B$12*3600</f>
        <v>78.167999116967394</v>
      </c>
      <c r="AB150" s="50">
        <f t="shared" si="53"/>
        <v>1019.9175787947366</v>
      </c>
      <c r="AC150" s="50">
        <f t="shared" si="54"/>
        <v>780.08242120526336</v>
      </c>
      <c r="AD150" s="15">
        <f>IF(AE150=0, Model!$B$19, 0 )</f>
        <v>0</v>
      </c>
      <c r="AE150" s="50">
        <f>IF(AE149+AB149-AB150&lt;Model!$B$19*Model!$B$18, AE149+AB149-AB150,  0)</f>
        <v>326.59449601237668</v>
      </c>
      <c r="AF150" s="15">
        <f t="shared" si="49"/>
        <v>7.3999999999999817</v>
      </c>
      <c r="AG150" s="50">
        <f t="shared" si="50"/>
        <v>0</v>
      </c>
    </row>
    <row r="151" spans="2:33" x14ac:dyDescent="0.25">
      <c r="B151" s="13">
        <f t="shared" si="51"/>
        <v>7.4499999999999815</v>
      </c>
      <c r="C151" s="13">
        <f>B151+Model!$B$4</f>
        <v>9.4499999999999815</v>
      </c>
      <c r="D151" s="13">
        <f t="shared" si="52"/>
        <v>1</v>
      </c>
      <c r="E151" s="13">
        <f t="shared" si="37"/>
        <v>9.4499999999999815</v>
      </c>
      <c r="F151" s="14">
        <f>IF(AB151&gt;0, VLOOKUP(B151,Model!$A$40:$B$60, 2), 0)</f>
        <v>300</v>
      </c>
      <c r="G151" s="13">
        <f>IF(AB151&gt;0, VLOOKUP(B151,Model!$A$39:$C$58, 3), 0)</f>
        <v>0</v>
      </c>
      <c r="H151" s="13">
        <f t="shared" si="38"/>
        <v>0</v>
      </c>
      <c r="I151" s="46">
        <f>Model!$B$21*EXP((-0.029*9.81*F151)/(8.31*(273+J151)))</f>
        <v>100357.4491247143</v>
      </c>
      <c r="J151" s="13">
        <f>IF(Model!$B$31="Summer",  IF(F151&lt;=2000,  Model!$B$20-Model!$B$35*F151/1000,  IF(F151&lt;Model!$B$36,  Model!$B$33-6.5*F151/1000,  Model!$B$38)),     IF(F151&lt;=2000,  Model!$B$20-Model!$B$35*F151/1000,  IF(F151&lt;Model!$B$36,  Model!$B$33-5.4*F151/1000,   Model!$B$38)))</f>
        <v>-19.088750000000001</v>
      </c>
      <c r="K151" s="13">
        <f t="shared" si="39"/>
        <v>253.91125</v>
      </c>
      <c r="L151" s="46">
        <f>IF(AB150-AA150*(B151-B150)&gt;0, L150-Y150*(B151-B150)*3600-AD151*Model!$B$16, 0)</f>
        <v>1305.9265036638935</v>
      </c>
      <c r="M151" s="57">
        <f t="shared" si="40"/>
        <v>61.124032255235193</v>
      </c>
      <c r="N151" s="57">
        <f>Model!$B$13*I151*K151/(Model!$B$13*I151-L151*287*K151)</f>
        <v>334.12403225523519</v>
      </c>
      <c r="O151" s="57">
        <f t="shared" si="41"/>
        <v>294.01764112761759</v>
      </c>
      <c r="P151" s="57">
        <f t="shared" si="42"/>
        <v>21.017641127617594</v>
      </c>
      <c r="Q151" s="63">
        <f t="shared" si="43"/>
        <v>2.5492252520060849E-2</v>
      </c>
      <c r="R151" s="17">
        <f t="shared" si="44"/>
        <v>1.5785834677272227E-5</v>
      </c>
      <c r="S151" s="46">
        <f>0.37*Model!$B$10*(Q151^2*(N151-K151)*I151/(R151*O151^2))^0.33333*(N151-K151)</f>
        <v>561278.82884947665</v>
      </c>
      <c r="T151" s="51">
        <f>Model!$B$32+(90-Model!$B$6)*SIN(RADIANS(-15*(E151+6)))</f>
        <v>20.615357519841645</v>
      </c>
      <c r="U151" s="46">
        <f t="shared" si="45"/>
        <v>20.615357519841645</v>
      </c>
      <c r="V151" s="51">
        <f t="shared" si="46"/>
        <v>2.8401624469579971</v>
      </c>
      <c r="W151" s="46">
        <f t="shared" si="47"/>
        <v>0</v>
      </c>
      <c r="X151" s="46">
        <f>0.3*W151*Model!$B$9</f>
        <v>0</v>
      </c>
      <c r="Y151" s="17">
        <f>(S151-X151)/Model!$B$11</f>
        <v>1.2040734288307984E-2</v>
      </c>
      <c r="Z151" s="46">
        <f t="shared" si="48"/>
        <v>0</v>
      </c>
      <c r="AA151" s="57">
        <f>Y151/Model!$B$12*3600</f>
        <v>77.958083607587326</v>
      </c>
      <c r="AB151" s="51">
        <f t="shared" si="53"/>
        <v>1016.0091788388883</v>
      </c>
      <c r="AC151" s="51">
        <f t="shared" si="54"/>
        <v>783.99082116111174</v>
      </c>
      <c r="AD151" s="13">
        <f>IF(AE151=0, Model!$B$19, 0 )</f>
        <v>0</v>
      </c>
      <c r="AE151" s="51">
        <f>IF(AE150+AB150-AB151&lt;Model!$B$19*Model!$B$18, AE150+AB150-AB151,  0)</f>
        <v>330.50289596822506</v>
      </c>
      <c r="AF151" s="13">
        <f t="shared" si="49"/>
        <v>7.4499999999999815</v>
      </c>
      <c r="AG151" s="50">
        <f t="shared" si="50"/>
        <v>0</v>
      </c>
    </row>
    <row r="152" spans="2:33" x14ac:dyDescent="0.25">
      <c r="B152" s="15">
        <f t="shared" si="51"/>
        <v>7.4999999999999813</v>
      </c>
      <c r="C152" s="15">
        <f>B152+Model!$B$4</f>
        <v>9.4999999999999822</v>
      </c>
      <c r="D152" s="15">
        <f t="shared" si="52"/>
        <v>1</v>
      </c>
      <c r="E152" s="15">
        <f t="shared" si="37"/>
        <v>9.4999999999999822</v>
      </c>
      <c r="F152" s="16">
        <f>IF(AB152&gt;0, VLOOKUP(B152,Model!$A$40:$B$60, 2), 0)</f>
        <v>300</v>
      </c>
      <c r="G152" s="15">
        <f>IF(AB152&gt;0, VLOOKUP(B152,Model!$A$39:$C$58, 3), 0)</f>
        <v>0</v>
      </c>
      <c r="H152" s="15">
        <f t="shared" si="38"/>
        <v>0</v>
      </c>
      <c r="I152" s="45">
        <f>Model!$B$21*EXP((-0.029*9.81*F152)/(8.31*(273+J152)))</f>
        <v>100357.4491247143</v>
      </c>
      <c r="J152" s="15">
        <f>IF(Model!$B$31="Summer",  IF(F152&lt;=2000,  Model!$B$20-Model!$B$35*F152/1000,  IF(F152&lt;Model!$B$36,  Model!$B$33-6.5*F152/1000,  Model!$B$38)),     IF(F152&lt;=2000,  Model!$B$20-Model!$B$35*F152/1000,  IF(F152&lt;Model!$B$36,  Model!$B$33-5.4*F152/1000,   Model!$B$38)))</f>
        <v>-19.088750000000001</v>
      </c>
      <c r="K152" s="15">
        <f t="shared" si="39"/>
        <v>253.91125</v>
      </c>
      <c r="L152" s="45">
        <f>IF(AB151-AA151*(B152-B151)&gt;0, L151-Y151*(B152-B151)*3600-AD152*Model!$B$16, 0)</f>
        <v>1303.7591714919981</v>
      </c>
      <c r="M152" s="56">
        <f t="shared" si="40"/>
        <v>60.948947449854643</v>
      </c>
      <c r="N152" s="56">
        <f>Model!$B$13*I152*K152/(Model!$B$13*I152-L152*287*K152)</f>
        <v>333.94894744985464</v>
      </c>
      <c r="O152" s="56">
        <f t="shared" si="41"/>
        <v>293.93009872492735</v>
      </c>
      <c r="P152" s="56">
        <f t="shared" si="42"/>
        <v>20.930098724927319</v>
      </c>
      <c r="Q152" s="62">
        <f t="shared" si="43"/>
        <v>2.5486037009469841E-2</v>
      </c>
      <c r="R152" s="33">
        <f t="shared" si="44"/>
        <v>1.5776730267392445E-5</v>
      </c>
      <c r="S152" s="45">
        <f>0.37*Model!$B$10*(Q152^2*(N152-K152)*I152/(R152*O152^2))^0.33333*(N152-K152)</f>
        <v>559773.67614100198</v>
      </c>
      <c r="T152" s="50">
        <f>Model!$B$32+(90-Model!$B$6)*SIN(RADIANS(-15*(E152+6)))</f>
        <v>20.896631849208806</v>
      </c>
      <c r="U152" s="45">
        <f t="shared" si="45"/>
        <v>20.896631849208806</v>
      </c>
      <c r="V152" s="50">
        <f t="shared" si="46"/>
        <v>2.803609289945308</v>
      </c>
      <c r="W152" s="45">
        <f t="shared" si="47"/>
        <v>0</v>
      </c>
      <c r="X152" s="45">
        <f>0.3*W152*Model!$B$9</f>
        <v>0</v>
      </c>
      <c r="Y152" s="33">
        <f>(S152-X152)/Model!$B$11</f>
        <v>1.2008445267424691E-2</v>
      </c>
      <c r="Z152" s="45">
        <f t="shared" si="48"/>
        <v>0</v>
      </c>
      <c r="AA152" s="56">
        <f>Y152/Model!$B$12*3600</f>
        <v>77.749027404754983</v>
      </c>
      <c r="AB152" s="50">
        <f t="shared" si="53"/>
        <v>1012.1112746585089</v>
      </c>
      <c r="AC152" s="50">
        <f t="shared" si="54"/>
        <v>787.88872534149107</v>
      </c>
      <c r="AD152" s="15">
        <f>IF(AE152=0, Model!$B$19, 0 )</f>
        <v>0</v>
      </c>
      <c r="AE152" s="50">
        <f>IF(AE151+AB151-AB152&lt;Model!$B$19*Model!$B$18, AE151+AB151-AB152,  0)</f>
        <v>334.40080014860439</v>
      </c>
      <c r="AF152" s="15">
        <f t="shared" si="49"/>
        <v>7.4999999999999813</v>
      </c>
      <c r="AG152" s="50">
        <f t="shared" si="50"/>
        <v>0</v>
      </c>
    </row>
    <row r="153" spans="2:33" x14ac:dyDescent="0.25">
      <c r="B153" s="13">
        <f t="shared" si="51"/>
        <v>7.5499999999999812</v>
      </c>
      <c r="C153" s="13">
        <f>B153+Model!$B$4</f>
        <v>9.5499999999999812</v>
      </c>
      <c r="D153" s="13">
        <f t="shared" si="52"/>
        <v>1</v>
      </c>
      <c r="E153" s="13">
        <f t="shared" si="37"/>
        <v>9.5499999999999812</v>
      </c>
      <c r="F153" s="14">
        <f>IF(AB153&gt;0, VLOOKUP(B153,Model!$A$40:$B$60, 2), 0)</f>
        <v>300</v>
      </c>
      <c r="G153" s="13">
        <f>IF(AB153&gt;0, VLOOKUP(B153,Model!$A$39:$C$58, 3), 0)</f>
        <v>0</v>
      </c>
      <c r="H153" s="13">
        <f t="shared" si="38"/>
        <v>0</v>
      </c>
      <c r="I153" s="46">
        <f>Model!$B$21*EXP((-0.029*9.81*F153)/(8.31*(273+J153)))</f>
        <v>100357.4491247143</v>
      </c>
      <c r="J153" s="13">
        <f>IF(Model!$B$31="Summer",  IF(F153&lt;=2000,  Model!$B$20-Model!$B$35*F153/1000,  IF(F153&lt;Model!$B$36,  Model!$B$33-6.5*F153/1000,  Model!$B$38)),     IF(F153&lt;=2000,  Model!$B$20-Model!$B$35*F153/1000,  IF(F153&lt;Model!$B$36,  Model!$B$33-5.4*F153/1000,   Model!$B$38)))</f>
        <v>-19.088750000000001</v>
      </c>
      <c r="K153" s="13">
        <f t="shared" si="39"/>
        <v>253.91125</v>
      </c>
      <c r="L153" s="46">
        <f>IF(AB152-AA152*(B153-B152)&gt;0, L152-Y152*(B153-B152)*3600-AD153*Model!$B$16, 0)</f>
        <v>1301.5976513438618</v>
      </c>
      <c r="M153" s="57">
        <f t="shared" si="40"/>
        <v>60.774514820412548</v>
      </c>
      <c r="N153" s="57">
        <f>Model!$B$13*I153*K153/(Model!$B$13*I153-L153*287*K153)</f>
        <v>333.77451482041255</v>
      </c>
      <c r="O153" s="57">
        <f t="shared" si="41"/>
        <v>293.84288241020624</v>
      </c>
      <c r="P153" s="57">
        <f t="shared" si="42"/>
        <v>20.842882410206272</v>
      </c>
      <c r="Q153" s="63">
        <f t="shared" si="43"/>
        <v>2.5479844651124645E-2</v>
      </c>
      <c r="R153" s="17">
        <f t="shared" si="44"/>
        <v>1.5767659770661447E-5</v>
      </c>
      <c r="S153" s="46">
        <f>0.37*Model!$B$10*(Q153^2*(N153-K153)*I153/(R153*O153^2))^0.33333*(N153-K153)</f>
        <v>558274.67410320102</v>
      </c>
      <c r="T153" s="51">
        <f>Model!$B$32+(90-Model!$B$6)*SIN(RADIANS(-15*(E153+6)))</f>
        <v>21.173148383202705</v>
      </c>
      <c r="U153" s="46">
        <f t="shared" si="45"/>
        <v>21.173148383202705</v>
      </c>
      <c r="V153" s="51">
        <f t="shared" si="46"/>
        <v>2.7686443457467367</v>
      </c>
      <c r="W153" s="46">
        <f t="shared" si="47"/>
        <v>0</v>
      </c>
      <c r="X153" s="46">
        <f>0.3*W153*Model!$B$9</f>
        <v>0</v>
      </c>
      <c r="Y153" s="17">
        <f>(S153-X153)/Model!$B$11</f>
        <v>1.1976288192710523E-2</v>
      </c>
      <c r="Z153" s="46">
        <f t="shared" si="48"/>
        <v>0</v>
      </c>
      <c r="AA153" s="57">
        <f>Y153/Model!$B$12*3600</f>
        <v>77.540825491224098</v>
      </c>
      <c r="AB153" s="51">
        <f t="shared" si="53"/>
        <v>1008.2238232882712</v>
      </c>
      <c r="AC153" s="51">
        <f t="shared" si="54"/>
        <v>791.77617671172879</v>
      </c>
      <c r="AD153" s="13">
        <f>IF(AE153=0, Model!$B$19, 0 )</f>
        <v>0</v>
      </c>
      <c r="AE153" s="51">
        <f>IF(AE152+AB152-AB153&lt;Model!$B$19*Model!$B$18, AE152+AB152-AB153,  0)</f>
        <v>338.28825151884212</v>
      </c>
      <c r="AF153" s="13">
        <f t="shared" si="49"/>
        <v>7.5499999999999812</v>
      </c>
      <c r="AG153" s="50">
        <f t="shared" si="50"/>
        <v>0</v>
      </c>
    </row>
    <row r="154" spans="2:33" x14ac:dyDescent="0.25">
      <c r="B154" s="15">
        <f t="shared" si="51"/>
        <v>7.599999999999981</v>
      </c>
      <c r="C154" s="15">
        <f>B154+Model!$B$4</f>
        <v>9.5999999999999801</v>
      </c>
      <c r="D154" s="15">
        <f t="shared" si="52"/>
        <v>1</v>
      </c>
      <c r="E154" s="15">
        <f t="shared" si="37"/>
        <v>9.5999999999999801</v>
      </c>
      <c r="F154" s="16">
        <f>IF(AB154&gt;0, VLOOKUP(B154,Model!$A$40:$B$60, 2), 0)</f>
        <v>300</v>
      </c>
      <c r="G154" s="15">
        <f>IF(AB154&gt;0, VLOOKUP(B154,Model!$A$39:$C$58, 3), 0)</f>
        <v>0</v>
      </c>
      <c r="H154" s="15">
        <f t="shared" si="38"/>
        <v>0</v>
      </c>
      <c r="I154" s="45">
        <f>Model!$B$21*EXP((-0.029*9.81*F154)/(8.31*(273+J154)))</f>
        <v>100357.4491247143</v>
      </c>
      <c r="J154" s="15">
        <f>IF(Model!$B$31="Summer",  IF(F154&lt;=2000,  Model!$B$20-Model!$B$35*F154/1000,  IF(F154&lt;Model!$B$36,  Model!$B$33-6.5*F154/1000,  Model!$B$38)),     IF(F154&lt;=2000,  Model!$B$20-Model!$B$35*F154/1000,  IF(F154&lt;Model!$B$36,  Model!$B$33-5.4*F154/1000,   Model!$B$38)))</f>
        <v>-19.088750000000001</v>
      </c>
      <c r="K154" s="15">
        <f t="shared" si="39"/>
        <v>253.91125</v>
      </c>
      <c r="L154" s="45">
        <f>IF(AB153-AA153*(B154-B153)&gt;0, L153-Y153*(B154-B153)*3600-AD154*Model!$B$16, 0)</f>
        <v>1299.4419194691739</v>
      </c>
      <c r="M154" s="56">
        <f t="shared" si="40"/>
        <v>60.600730697270365</v>
      </c>
      <c r="N154" s="56">
        <f>Model!$B$13*I154*K154/(Model!$B$13*I154-L154*287*K154)</f>
        <v>333.60073069727036</v>
      </c>
      <c r="O154" s="56">
        <f t="shared" si="41"/>
        <v>293.75599034863518</v>
      </c>
      <c r="P154" s="56">
        <f t="shared" si="42"/>
        <v>20.75599034863518</v>
      </c>
      <c r="Q154" s="62">
        <f t="shared" si="43"/>
        <v>2.54736753147531E-2</v>
      </c>
      <c r="R154" s="33">
        <f t="shared" si="44"/>
        <v>1.5758622996258057E-5</v>
      </c>
      <c r="S154" s="45">
        <f>0.37*Model!$B$10*(Q154^2*(N154-K154)*I154/(R154*O154^2))^0.33333*(N154-K154)</f>
        <v>556781.78689469979</v>
      </c>
      <c r="T154" s="50">
        <f>Model!$B$32+(90-Model!$B$6)*SIN(RADIANS(-15*(E154+6)))</f>
        <v>21.444859742138739</v>
      </c>
      <c r="U154" s="45">
        <f t="shared" si="45"/>
        <v>21.444859742138739</v>
      </c>
      <c r="V154" s="50">
        <f t="shared" si="46"/>
        <v>2.7351875437042912</v>
      </c>
      <c r="W154" s="45">
        <f t="shared" si="47"/>
        <v>0</v>
      </c>
      <c r="X154" s="45">
        <f>0.3*W154*Model!$B$9</f>
        <v>0</v>
      </c>
      <c r="Y154" s="33">
        <f>(S154-X154)/Model!$B$11</f>
        <v>1.1944262295284775E-2</v>
      </c>
      <c r="Z154" s="45">
        <f t="shared" si="48"/>
        <v>0</v>
      </c>
      <c r="AA154" s="56">
        <f>Y154/Model!$B$12*3600</f>
        <v>77.33347288885426</v>
      </c>
      <c r="AB154" s="50">
        <f t="shared" si="53"/>
        <v>1004.34678201371</v>
      </c>
      <c r="AC154" s="50">
        <f t="shared" si="54"/>
        <v>795.65321798628997</v>
      </c>
      <c r="AD154" s="15">
        <f>IF(AE154=0, Model!$B$19, 0 )</f>
        <v>0</v>
      </c>
      <c r="AE154" s="50">
        <f>IF(AE153+AB153-AB154&lt;Model!$B$19*Model!$B$18, AE153+AB153-AB154,  0)</f>
        <v>342.1652927934033</v>
      </c>
      <c r="AF154" s="15">
        <f t="shared" si="49"/>
        <v>7.599999999999981</v>
      </c>
      <c r="AG154" s="50">
        <f t="shared" si="50"/>
        <v>0</v>
      </c>
    </row>
    <row r="155" spans="2:33" x14ac:dyDescent="0.25">
      <c r="B155" s="13">
        <f t="shared" si="51"/>
        <v>7.6499999999999808</v>
      </c>
      <c r="C155" s="13">
        <f>B155+Model!$B$4</f>
        <v>9.6499999999999808</v>
      </c>
      <c r="D155" s="13">
        <f t="shared" si="52"/>
        <v>1</v>
      </c>
      <c r="E155" s="13">
        <f t="shared" si="37"/>
        <v>9.6499999999999808</v>
      </c>
      <c r="F155" s="14">
        <f>IF(AB155&gt;0, VLOOKUP(B155,Model!$A$40:$B$60, 2), 0)</f>
        <v>300</v>
      </c>
      <c r="G155" s="13">
        <f>IF(AB155&gt;0, VLOOKUP(B155,Model!$A$39:$C$58, 3), 0)</f>
        <v>0</v>
      </c>
      <c r="H155" s="13">
        <f t="shared" si="38"/>
        <v>0</v>
      </c>
      <c r="I155" s="46">
        <f>Model!$B$21*EXP((-0.029*9.81*F155)/(8.31*(273+J155)))</f>
        <v>100357.4491247143</v>
      </c>
      <c r="J155" s="13">
        <f>IF(Model!$B$31="Summer",  IF(F155&lt;=2000,  Model!$B$20-Model!$B$35*F155/1000,  IF(F155&lt;Model!$B$36,  Model!$B$33-6.5*F155/1000,  Model!$B$38)),     IF(F155&lt;=2000,  Model!$B$20-Model!$B$35*F155/1000,  IF(F155&lt;Model!$B$36,  Model!$B$33-5.4*F155/1000,   Model!$B$38)))</f>
        <v>-19.088750000000001</v>
      </c>
      <c r="K155" s="13">
        <f t="shared" si="39"/>
        <v>253.91125</v>
      </c>
      <c r="L155" s="46">
        <f>IF(AB154-AA154*(B155-B154)&gt;0, L154-Y154*(B155-B154)*3600-AD155*Model!$B$16, 0)</f>
        <v>1297.2919522560226</v>
      </c>
      <c r="M155" s="57">
        <f t="shared" si="40"/>
        <v>60.427591439007813</v>
      </c>
      <c r="N155" s="57">
        <f>Model!$B$13*I155*K155/(Model!$B$13*I155-L155*287*K155)</f>
        <v>333.42759143900781</v>
      </c>
      <c r="O155" s="57">
        <f t="shared" si="41"/>
        <v>293.66942071950393</v>
      </c>
      <c r="P155" s="57">
        <f t="shared" si="42"/>
        <v>20.669420719503904</v>
      </c>
      <c r="Q155" s="63">
        <f t="shared" si="43"/>
        <v>2.546752887108478E-2</v>
      </c>
      <c r="R155" s="17">
        <f t="shared" si="44"/>
        <v>1.5749619754828408E-5</v>
      </c>
      <c r="S155" s="46">
        <f>0.37*Model!$B$10*(Q155^2*(N155-K155)*I155/(R155*O155^2))^0.33333*(N155-K155)</f>
        <v>555294.97895290051</v>
      </c>
      <c r="T155" s="51">
        <f>Model!$B$32+(90-Model!$B$6)*SIN(RADIANS(-15*(E155+6)))</f>
        <v>21.711719369674331</v>
      </c>
      <c r="U155" s="46">
        <f t="shared" si="45"/>
        <v>21.711719369674331</v>
      </c>
      <c r="V155" s="51">
        <f t="shared" si="46"/>
        <v>2.7031644631835872</v>
      </c>
      <c r="W155" s="46">
        <f t="shared" si="47"/>
        <v>0</v>
      </c>
      <c r="X155" s="46">
        <f>0.3*W155*Model!$B$9</f>
        <v>0</v>
      </c>
      <c r="Y155" s="17">
        <f>(S155-X155)/Model!$B$11</f>
        <v>1.1912366812247142E-2</v>
      </c>
      <c r="Z155" s="46">
        <f t="shared" si="48"/>
        <v>0</v>
      </c>
      <c r="AA155" s="57">
        <f>Y155/Model!$B$12*3600</f>
        <v>77.12696465822529</v>
      </c>
      <c r="AB155" s="51">
        <f t="shared" si="53"/>
        <v>1000.4801083692673</v>
      </c>
      <c r="AC155" s="51">
        <f t="shared" si="54"/>
        <v>799.51989163073267</v>
      </c>
      <c r="AD155" s="13">
        <f>IF(AE155=0, Model!$B$19, 0 )</f>
        <v>0</v>
      </c>
      <c r="AE155" s="51">
        <f>IF(AE154+AB154-AB155&lt;Model!$B$19*Model!$B$18, AE154+AB154-AB155,  0)</f>
        <v>346.03196643784599</v>
      </c>
      <c r="AF155" s="13">
        <f t="shared" si="49"/>
        <v>7.6499999999999808</v>
      </c>
      <c r="AG155" s="50">
        <f t="shared" si="50"/>
        <v>0</v>
      </c>
    </row>
    <row r="156" spans="2:33" x14ac:dyDescent="0.25">
      <c r="B156" s="15">
        <f t="shared" si="51"/>
        <v>7.6999999999999806</v>
      </c>
      <c r="C156" s="15">
        <f>B156+Model!$B$4</f>
        <v>9.6999999999999815</v>
      </c>
      <c r="D156" s="15">
        <f t="shared" si="52"/>
        <v>1</v>
      </c>
      <c r="E156" s="15">
        <f t="shared" si="37"/>
        <v>9.6999999999999815</v>
      </c>
      <c r="F156" s="16">
        <f>IF(AB156&gt;0, VLOOKUP(B156,Model!$A$40:$B$60, 2), 0)</f>
        <v>300</v>
      </c>
      <c r="G156" s="15">
        <f>IF(AB156&gt;0, VLOOKUP(B156,Model!$A$39:$C$58, 3), 0)</f>
        <v>0</v>
      </c>
      <c r="H156" s="15">
        <f t="shared" si="38"/>
        <v>0</v>
      </c>
      <c r="I156" s="45">
        <f>Model!$B$21*EXP((-0.029*9.81*F156)/(8.31*(273+J156)))</f>
        <v>100357.4491247143</v>
      </c>
      <c r="J156" s="15">
        <f>IF(Model!$B$31="Summer",  IF(F156&lt;=2000,  Model!$B$20-Model!$B$35*F156/1000,  IF(F156&lt;Model!$B$36,  Model!$B$33-6.5*F156/1000,  Model!$B$38)),     IF(F156&lt;=2000,  Model!$B$20-Model!$B$35*F156/1000,  IF(F156&lt;Model!$B$36,  Model!$B$33-5.4*F156/1000,   Model!$B$38)))</f>
        <v>-19.088750000000001</v>
      </c>
      <c r="K156" s="15">
        <f t="shared" si="39"/>
        <v>253.91125</v>
      </c>
      <c r="L156" s="45">
        <f>IF(AB155-AA155*(B156-B155)&gt;0, L155-Y155*(B156-B155)*3600-AD156*Model!$B$16, 0)</f>
        <v>1295.1477262298181</v>
      </c>
      <c r="M156" s="56">
        <f t="shared" si="40"/>
        <v>60.255093432146168</v>
      </c>
      <c r="N156" s="56">
        <f>Model!$B$13*I156*K156/(Model!$B$13*I156-L156*287*K156)</f>
        <v>333.25509343214617</v>
      </c>
      <c r="O156" s="56">
        <f t="shared" si="41"/>
        <v>293.58317171607308</v>
      </c>
      <c r="P156" s="56">
        <f t="shared" si="42"/>
        <v>20.583171716073082</v>
      </c>
      <c r="Q156" s="62">
        <f t="shared" si="43"/>
        <v>2.5461405191841188E-2</v>
      </c>
      <c r="R156" s="33">
        <f t="shared" si="44"/>
        <v>1.5740649858471599E-5</v>
      </c>
      <c r="S156" s="45">
        <f>0.37*Model!$B$10*(Q156^2*(N156-K156)*I156/(R156*O156^2))^0.33333*(N156-K156)</f>
        <v>553814.21499124088</v>
      </c>
      <c r="T156" s="50">
        <f>Model!$B$32+(90-Model!$B$6)*SIN(RADIANS(-15*(E156+6)))</f>
        <v>21.973681540786117</v>
      </c>
      <c r="U156" s="45">
        <f t="shared" si="45"/>
        <v>21.973681540786117</v>
      </c>
      <c r="V156" s="50">
        <f t="shared" si="46"/>
        <v>2.6725058583134942</v>
      </c>
      <c r="W156" s="45">
        <f t="shared" si="47"/>
        <v>0</v>
      </c>
      <c r="X156" s="45">
        <f>0.3*W156*Model!$B$9</f>
        <v>0</v>
      </c>
      <c r="Y156" s="33">
        <f>(S156-X156)/Model!$B$11</f>
        <v>1.1880600986618918E-2</v>
      </c>
      <c r="Z156" s="45">
        <f t="shared" si="48"/>
        <v>0</v>
      </c>
      <c r="AA156" s="56">
        <f>Y156/Model!$B$12*3600</f>
        <v>76.92129589825656</v>
      </c>
      <c r="AB156" s="50">
        <f t="shared" si="53"/>
        <v>996.62376013635605</v>
      </c>
      <c r="AC156" s="50">
        <f t="shared" si="54"/>
        <v>803.37623986364395</v>
      </c>
      <c r="AD156" s="15">
        <f>IF(AE156=0, Model!$B$19, 0 )</f>
        <v>0</v>
      </c>
      <c r="AE156" s="50">
        <f>IF(AE155+AB155-AB156&lt;Model!$B$19*Model!$B$18, AE155+AB155-AB156,  0)</f>
        <v>349.88831467075727</v>
      </c>
      <c r="AF156" s="15">
        <f t="shared" si="49"/>
        <v>7.6999999999999806</v>
      </c>
      <c r="AG156" s="50">
        <f t="shared" si="50"/>
        <v>0</v>
      </c>
    </row>
    <row r="157" spans="2:33" x14ac:dyDescent="0.25">
      <c r="B157" s="13">
        <f t="shared" si="51"/>
        <v>7.7499999999999805</v>
      </c>
      <c r="C157" s="13">
        <f>B157+Model!$B$4</f>
        <v>9.7499999999999805</v>
      </c>
      <c r="D157" s="13">
        <f t="shared" si="52"/>
        <v>1</v>
      </c>
      <c r="E157" s="13">
        <f t="shared" si="37"/>
        <v>9.7499999999999805</v>
      </c>
      <c r="F157" s="14">
        <f>IF(AB157&gt;0, VLOOKUP(B157,Model!$A$40:$B$60, 2), 0)</f>
        <v>300</v>
      </c>
      <c r="G157" s="13">
        <f>IF(AB157&gt;0, VLOOKUP(B157,Model!$A$39:$C$58, 3), 0)</f>
        <v>0</v>
      </c>
      <c r="H157" s="13">
        <f t="shared" si="38"/>
        <v>0</v>
      </c>
      <c r="I157" s="46">
        <f>Model!$B$21*EXP((-0.029*9.81*F157)/(8.31*(273+J157)))</f>
        <v>100357.4491247143</v>
      </c>
      <c r="J157" s="13">
        <f>IF(Model!$B$31="Summer",  IF(F157&lt;=2000,  Model!$B$20-Model!$B$35*F157/1000,  IF(F157&lt;Model!$B$36,  Model!$B$33-6.5*F157/1000,  Model!$B$38)),     IF(F157&lt;=2000,  Model!$B$20-Model!$B$35*F157/1000,  IF(F157&lt;Model!$B$36,  Model!$B$33-5.4*F157/1000,   Model!$B$38)))</f>
        <v>-19.088750000000001</v>
      </c>
      <c r="K157" s="13">
        <f t="shared" si="39"/>
        <v>253.91125</v>
      </c>
      <c r="L157" s="46">
        <f>IF(AB156-AA156*(B157-B156)&gt;0, L156-Y156*(B157-B156)*3600-AD157*Model!$B$16, 0)</f>
        <v>1293.0092180522267</v>
      </c>
      <c r="M157" s="57">
        <f t="shared" si="40"/>
        <v>60.083233090875353</v>
      </c>
      <c r="N157" s="57">
        <f>Model!$B$13*I157*K157/(Model!$B$13*I157-L157*287*K157)</f>
        <v>333.08323309087535</v>
      </c>
      <c r="O157" s="57">
        <f t="shared" si="41"/>
        <v>293.49724154543765</v>
      </c>
      <c r="P157" s="57">
        <f t="shared" si="42"/>
        <v>20.497241545437674</v>
      </c>
      <c r="Q157" s="63">
        <f t="shared" si="43"/>
        <v>2.5455304149726073E-2</v>
      </c>
      <c r="R157" s="17">
        <f t="shared" si="44"/>
        <v>1.5731713120725515E-5</v>
      </c>
      <c r="S157" s="46">
        <f>0.37*Model!$B$10*(Q157^2*(N157-K157)*I157/(R157*O157^2))^0.33333*(N157-K157)</f>
        <v>552339.45999648934</v>
      </c>
      <c r="T157" s="51">
        <f>Model!$B$32+(90-Model!$B$6)*SIN(RADIANS(-15*(E157+6)))</f>
        <v>22.23070136960466</v>
      </c>
      <c r="U157" s="46">
        <f t="shared" si="45"/>
        <v>22.23070136960466</v>
      </c>
      <c r="V157" s="51">
        <f t="shared" si="46"/>
        <v>2.6431472305045802</v>
      </c>
      <c r="W157" s="46">
        <f t="shared" si="47"/>
        <v>0</v>
      </c>
      <c r="X157" s="46">
        <f>0.3*W157*Model!$B$9</f>
        <v>0</v>
      </c>
      <c r="Y157" s="17">
        <f>(S157-X157)/Model!$B$11</f>
        <v>1.184896406728498E-2</v>
      </c>
      <c r="Z157" s="46">
        <f t="shared" si="48"/>
        <v>0</v>
      </c>
      <c r="AA157" s="57">
        <f>Y157/Model!$B$12*3600</f>
        <v>76.716461745831438</v>
      </c>
      <c r="AB157" s="51">
        <f t="shared" si="53"/>
        <v>992.77769534144329</v>
      </c>
      <c r="AC157" s="51">
        <f t="shared" si="54"/>
        <v>807.22230465855671</v>
      </c>
      <c r="AD157" s="13">
        <f>IF(AE157=0, Model!$B$19, 0 )</f>
        <v>0</v>
      </c>
      <c r="AE157" s="51">
        <f>IF(AE156+AB156-AB157&lt;Model!$B$19*Model!$B$18, AE156+AB156-AB157,  0)</f>
        <v>353.73437946567003</v>
      </c>
      <c r="AF157" s="13">
        <f t="shared" si="49"/>
        <v>7.7499999999999805</v>
      </c>
      <c r="AG157" s="50">
        <f t="shared" si="50"/>
        <v>0</v>
      </c>
    </row>
    <row r="158" spans="2:33" x14ac:dyDescent="0.25">
      <c r="B158" s="15">
        <f t="shared" si="51"/>
        <v>7.7999999999999803</v>
      </c>
      <c r="C158" s="15">
        <f>B158+Model!$B$4</f>
        <v>9.7999999999999794</v>
      </c>
      <c r="D158" s="15">
        <f t="shared" si="52"/>
        <v>1</v>
      </c>
      <c r="E158" s="15">
        <f t="shared" si="37"/>
        <v>9.7999999999999794</v>
      </c>
      <c r="F158" s="16">
        <f>IF(AB158&gt;0, VLOOKUP(B158,Model!$A$40:$B$60, 2), 0)</f>
        <v>300</v>
      </c>
      <c r="G158" s="15">
        <f>IF(AB158&gt;0, VLOOKUP(B158,Model!$A$39:$C$58, 3), 0)</f>
        <v>0</v>
      </c>
      <c r="H158" s="15">
        <f t="shared" si="38"/>
        <v>0</v>
      </c>
      <c r="I158" s="45">
        <f>Model!$B$21*EXP((-0.029*9.81*F158)/(8.31*(273+J158)))</f>
        <v>100357.4491247143</v>
      </c>
      <c r="J158" s="15">
        <f>IF(Model!$B$31="Summer",  IF(F158&lt;=2000,  Model!$B$20-Model!$B$35*F158/1000,  IF(F158&lt;Model!$B$36,  Model!$B$33-6.5*F158/1000,  Model!$B$38)),     IF(F158&lt;=2000,  Model!$B$20-Model!$B$35*F158/1000,  IF(F158&lt;Model!$B$36,  Model!$B$33-5.4*F158/1000,   Model!$B$38)))</f>
        <v>-19.088750000000001</v>
      </c>
      <c r="K158" s="15">
        <f t="shared" si="39"/>
        <v>253.91125</v>
      </c>
      <c r="L158" s="45">
        <f>IF(AB157-AA157*(B158-B157)&gt;0, L157-Y157*(B158-B157)*3600-AD158*Model!$B$16, 0)</f>
        <v>1290.8764045201156</v>
      </c>
      <c r="M158" s="56">
        <f t="shared" si="40"/>
        <v>59.912006856783762</v>
      </c>
      <c r="N158" s="56">
        <f>Model!$B$13*I158*K158/(Model!$B$13*I158-L158*287*K158)</f>
        <v>332.91200685678376</v>
      </c>
      <c r="O158" s="56">
        <f t="shared" si="41"/>
        <v>293.41162842839185</v>
      </c>
      <c r="P158" s="56">
        <f t="shared" si="42"/>
        <v>20.411628428391879</v>
      </c>
      <c r="Q158" s="62">
        <f t="shared" si="43"/>
        <v>2.5449225618415821E-2</v>
      </c>
      <c r="R158" s="33">
        <f t="shared" si="44"/>
        <v>1.5722809356552752E-5</v>
      </c>
      <c r="S158" s="45">
        <f>0.37*Model!$B$10*(Q158^2*(N158-K158)*I158/(R158*O158^2))^0.33333*(N158-K158)</f>
        <v>550870.6792260689</v>
      </c>
      <c r="T158" s="50">
        <f>Model!$B$32+(90-Model!$B$6)*SIN(RADIANS(-15*(E158+6)))</f>
        <v>22.482734817105417</v>
      </c>
      <c r="U158" s="45">
        <f t="shared" si="45"/>
        <v>22.482734817105417</v>
      </c>
      <c r="V158" s="50">
        <f t="shared" si="46"/>
        <v>2.6150284432626436</v>
      </c>
      <c r="W158" s="45">
        <f t="shared" si="47"/>
        <v>0</v>
      </c>
      <c r="X158" s="45">
        <f>0.3*W158*Model!$B$9</f>
        <v>0</v>
      </c>
      <c r="Y158" s="33">
        <f>(S158-X158)/Model!$B$11</f>
        <v>1.1817455308936371E-2</v>
      </c>
      <c r="Z158" s="45">
        <f t="shared" si="48"/>
        <v>0</v>
      </c>
      <c r="AA158" s="56">
        <f>Y158/Model!$B$12*3600</f>
        <v>76.512457375425441</v>
      </c>
      <c r="AB158" s="50">
        <f t="shared" si="53"/>
        <v>988.94187225415169</v>
      </c>
      <c r="AC158" s="50">
        <f t="shared" si="54"/>
        <v>811.05812774584831</v>
      </c>
      <c r="AD158" s="15">
        <f>IF(AE158=0, Model!$B$19, 0 )</f>
        <v>0</v>
      </c>
      <c r="AE158" s="50">
        <f>IF(AE157+AB157-AB158&lt;Model!$B$19*Model!$B$18, AE157+AB157-AB158,  0)</f>
        <v>357.57020255296163</v>
      </c>
      <c r="AF158" s="15">
        <f t="shared" si="49"/>
        <v>7.7999999999999803</v>
      </c>
      <c r="AG158" s="50">
        <f t="shared" si="50"/>
        <v>0</v>
      </c>
    </row>
    <row r="159" spans="2:33" x14ac:dyDescent="0.25">
      <c r="B159" s="13">
        <f t="shared" si="51"/>
        <v>7.8499999999999801</v>
      </c>
      <c r="C159" s="13">
        <f>B159+Model!$B$4</f>
        <v>9.8499999999999801</v>
      </c>
      <c r="D159" s="13">
        <f t="shared" si="52"/>
        <v>1</v>
      </c>
      <c r="E159" s="13">
        <f t="shared" si="37"/>
        <v>9.8499999999999801</v>
      </c>
      <c r="F159" s="14">
        <f>IF(AB159&gt;0, VLOOKUP(B159,Model!$A$40:$B$60, 2), 0)</f>
        <v>300</v>
      </c>
      <c r="G159" s="13">
        <f>IF(AB159&gt;0, VLOOKUP(B159,Model!$A$39:$C$58, 3), 0)</f>
        <v>0</v>
      </c>
      <c r="H159" s="13">
        <f t="shared" si="38"/>
        <v>0</v>
      </c>
      <c r="I159" s="46">
        <f>Model!$B$21*EXP((-0.029*9.81*F159)/(8.31*(273+J159)))</f>
        <v>100357.4491247143</v>
      </c>
      <c r="J159" s="13">
        <f>IF(Model!$B$31="Summer",  IF(F159&lt;=2000,  Model!$B$20-Model!$B$35*F159/1000,  IF(F159&lt;Model!$B$36,  Model!$B$33-6.5*F159/1000,  Model!$B$38)),     IF(F159&lt;=2000,  Model!$B$20-Model!$B$35*F159/1000,  IF(F159&lt;Model!$B$36,  Model!$B$33-5.4*F159/1000,   Model!$B$38)))</f>
        <v>-19.088750000000001</v>
      </c>
      <c r="K159" s="13">
        <f t="shared" si="39"/>
        <v>253.91125</v>
      </c>
      <c r="L159" s="46">
        <f>IF(AB158-AA158*(B159-B158)&gt;0, L158-Y158*(B159-B158)*3600-AD159*Model!$B$16, 0)</f>
        <v>1288.749262564507</v>
      </c>
      <c r="M159" s="57">
        <f t="shared" si="40"/>
        <v>59.741411198591493</v>
      </c>
      <c r="N159" s="57">
        <f>Model!$B$13*I159*K159/(Model!$B$13*I159-L159*287*K159)</f>
        <v>332.74141119859149</v>
      </c>
      <c r="O159" s="57">
        <f t="shared" si="41"/>
        <v>293.32633059929572</v>
      </c>
      <c r="P159" s="57">
        <f t="shared" si="42"/>
        <v>20.326330599295744</v>
      </c>
      <c r="Q159" s="63">
        <f t="shared" si="43"/>
        <v>2.5443169472549997E-2</v>
      </c>
      <c r="R159" s="17">
        <f t="shared" si="44"/>
        <v>1.5713938382326755E-5</v>
      </c>
      <c r="S159" s="46">
        <f>0.37*Model!$B$10*(Q159^2*(N159-K159)*I159/(R159*O159^2))^0.33333*(N159-K159)</f>
        <v>549407.83820541424</v>
      </c>
      <c r="T159" s="51">
        <f>Model!$B$32+(90-Model!$B$6)*SIN(RADIANS(-15*(E159+6)))</f>
        <v>22.729738698654646</v>
      </c>
      <c r="U159" s="46">
        <f t="shared" si="45"/>
        <v>22.729738698654646</v>
      </c>
      <c r="V159" s="51">
        <f t="shared" si="46"/>
        <v>2.5880933745226504</v>
      </c>
      <c r="W159" s="46">
        <f t="shared" si="47"/>
        <v>0</v>
      </c>
      <c r="X159" s="46">
        <f>0.3*W159*Model!$B$9</f>
        <v>0</v>
      </c>
      <c r="Y159" s="17">
        <f>(S159-X159)/Model!$B$11</f>
        <v>1.1786073972013606E-2</v>
      </c>
      <c r="Z159" s="46">
        <f t="shared" si="48"/>
        <v>0</v>
      </c>
      <c r="AA159" s="57">
        <f>Y159/Model!$B$12*3600</f>
        <v>76.309277998739233</v>
      </c>
      <c r="AB159" s="51">
        <f t="shared" si="53"/>
        <v>985.11624938538046</v>
      </c>
      <c r="AC159" s="51">
        <f t="shared" si="54"/>
        <v>814.88375061461954</v>
      </c>
      <c r="AD159" s="13">
        <f>IF(AE159=0, Model!$B$19, 0 )</f>
        <v>0</v>
      </c>
      <c r="AE159" s="51">
        <f>IF(AE158+AB158-AB159&lt;Model!$B$19*Model!$B$18, AE158+AB158-AB159,  0)</f>
        <v>361.39582542173287</v>
      </c>
      <c r="AF159" s="13">
        <f t="shared" si="49"/>
        <v>7.8499999999999801</v>
      </c>
      <c r="AG159" s="50">
        <f t="shared" si="50"/>
        <v>0</v>
      </c>
    </row>
    <row r="160" spans="2:33" x14ac:dyDescent="0.25">
      <c r="B160" s="15">
        <f t="shared" si="51"/>
        <v>7.8999999999999799</v>
      </c>
      <c r="C160" s="15">
        <f>B160+Model!$B$4</f>
        <v>9.8999999999999808</v>
      </c>
      <c r="D160" s="15">
        <f t="shared" si="52"/>
        <v>1</v>
      </c>
      <c r="E160" s="15">
        <f t="shared" si="37"/>
        <v>9.8999999999999808</v>
      </c>
      <c r="F160" s="16">
        <f>IF(AB160&gt;0, VLOOKUP(B160,Model!$A$40:$B$60, 2), 0)</f>
        <v>300</v>
      </c>
      <c r="G160" s="15">
        <f>IF(AB160&gt;0, VLOOKUP(B160,Model!$A$39:$C$58, 3), 0)</f>
        <v>0</v>
      </c>
      <c r="H160" s="15">
        <f t="shared" si="38"/>
        <v>0</v>
      </c>
      <c r="I160" s="45">
        <f>Model!$B$21*EXP((-0.029*9.81*F160)/(8.31*(273+J160)))</f>
        <v>100357.4491247143</v>
      </c>
      <c r="J160" s="15">
        <f>IF(Model!$B$31="Summer",  IF(F160&lt;=2000,  Model!$B$20-Model!$B$35*F160/1000,  IF(F160&lt;Model!$B$36,  Model!$B$33-6.5*F160/1000,  Model!$B$38)),     IF(F160&lt;=2000,  Model!$B$20-Model!$B$35*F160/1000,  IF(F160&lt;Model!$B$36,  Model!$B$33-5.4*F160/1000,   Model!$B$38)))</f>
        <v>-19.088750000000001</v>
      </c>
      <c r="K160" s="15">
        <f t="shared" si="39"/>
        <v>253.91125</v>
      </c>
      <c r="L160" s="45">
        <f>IF(AB159-AA159*(B160-B159)&gt;0, L159-Y159*(B160-B159)*3600-AD160*Model!$B$16, 0)</f>
        <v>1286.6277692495446</v>
      </c>
      <c r="M160" s="56">
        <f t="shared" si="40"/>
        <v>59.571442611886596</v>
      </c>
      <c r="N160" s="56">
        <f>Model!$B$13*I160*K160/(Model!$B$13*I160-L160*287*K160)</f>
        <v>332.5714426118866</v>
      </c>
      <c r="O160" s="56">
        <f t="shared" si="41"/>
        <v>293.2413463059433</v>
      </c>
      <c r="P160" s="56">
        <f t="shared" si="42"/>
        <v>20.241346305943296</v>
      </c>
      <c r="Q160" s="62">
        <f t="shared" si="43"/>
        <v>2.5437135587721975E-2</v>
      </c>
      <c r="R160" s="33">
        <f t="shared" si="44"/>
        <v>1.5705100015818103E-5</v>
      </c>
      <c r="S160" s="45">
        <f>0.37*Model!$B$10*(Q160^2*(N160-K160)*I160/(R160*O160^2))^0.33333*(N160-K160)</f>
        <v>547950.90272535803</v>
      </c>
      <c r="T160" s="50">
        <f>Model!$B$32+(90-Model!$B$6)*SIN(RADIANS(-15*(E160+6)))</f>
        <v>22.971670691408814</v>
      </c>
      <c r="U160" s="45">
        <f t="shared" si="45"/>
        <v>22.971670691408814</v>
      </c>
      <c r="V160" s="50">
        <f t="shared" si="46"/>
        <v>2.5622896023360431</v>
      </c>
      <c r="W160" s="45">
        <f t="shared" si="47"/>
        <v>0</v>
      </c>
      <c r="X160" s="45">
        <f>0.3*W160*Model!$B$9</f>
        <v>0</v>
      </c>
      <c r="Y160" s="33">
        <f>(S160-X160)/Model!$B$11</f>
        <v>1.1754819322650607E-2</v>
      </c>
      <c r="Z160" s="45">
        <f t="shared" si="48"/>
        <v>0</v>
      </c>
      <c r="AA160" s="56">
        <f>Y160/Model!$B$12*3600</f>
        <v>76.106918864335569</v>
      </c>
      <c r="AB160" s="50">
        <f t="shared" si="53"/>
        <v>981.3007854854435</v>
      </c>
      <c r="AC160" s="50">
        <f t="shared" si="54"/>
        <v>818.6992145145565</v>
      </c>
      <c r="AD160" s="15">
        <f>IF(AE160=0, Model!$B$19, 0 )</f>
        <v>0</v>
      </c>
      <c r="AE160" s="50">
        <f>IF(AE159+AB159-AB160&lt;Model!$B$19*Model!$B$18, AE159+AB159-AB160,  0)</f>
        <v>365.21128932166982</v>
      </c>
      <c r="AF160" s="15">
        <f t="shared" si="49"/>
        <v>7.8999999999999799</v>
      </c>
      <c r="AG160" s="50">
        <f t="shared" si="50"/>
        <v>0</v>
      </c>
    </row>
    <row r="161" spans="2:33" x14ac:dyDescent="0.25">
      <c r="B161" s="13">
        <f t="shared" si="51"/>
        <v>7.9499999999999797</v>
      </c>
      <c r="C161" s="13">
        <f>B161+Model!$B$4</f>
        <v>9.9499999999999797</v>
      </c>
      <c r="D161" s="13">
        <f t="shared" si="52"/>
        <v>1</v>
      </c>
      <c r="E161" s="13">
        <f t="shared" si="37"/>
        <v>9.9499999999999797</v>
      </c>
      <c r="F161" s="14">
        <f>IF(AB161&gt;0, VLOOKUP(B161,Model!$A$40:$B$60, 2), 0)</f>
        <v>300</v>
      </c>
      <c r="G161" s="13">
        <f>IF(AB161&gt;0, VLOOKUP(B161,Model!$A$39:$C$58, 3), 0)</f>
        <v>0</v>
      </c>
      <c r="H161" s="13">
        <f t="shared" si="38"/>
        <v>0</v>
      </c>
      <c r="I161" s="46">
        <f>Model!$B$21*EXP((-0.029*9.81*F161)/(8.31*(273+J161)))</f>
        <v>100357.4491247143</v>
      </c>
      <c r="J161" s="13">
        <f>IF(Model!$B$31="Summer",  IF(F161&lt;=2000,  Model!$B$20-Model!$B$35*F161/1000,  IF(F161&lt;Model!$B$36,  Model!$B$33-6.5*F161/1000,  Model!$B$38)),     IF(F161&lt;=2000,  Model!$B$20-Model!$B$35*F161/1000,  IF(F161&lt;Model!$B$36,  Model!$B$33-5.4*F161/1000,   Model!$B$38)))</f>
        <v>-19.088750000000001</v>
      </c>
      <c r="K161" s="13">
        <f t="shared" si="39"/>
        <v>253.91125</v>
      </c>
      <c r="L161" s="46">
        <f>IF(AB160-AA160*(B161-B160)&gt;0, L160-Y160*(B161-B160)*3600-AD161*Model!$B$16, 0)</f>
        <v>1284.5119017714676</v>
      </c>
      <c r="M161" s="57">
        <f t="shared" si="40"/>
        <v>59.40209761886473</v>
      </c>
      <c r="N161" s="57">
        <f>Model!$B$13*I161*K161/(Model!$B$13*I161-L161*287*K161)</f>
        <v>332.40209761886473</v>
      </c>
      <c r="O161" s="57">
        <f t="shared" si="41"/>
        <v>293.15667380943239</v>
      </c>
      <c r="P161" s="57">
        <f t="shared" si="42"/>
        <v>20.156673809432363</v>
      </c>
      <c r="Q161" s="63">
        <f t="shared" si="43"/>
        <v>2.5431123840469701E-2</v>
      </c>
      <c r="R161" s="17">
        <f t="shared" si="44"/>
        <v>1.5696294076180969E-5</v>
      </c>
      <c r="S161" s="46">
        <f>0.37*Model!$B$10*(Q161^2*(N161-K161)*I161/(R161*O161^2))^0.33333*(N161-K161)</f>
        <v>546499.83883955167</v>
      </c>
      <c r="T161" s="51">
        <f>Model!$B$32+(90-Model!$B$6)*SIN(RADIANS(-15*(E161+6)))</f>
        <v>23.208489341566416</v>
      </c>
      <c r="U161" s="46">
        <f t="shared" si="45"/>
        <v>23.208489341566416</v>
      </c>
      <c r="V161" s="51">
        <f t="shared" si="46"/>
        <v>2.5375681202664278</v>
      </c>
      <c r="W161" s="46">
        <f t="shared" si="47"/>
        <v>0</v>
      </c>
      <c r="X161" s="46">
        <f>0.3*W161*Model!$B$9</f>
        <v>0</v>
      </c>
      <c r="Y161" s="17">
        <f>(S161-X161)/Model!$B$11</f>
        <v>1.1723690632619365E-2</v>
      </c>
      <c r="Z161" s="46">
        <f t="shared" si="48"/>
        <v>0</v>
      </c>
      <c r="AA161" s="57">
        <f>Y161/Model!$B$12*3600</f>
        <v>75.905375257281079</v>
      </c>
      <c r="AB161" s="51">
        <f t="shared" si="53"/>
        <v>977.49543954222668</v>
      </c>
      <c r="AC161" s="51">
        <f t="shared" si="54"/>
        <v>822.50456045777332</v>
      </c>
      <c r="AD161" s="13">
        <f>IF(AE161=0, Model!$B$19, 0 )</f>
        <v>0</v>
      </c>
      <c r="AE161" s="51">
        <f>IF(AE160+AB160-AB161&lt;Model!$B$19*Model!$B$18, AE160+AB160-AB161,  0)</f>
        <v>369.01663526488665</v>
      </c>
      <c r="AF161" s="13">
        <f t="shared" si="49"/>
        <v>7.9499999999999797</v>
      </c>
      <c r="AG161" s="50">
        <f t="shared" si="50"/>
        <v>0</v>
      </c>
    </row>
    <row r="162" spans="2:33" x14ac:dyDescent="0.25">
      <c r="B162" s="15">
        <f t="shared" si="51"/>
        <v>7.9999999999999796</v>
      </c>
      <c r="C162" s="15">
        <f>B162+Model!$B$4</f>
        <v>9.9999999999999787</v>
      </c>
      <c r="D162" s="15">
        <f t="shared" si="52"/>
        <v>1</v>
      </c>
      <c r="E162" s="15">
        <f t="shared" si="37"/>
        <v>9.9999999999999787</v>
      </c>
      <c r="F162" s="16">
        <f>IF(AB162&gt;0, VLOOKUP(B162,Model!$A$40:$B$60, 2), 0)</f>
        <v>300</v>
      </c>
      <c r="G162" s="15">
        <f>IF(AB162&gt;0, VLOOKUP(B162,Model!$A$39:$C$58, 3), 0)</f>
        <v>0</v>
      </c>
      <c r="H162" s="15">
        <f t="shared" si="38"/>
        <v>0</v>
      </c>
      <c r="I162" s="45">
        <f>Model!$B$21*EXP((-0.029*9.81*F162)/(8.31*(273+J162)))</f>
        <v>100357.4491247143</v>
      </c>
      <c r="J162" s="15">
        <f>IF(Model!$B$31="Summer",  IF(F162&lt;=2000,  Model!$B$20-Model!$B$35*F162/1000,  IF(F162&lt;Model!$B$36,  Model!$B$33-6.5*F162/1000,  Model!$B$38)),     IF(F162&lt;=2000,  Model!$B$20-Model!$B$35*F162/1000,  IF(F162&lt;Model!$B$36,  Model!$B$33-5.4*F162/1000,   Model!$B$38)))</f>
        <v>-19.088750000000001</v>
      </c>
      <c r="K162" s="15">
        <f t="shared" si="39"/>
        <v>253.91125</v>
      </c>
      <c r="L162" s="45">
        <f>IF(AB161-AA161*(B162-B161)&gt;0, L161-Y161*(B162-B161)*3600-AD162*Model!$B$16, 0)</f>
        <v>1282.4016374575961</v>
      </c>
      <c r="M162" s="56">
        <f t="shared" si="40"/>
        <v>59.233372768071661</v>
      </c>
      <c r="N162" s="56">
        <f>Model!$B$13*I162*K162/(Model!$B$13*I162-L162*287*K162)</f>
        <v>332.23337276807166</v>
      </c>
      <c r="O162" s="56">
        <f t="shared" si="41"/>
        <v>293.07231138403586</v>
      </c>
      <c r="P162" s="56">
        <f t="shared" si="42"/>
        <v>20.072311384035828</v>
      </c>
      <c r="Q162" s="62">
        <f t="shared" si="43"/>
        <v>2.5425134108266547E-2</v>
      </c>
      <c r="R162" s="33">
        <f t="shared" si="44"/>
        <v>1.568752038393973E-5</v>
      </c>
      <c r="S162" s="45">
        <f>0.37*Model!$B$10*(Q162^2*(N162-K162)*I162/(R162*O162^2))^0.33333*(N162-K162)</f>
        <v>545054.61286191375</v>
      </c>
      <c r="T162" s="50">
        <f>Model!$B$32+(90-Model!$B$6)*SIN(RADIANS(-15*(E162+6)))</f>
        <v>23.440154071470928</v>
      </c>
      <c r="U162" s="45">
        <f t="shared" si="45"/>
        <v>23.440154071470928</v>
      </c>
      <c r="V162" s="50">
        <f t="shared" si="46"/>
        <v>2.5138830792983717</v>
      </c>
      <c r="W162" s="45">
        <f t="shared" si="47"/>
        <v>0</v>
      </c>
      <c r="X162" s="45">
        <f>0.3*W162*Model!$B$9</f>
        <v>0</v>
      </c>
      <c r="Y162" s="33">
        <f>(S162-X162)/Model!$B$11</f>
        <v>1.1692687179275206E-2</v>
      </c>
      <c r="Z162" s="45">
        <f t="shared" si="48"/>
        <v>0</v>
      </c>
      <c r="AA162" s="56">
        <f>Y162/Model!$B$12*3600</f>
        <v>75.704642498791856</v>
      </c>
      <c r="AB162" s="50">
        <f t="shared" si="53"/>
        <v>973.70017077936268</v>
      </c>
      <c r="AC162" s="50">
        <f t="shared" si="54"/>
        <v>826.29982922063732</v>
      </c>
      <c r="AD162" s="15">
        <f>IF(AE162=0, Model!$B$19, 0 )</f>
        <v>0</v>
      </c>
      <c r="AE162" s="50">
        <f>IF(AE161+AB161-AB162&lt;Model!$B$19*Model!$B$18, AE161+AB161-AB162,  0)</f>
        <v>372.81190402775064</v>
      </c>
      <c r="AF162" s="15">
        <f t="shared" si="49"/>
        <v>7.9999999999999796</v>
      </c>
      <c r="AG162" s="50">
        <f t="shared" si="50"/>
        <v>0</v>
      </c>
    </row>
    <row r="163" spans="2:33" x14ac:dyDescent="0.25">
      <c r="B163" s="13">
        <f t="shared" si="51"/>
        <v>8.0499999999999794</v>
      </c>
      <c r="C163" s="13">
        <f>B163+Model!$B$4</f>
        <v>10.049999999999979</v>
      </c>
      <c r="D163" s="13">
        <f t="shared" si="52"/>
        <v>1</v>
      </c>
      <c r="E163" s="13">
        <f t="shared" ref="E163:E226" si="55">C163-24*(D163-1)</f>
        <v>10.049999999999979</v>
      </c>
      <c r="F163" s="14">
        <f>IF(AB163&gt;0, VLOOKUP(B163,Model!$A$40:$B$60, 2), 0)</f>
        <v>300</v>
      </c>
      <c r="G163" s="13">
        <f>IF(AB163&gt;0, VLOOKUP(B163,Model!$A$39:$C$58, 3), 0)</f>
        <v>1</v>
      </c>
      <c r="H163" s="13">
        <f t="shared" si="38"/>
        <v>97</v>
      </c>
      <c r="I163" s="46">
        <f>Model!$B$21*EXP((-0.029*9.81*F163)/(8.31*(273+J163)))</f>
        <v>100357.4491247143</v>
      </c>
      <c r="J163" s="13">
        <f>IF(Model!$B$31="Summer",  IF(F163&lt;=2000,  Model!$B$20-Model!$B$35*F163/1000,  IF(F163&lt;Model!$B$36,  Model!$B$33-6.5*F163/1000,  Model!$B$38)),     IF(F163&lt;=2000,  Model!$B$20-Model!$B$35*F163/1000,  IF(F163&lt;Model!$B$36,  Model!$B$33-5.4*F163/1000,   Model!$B$38)))</f>
        <v>-19.088750000000001</v>
      </c>
      <c r="K163" s="13">
        <f t="shared" si="39"/>
        <v>253.91125</v>
      </c>
      <c r="L163" s="46">
        <f>IF(AB162-AA162*(B163-B162)&gt;0, L162-Y162*(B163-B162)*3600-AD163*Model!$B$16, 0)</f>
        <v>1280.2969537653266</v>
      </c>
      <c r="M163" s="57">
        <f t="shared" si="40"/>
        <v>59.065264634148718</v>
      </c>
      <c r="N163" s="57">
        <f>Model!$B$13*I163*K163/(Model!$B$13*I163-L163*287*K163)</f>
        <v>332.06526463414872</v>
      </c>
      <c r="O163" s="57">
        <f t="shared" si="41"/>
        <v>292.98825731707439</v>
      </c>
      <c r="P163" s="57">
        <f t="shared" si="42"/>
        <v>19.988257317074357</v>
      </c>
      <c r="Q163" s="63">
        <f t="shared" si="43"/>
        <v>2.5419166269512281E-2</v>
      </c>
      <c r="R163" s="17">
        <f t="shared" si="44"/>
        <v>1.5678778760975734E-5</v>
      </c>
      <c r="S163" s="46">
        <f>0.37*Model!$B$10*(Q163^2*(N163-K163)*I163/(R163*O163^2))^0.33333*(N163-K163)</f>
        <v>543615.1913641087</v>
      </c>
      <c r="T163" s="51">
        <f>Model!$B$32+(90-Model!$B$6)*SIN(RADIANS(-15*(E163+6)))</f>
        <v>23.666625186563476</v>
      </c>
      <c r="U163" s="46">
        <f t="shared" si="45"/>
        <v>23.666625186563476</v>
      </c>
      <c r="V163" s="51">
        <f t="shared" si="46"/>
        <v>2.4911915534523854</v>
      </c>
      <c r="W163" s="46">
        <f t="shared" si="47"/>
        <v>772.0780537743384</v>
      </c>
      <c r="X163" s="46">
        <f>0.3*W163*Model!$B$9</f>
        <v>69938.414909888466</v>
      </c>
      <c r="Y163" s="17">
        <f>(S163-X163)/Model!$B$11</f>
        <v>1.0161466833727775E-2</v>
      </c>
      <c r="Z163" s="46">
        <f t="shared" si="48"/>
        <v>12.865426871973549</v>
      </c>
      <c r="AA163" s="57">
        <f>Y163/Model!$B$12*3600</f>
        <v>65.790711930974311</v>
      </c>
      <c r="AB163" s="51">
        <f t="shared" si="53"/>
        <v>969.91493865442305</v>
      </c>
      <c r="AC163" s="51">
        <f t="shared" si="54"/>
        <v>830.08506134557695</v>
      </c>
      <c r="AD163" s="13">
        <f>IF(AE163=0, Model!$B$19, 0 )</f>
        <v>0</v>
      </c>
      <c r="AE163" s="51">
        <f>IF(AE162+AB162-AB163&lt;Model!$B$19*Model!$B$18, AE162+AB162-AB163,  0)</f>
        <v>376.59713615269027</v>
      </c>
      <c r="AF163" s="13">
        <f t="shared" si="49"/>
        <v>8.0499999999999794</v>
      </c>
      <c r="AG163" s="50">
        <f t="shared" si="50"/>
        <v>0</v>
      </c>
    </row>
    <row r="164" spans="2:33" x14ac:dyDescent="0.25">
      <c r="B164" s="15">
        <f t="shared" si="51"/>
        <v>8.0999999999999801</v>
      </c>
      <c r="C164" s="15">
        <f>B164+Model!$B$4</f>
        <v>10.09999999999998</v>
      </c>
      <c r="D164" s="15">
        <f t="shared" si="52"/>
        <v>1</v>
      </c>
      <c r="E164" s="15">
        <f t="shared" si="55"/>
        <v>10.09999999999998</v>
      </c>
      <c r="F164" s="16">
        <f>IF(AB164&gt;0, VLOOKUP(B164,Model!$A$40:$B$60, 2), 0)</f>
        <v>300</v>
      </c>
      <c r="G164" s="15">
        <f>IF(AB164&gt;0, VLOOKUP(B164,Model!$A$39:$C$58, 3), 0)</f>
        <v>1</v>
      </c>
      <c r="H164" s="15">
        <f t="shared" si="38"/>
        <v>97</v>
      </c>
      <c r="I164" s="45">
        <f>Model!$B$21*EXP((-0.029*9.81*F164)/(8.31*(273+J164)))</f>
        <v>100357.4491247143</v>
      </c>
      <c r="J164" s="15">
        <f>IF(Model!$B$31="Summer",  IF(F164&lt;=2000,  Model!$B$20-Model!$B$35*F164/1000,  IF(F164&lt;Model!$B$36,  Model!$B$33-6.5*F164/1000,  Model!$B$38)),     IF(F164&lt;=2000,  Model!$B$20-Model!$B$35*F164/1000,  IF(F164&lt;Model!$B$36,  Model!$B$33-5.4*F164/1000,   Model!$B$38)))</f>
        <v>-19.088750000000001</v>
      </c>
      <c r="K164" s="15">
        <f t="shared" si="39"/>
        <v>253.91125</v>
      </c>
      <c r="L164" s="45">
        <f>IF(AB163-AA163*(B164-B163)&gt;0, L163-Y163*(B164-B163)*3600-AD164*Model!$B$16, 0)</f>
        <v>1278.4678897352555</v>
      </c>
      <c r="M164" s="56">
        <f t="shared" si="40"/>
        <v>58.919309269146595</v>
      </c>
      <c r="N164" s="56">
        <f>Model!$B$13*I164*K164/(Model!$B$13*I164-L164*287*K164)</f>
        <v>331.91930926914659</v>
      </c>
      <c r="O164" s="56">
        <f t="shared" si="41"/>
        <v>292.91527963457327</v>
      </c>
      <c r="P164" s="56">
        <f t="shared" si="42"/>
        <v>25.062466659735552</v>
      </c>
      <c r="Q164" s="62">
        <f t="shared" si="43"/>
        <v>2.5413984854054703E-2</v>
      </c>
      <c r="R164" s="33">
        <f t="shared" si="44"/>
        <v>1.5671189081995618E-5</v>
      </c>
      <c r="S164" s="45">
        <f>0.37*Model!$B$10*(Q164^2*(N164-K164)*I164/(R164*O164^2))^0.33333*(N164-K164)</f>
        <v>542365.8761906483</v>
      </c>
      <c r="T164" s="50">
        <f>Model!$B$32+(90-Model!$B$6)*SIN(RADIANS(-15*(E164+6)))</f>
        <v>23.887863882184384</v>
      </c>
      <c r="U164" s="45">
        <f t="shared" si="45"/>
        <v>23.887863882184384</v>
      </c>
      <c r="V164" s="50">
        <f t="shared" si="46"/>
        <v>2.4694533266352234</v>
      </c>
      <c r="W164" s="45">
        <f t="shared" si="47"/>
        <v>776.14722405250279</v>
      </c>
      <c r="X164" s="45">
        <f>0.3*W164*Model!$B$9</f>
        <v>70307.019247056203</v>
      </c>
      <c r="Y164" s="33">
        <f>(S164-X164)/Model!$B$11</f>
        <v>1.0126758703069658E-2</v>
      </c>
      <c r="Z164" s="45">
        <f t="shared" si="48"/>
        <v>12.963024101159052</v>
      </c>
      <c r="AA164" s="56">
        <f>Y164/Model!$B$12*3600</f>
        <v>65.565993131695109</v>
      </c>
      <c r="AB164" s="50">
        <f t="shared" si="53"/>
        <v>966.62540305787434</v>
      </c>
      <c r="AC164" s="50">
        <f t="shared" si="54"/>
        <v>833.37459694212566</v>
      </c>
      <c r="AD164" s="15">
        <f>IF(AE164=0, Model!$B$19, 0 )</f>
        <v>0</v>
      </c>
      <c r="AE164" s="50">
        <f>IF(AE163+AB163-AB164&lt;Model!$B$19*Model!$B$18, AE163+AB163-AB164,  0)</f>
        <v>379.88667174923899</v>
      </c>
      <c r="AF164" s="15">
        <f t="shared" si="49"/>
        <v>8.0999999999999801</v>
      </c>
      <c r="AG164" s="50">
        <f t="shared" si="50"/>
        <v>0</v>
      </c>
    </row>
    <row r="165" spans="2:33" x14ac:dyDescent="0.25">
      <c r="B165" s="13">
        <f t="shared" si="51"/>
        <v>8.1499999999999808</v>
      </c>
      <c r="C165" s="13">
        <f>B165+Model!$B$4</f>
        <v>10.149999999999981</v>
      </c>
      <c r="D165" s="13">
        <f t="shared" si="52"/>
        <v>1</v>
      </c>
      <c r="E165" s="13">
        <f t="shared" si="55"/>
        <v>10.149999999999981</v>
      </c>
      <c r="F165" s="14">
        <f>IF(AB165&gt;0, VLOOKUP(B165,Model!$A$40:$B$60, 2), 0)</f>
        <v>300</v>
      </c>
      <c r="G165" s="13">
        <f>IF(AB165&gt;0, VLOOKUP(B165,Model!$A$39:$C$58, 3), 0)</f>
        <v>1</v>
      </c>
      <c r="H165" s="13">
        <f t="shared" si="38"/>
        <v>97</v>
      </c>
      <c r="I165" s="46">
        <f>Model!$B$21*EXP((-0.029*9.81*F165)/(8.31*(273+J165)))</f>
        <v>100357.4491247143</v>
      </c>
      <c r="J165" s="13">
        <f>IF(Model!$B$31="Summer",  IF(F165&lt;=2000,  Model!$B$20-Model!$B$35*F165/1000,  IF(F165&lt;Model!$B$36,  Model!$B$33-6.5*F165/1000,  Model!$B$38)),     IF(F165&lt;=2000,  Model!$B$20-Model!$B$35*F165/1000,  IF(F165&lt;Model!$B$36,  Model!$B$33-5.4*F165/1000,   Model!$B$38)))</f>
        <v>-19.088750000000001</v>
      </c>
      <c r="K165" s="13">
        <f t="shared" si="39"/>
        <v>253.91125</v>
      </c>
      <c r="L165" s="46">
        <f>IF(AB164-AA164*(B165-B164)&gt;0, L164-Y164*(B165-B164)*3600-AD165*Model!$B$16, 0)</f>
        <v>1276.645073168703</v>
      </c>
      <c r="M165" s="57">
        <f t="shared" si="40"/>
        <v>58.773980031657004</v>
      </c>
      <c r="N165" s="57">
        <f>Model!$B$13*I165*K165/(Model!$B$13*I165-L165*287*K165)</f>
        <v>331.773980031657</v>
      </c>
      <c r="O165" s="57">
        <f t="shared" si="41"/>
        <v>292.84261501582853</v>
      </c>
      <c r="P165" s="57">
        <f t="shared" si="42"/>
        <v>25.016929842845187</v>
      </c>
      <c r="Q165" s="63">
        <f t="shared" si="43"/>
        <v>2.5408825666123826E-2</v>
      </c>
      <c r="R165" s="17">
        <f t="shared" si="44"/>
        <v>1.5663631961646166E-5</v>
      </c>
      <c r="S165" s="46">
        <f>0.37*Model!$B$10*(Q165^2*(N165-K165)*I165/(R165*O165^2))^0.33333*(N165-K165)</f>
        <v>541122.31293237675</v>
      </c>
      <c r="T165" s="51">
        <f>Model!$B$32+(90-Model!$B$6)*SIN(RADIANS(-15*(E165+6)))</f>
        <v>24.103832250222066</v>
      </c>
      <c r="U165" s="46">
        <f t="shared" si="45"/>
        <v>24.103832250222066</v>
      </c>
      <c r="V165" s="51">
        <f t="shared" si="46"/>
        <v>2.4486306985463093</v>
      </c>
      <c r="W165" s="46">
        <f t="shared" si="47"/>
        <v>780.06511365573454</v>
      </c>
      <c r="X165" s="46">
        <f>0.3*W165*Model!$B$9</f>
        <v>70661.919878284418</v>
      </c>
      <c r="Y165" s="17">
        <f>(S165-X165)/Model!$B$11</f>
        <v>1.0092467940664858E-2</v>
      </c>
      <c r="Z165" s="46">
        <f t="shared" si="48"/>
        <v>13.05840069602063</v>
      </c>
      <c r="AA165" s="57">
        <f>Y165/Model!$B$12*3600</f>
        <v>65.343976595285255</v>
      </c>
      <c r="AB165" s="51">
        <f t="shared" si="53"/>
        <v>963.34710340128959</v>
      </c>
      <c r="AC165" s="51">
        <f t="shared" si="54"/>
        <v>836.65289659871041</v>
      </c>
      <c r="AD165" s="13">
        <f>IF(AE165=0, Model!$B$19, 0 )</f>
        <v>0</v>
      </c>
      <c r="AE165" s="51">
        <f>IF(AE164+AB164-AB165&lt;Model!$B$19*Model!$B$18, AE164+AB164-AB165,  0)</f>
        <v>383.16497140582374</v>
      </c>
      <c r="AF165" s="13">
        <f t="shared" si="49"/>
        <v>8.1499999999999808</v>
      </c>
      <c r="AG165" s="50">
        <f t="shared" si="50"/>
        <v>0</v>
      </c>
    </row>
    <row r="166" spans="2:33" x14ac:dyDescent="0.25">
      <c r="B166" s="15">
        <f t="shared" si="51"/>
        <v>8.1999999999999815</v>
      </c>
      <c r="C166" s="15">
        <f>B166+Model!$B$4</f>
        <v>10.199999999999982</v>
      </c>
      <c r="D166" s="15">
        <f t="shared" si="52"/>
        <v>1</v>
      </c>
      <c r="E166" s="15">
        <f t="shared" si="55"/>
        <v>10.199999999999982</v>
      </c>
      <c r="F166" s="16">
        <f>IF(AB166&gt;0, VLOOKUP(B166,Model!$A$40:$B$60, 2), 0)</f>
        <v>300</v>
      </c>
      <c r="G166" s="15">
        <f>IF(AB166&gt;0, VLOOKUP(B166,Model!$A$39:$C$58, 3), 0)</f>
        <v>1</v>
      </c>
      <c r="H166" s="15">
        <f t="shared" si="38"/>
        <v>97</v>
      </c>
      <c r="I166" s="45">
        <f>Model!$B$21*EXP((-0.029*9.81*F166)/(8.31*(273+J166)))</f>
        <v>100357.4491247143</v>
      </c>
      <c r="J166" s="15">
        <f>IF(Model!$B$31="Summer",  IF(F166&lt;=2000,  Model!$B$20-Model!$B$35*F166/1000,  IF(F166&lt;Model!$B$36,  Model!$B$33-6.5*F166/1000,  Model!$B$38)),     IF(F166&lt;=2000,  Model!$B$20-Model!$B$35*F166/1000,  IF(F166&lt;Model!$B$36,  Model!$B$33-5.4*F166/1000,   Model!$B$38)))</f>
        <v>-19.088750000000001</v>
      </c>
      <c r="K166" s="15">
        <f t="shared" si="39"/>
        <v>253.91125</v>
      </c>
      <c r="L166" s="45">
        <f>IF(AB165-AA165*(B166-B165)&gt;0, L165-Y165*(B166-B165)*3600-AD166*Model!$B$16, 0)</f>
        <v>1274.8284289393832</v>
      </c>
      <c r="M166" s="56">
        <f t="shared" si="40"/>
        <v>58.6292694638027</v>
      </c>
      <c r="N166" s="56">
        <f>Model!$B$13*I166*K166/(Model!$B$13*I166-L166*287*K166)</f>
        <v>331.6292694638027</v>
      </c>
      <c r="O166" s="56">
        <f t="shared" si="41"/>
        <v>292.77025973190132</v>
      </c>
      <c r="P166" s="56">
        <f t="shared" si="42"/>
        <v>24.970693822939577</v>
      </c>
      <c r="Q166" s="62">
        <f t="shared" si="43"/>
        <v>2.5403688440964994E-2</v>
      </c>
      <c r="R166" s="33">
        <f t="shared" si="44"/>
        <v>1.5656107012117735E-5</v>
      </c>
      <c r="S166" s="45">
        <f>0.37*Model!$B$10*(Q166^2*(N166-K166)*I166/(R166*O166^2))^0.33333*(N166-K166)</f>
        <v>539884.43381614925</v>
      </c>
      <c r="T166" s="50">
        <f>Model!$B$32+(90-Model!$B$6)*SIN(RADIANS(-15*(E166+6)))</f>
        <v>24.314493285608478</v>
      </c>
      <c r="U166" s="45">
        <f t="shared" si="45"/>
        <v>24.314493285608478</v>
      </c>
      <c r="V166" s="50">
        <f t="shared" si="46"/>
        <v>2.4286883077145736</v>
      </c>
      <c r="W166" s="45">
        <f t="shared" si="47"/>
        <v>783.83592218348554</v>
      </c>
      <c r="X166" s="45">
        <f>0.3*W166*Model!$B$9</f>
        <v>71003.497222790407</v>
      </c>
      <c r="Y166" s="33">
        <f>(S166-X166)/Model!$B$11</f>
        <v>1.005858493174641E-2</v>
      </c>
      <c r="Z166" s="45">
        <f t="shared" si="48"/>
        <v>13.151610377225609</v>
      </c>
      <c r="AA166" s="56">
        <f>Y166/Model!$B$12*3600</f>
        <v>65.124600070657038</v>
      </c>
      <c r="AB166" s="50">
        <f t="shared" si="53"/>
        <v>960.07990457152528</v>
      </c>
      <c r="AC166" s="50">
        <f t="shared" si="54"/>
        <v>839.92009542847472</v>
      </c>
      <c r="AD166" s="15">
        <f>IF(AE166=0, Model!$B$19, 0 )</f>
        <v>0</v>
      </c>
      <c r="AE166" s="50">
        <f>IF(AE165+AB165-AB166&lt;Model!$B$19*Model!$B$18, AE165+AB165-AB166,  0)</f>
        <v>386.43217023558805</v>
      </c>
      <c r="AF166" s="15">
        <f t="shared" si="49"/>
        <v>8.1999999999999815</v>
      </c>
      <c r="AG166" s="50">
        <f t="shared" si="50"/>
        <v>0</v>
      </c>
    </row>
    <row r="167" spans="2:33" x14ac:dyDescent="0.25">
      <c r="B167" s="13">
        <f t="shared" si="51"/>
        <v>8.2499999999999822</v>
      </c>
      <c r="C167" s="13">
        <f>B167+Model!$B$4</f>
        <v>10.249999999999982</v>
      </c>
      <c r="D167" s="13">
        <f t="shared" si="52"/>
        <v>1</v>
      </c>
      <c r="E167" s="13">
        <f t="shared" si="55"/>
        <v>10.249999999999982</v>
      </c>
      <c r="F167" s="14">
        <f>IF(AB167&gt;0, VLOOKUP(B167,Model!$A$40:$B$60, 2), 0)</f>
        <v>300</v>
      </c>
      <c r="G167" s="13">
        <f>IF(AB167&gt;0, VLOOKUP(B167,Model!$A$39:$C$58, 3), 0)</f>
        <v>1</v>
      </c>
      <c r="H167" s="13">
        <f t="shared" si="38"/>
        <v>97</v>
      </c>
      <c r="I167" s="46">
        <f>Model!$B$21*EXP((-0.029*9.81*F167)/(8.31*(273+J167)))</f>
        <v>100357.4491247143</v>
      </c>
      <c r="J167" s="13">
        <f>IF(Model!$B$31="Summer",  IF(F167&lt;=2000,  Model!$B$20-Model!$B$35*F167/1000,  IF(F167&lt;Model!$B$36,  Model!$B$33-6.5*F167/1000,  Model!$B$38)),     IF(F167&lt;=2000,  Model!$B$20-Model!$B$35*F167/1000,  IF(F167&lt;Model!$B$36,  Model!$B$33-5.4*F167/1000,   Model!$B$38)))</f>
        <v>-19.088750000000001</v>
      </c>
      <c r="K167" s="13">
        <f t="shared" si="39"/>
        <v>253.91125</v>
      </c>
      <c r="L167" s="46">
        <f>IF(AB166-AA166*(B167-B166)&gt;0, L166-Y166*(B167-B166)*3600-AD167*Model!$B$16, 0)</f>
        <v>1273.0178836516689</v>
      </c>
      <c r="M167" s="57">
        <f t="shared" si="40"/>
        <v>58.485170274373843</v>
      </c>
      <c r="N167" s="57">
        <f>Model!$B$13*I167*K167/(Model!$B$13*I167-L167*287*K167)</f>
        <v>331.48517027437384</v>
      </c>
      <c r="O167" s="57">
        <f t="shared" si="41"/>
        <v>292.69821013718695</v>
      </c>
      <c r="P167" s="57">
        <f t="shared" si="42"/>
        <v>24.92378295174349</v>
      </c>
      <c r="Q167" s="63">
        <f t="shared" si="43"/>
        <v>2.5398572919740275E-2</v>
      </c>
      <c r="R167" s="17">
        <f t="shared" si="44"/>
        <v>1.5648613854267442E-5</v>
      </c>
      <c r="S167" s="46">
        <f>0.37*Model!$B$10*(Q167^2*(N167-K167)*I167/(R167*O167^2))^0.33333*(N167-K167)</f>
        <v>538652.17257207294</v>
      </c>
      <c r="T167" s="51">
        <f>Model!$B$32+(90-Model!$B$6)*SIN(RADIANS(-15*(E167+6)))</f>
        <v>24.519810892659695</v>
      </c>
      <c r="U167" s="46">
        <f t="shared" si="45"/>
        <v>24.519810892659695</v>
      </c>
      <c r="V167" s="51">
        <f t="shared" si="46"/>
        <v>2.4095929699609826</v>
      </c>
      <c r="W167" s="46">
        <f t="shared" si="47"/>
        <v>787.46364842669902</v>
      </c>
      <c r="X167" s="46">
        <f>0.3*W167*Model!$B$9</f>
        <v>71332.113509624425</v>
      </c>
      <c r="Y167" s="17">
        <f>(S167-X167)/Model!$B$11</f>
        <v>1.0025100484016915E-2</v>
      </c>
      <c r="Z167" s="46">
        <f t="shared" si="48"/>
        <v>13.242704131130189</v>
      </c>
      <c r="AA167" s="57">
        <f>Y167/Model!$B$12*3600</f>
        <v>64.907804042014121</v>
      </c>
      <c r="AB167" s="51">
        <f t="shared" si="53"/>
        <v>956.82367456799238</v>
      </c>
      <c r="AC167" s="51">
        <f t="shared" si="54"/>
        <v>843.17632543200762</v>
      </c>
      <c r="AD167" s="13">
        <f>IF(AE167=0, Model!$B$19, 0 )</f>
        <v>0</v>
      </c>
      <c r="AE167" s="51">
        <f>IF(AE166+AB166-AB167&lt;Model!$B$19*Model!$B$18, AE166+AB166-AB167,  0)</f>
        <v>389.68840023912094</v>
      </c>
      <c r="AF167" s="13">
        <f t="shared" si="49"/>
        <v>8.2499999999999822</v>
      </c>
      <c r="AG167" s="50">
        <f t="shared" si="50"/>
        <v>0</v>
      </c>
    </row>
    <row r="168" spans="2:33" x14ac:dyDescent="0.25">
      <c r="B168" s="15">
        <f t="shared" si="51"/>
        <v>8.2999999999999829</v>
      </c>
      <c r="C168" s="15">
        <f>B168+Model!$B$4</f>
        <v>10.299999999999983</v>
      </c>
      <c r="D168" s="15">
        <f t="shared" si="52"/>
        <v>1</v>
      </c>
      <c r="E168" s="15">
        <f t="shared" si="55"/>
        <v>10.299999999999983</v>
      </c>
      <c r="F168" s="16">
        <f>IF(AB168&gt;0, VLOOKUP(B168,Model!$A$40:$B$60, 2), 0)</f>
        <v>300</v>
      </c>
      <c r="G168" s="15">
        <f>IF(AB168&gt;0, VLOOKUP(B168,Model!$A$39:$C$58, 3), 0)</f>
        <v>1</v>
      </c>
      <c r="H168" s="15">
        <f t="shared" si="38"/>
        <v>97</v>
      </c>
      <c r="I168" s="45">
        <f>Model!$B$21*EXP((-0.029*9.81*F168)/(8.31*(273+J168)))</f>
        <v>100357.4491247143</v>
      </c>
      <c r="J168" s="15">
        <f>IF(Model!$B$31="Summer",  IF(F168&lt;=2000,  Model!$B$20-Model!$B$35*F168/1000,  IF(F168&lt;Model!$B$36,  Model!$B$33-6.5*F168/1000,  Model!$B$38)),     IF(F168&lt;=2000,  Model!$B$20-Model!$B$35*F168/1000,  IF(F168&lt;Model!$B$36,  Model!$B$33-5.4*F168/1000,   Model!$B$38)))</f>
        <v>-19.088750000000001</v>
      </c>
      <c r="K168" s="15">
        <f t="shared" si="39"/>
        <v>253.91125</v>
      </c>
      <c r="L168" s="45">
        <f>IF(AB167-AA167*(B168-B167)&gt;0, L167-Y167*(B168-B167)*3600-AD168*Model!$B$16, 0)</f>
        <v>1271.2133655645457</v>
      </c>
      <c r="M168" s="56">
        <f t="shared" si="40"/>
        <v>58.341675331903673</v>
      </c>
      <c r="N168" s="56">
        <f>Model!$B$13*I168*K168/(Model!$B$13*I168-L168*287*K168)</f>
        <v>331.34167533190367</v>
      </c>
      <c r="O168" s="56">
        <f t="shared" si="41"/>
        <v>292.62646266595186</v>
      </c>
      <c r="P168" s="56">
        <f t="shared" si="42"/>
        <v>24.876220322129829</v>
      </c>
      <c r="Q168" s="62">
        <f t="shared" si="43"/>
        <v>2.5393478849282582E-2</v>
      </c>
      <c r="R168" s="33">
        <f t="shared" si="44"/>
        <v>1.5641152117258993E-5</v>
      </c>
      <c r="S168" s="45">
        <f>0.37*Model!$B$10*(Q168^2*(N168-K168)*I168/(R168*O168^2))^0.33333*(N168-K168)</f>
        <v>537425.46437192592</v>
      </c>
      <c r="T168" s="50">
        <f>Model!$B$32+(90-Model!$B$6)*SIN(RADIANS(-15*(E168+6)))</f>
        <v>24.719749891260733</v>
      </c>
      <c r="U168" s="45">
        <f t="shared" si="45"/>
        <v>24.719749891260733</v>
      </c>
      <c r="V168" s="50">
        <f t="shared" si="46"/>
        <v>2.3913135307749323</v>
      </c>
      <c r="W168" s="45">
        <f t="shared" si="47"/>
        <v>790.95209931266868</v>
      </c>
      <c r="X168" s="45">
        <f>0.3*W168*Model!$B$9</f>
        <v>71648.113587936474</v>
      </c>
      <c r="Y168" s="33">
        <f>(S168-X168)/Model!$B$11</f>
        <v>9.9920058089453916E-3</v>
      </c>
      <c r="Z168" s="45">
        <f t="shared" si="48"/>
        <v>13.331730321277131</v>
      </c>
      <c r="AA168" s="56">
        <f>Y168/Model!$B$12*3600</f>
        <v>64.693531607757578</v>
      </c>
      <c r="AB168" s="50">
        <f t="shared" si="53"/>
        <v>953.57828436589159</v>
      </c>
      <c r="AC168" s="50">
        <f t="shared" si="54"/>
        <v>846.42171563410841</v>
      </c>
      <c r="AD168" s="15">
        <f>IF(AE168=0, Model!$B$19, 0 )</f>
        <v>0</v>
      </c>
      <c r="AE168" s="50">
        <f>IF(AE167+AB167-AB168&lt;Model!$B$19*Model!$B$18, AE167+AB167-AB168,  0)</f>
        <v>392.93379044122173</v>
      </c>
      <c r="AF168" s="15">
        <f t="shared" si="49"/>
        <v>8.2999999999999829</v>
      </c>
      <c r="AG168" s="50">
        <f t="shared" si="50"/>
        <v>0</v>
      </c>
    </row>
    <row r="169" spans="2:33" x14ac:dyDescent="0.25">
      <c r="B169" s="13">
        <f t="shared" si="51"/>
        <v>8.3499999999999837</v>
      </c>
      <c r="C169" s="13">
        <f>B169+Model!$B$4</f>
        <v>10.349999999999984</v>
      </c>
      <c r="D169" s="13">
        <f t="shared" si="52"/>
        <v>1</v>
      </c>
      <c r="E169" s="13">
        <f t="shared" si="55"/>
        <v>10.349999999999984</v>
      </c>
      <c r="F169" s="14">
        <f>IF(AB169&gt;0, VLOOKUP(B169,Model!$A$40:$B$60, 2), 0)</f>
        <v>300</v>
      </c>
      <c r="G169" s="13">
        <f>IF(AB169&gt;0, VLOOKUP(B169,Model!$A$39:$C$58, 3), 0)</f>
        <v>1</v>
      </c>
      <c r="H169" s="13">
        <f t="shared" si="38"/>
        <v>97</v>
      </c>
      <c r="I169" s="46">
        <f>Model!$B$21*EXP((-0.029*9.81*F169)/(8.31*(273+J169)))</f>
        <v>100357.4491247143</v>
      </c>
      <c r="J169" s="13">
        <f>IF(Model!$B$31="Summer",  IF(F169&lt;=2000,  Model!$B$20-Model!$B$35*F169/1000,  IF(F169&lt;Model!$B$36,  Model!$B$33-6.5*F169/1000,  Model!$B$38)),     IF(F169&lt;=2000,  Model!$B$20-Model!$B$35*F169/1000,  IF(F169&lt;Model!$B$36,  Model!$B$33-5.4*F169/1000,   Model!$B$38)))</f>
        <v>-19.088750000000001</v>
      </c>
      <c r="K169" s="13">
        <f t="shared" si="39"/>
        <v>253.91125</v>
      </c>
      <c r="L169" s="46">
        <f>IF(AB168-AA168*(B169-B168)&gt;0, L168-Y168*(B169-B168)*3600-AD169*Model!$B$16, 0)</f>
        <v>1269.4148045189356</v>
      </c>
      <c r="M169" s="57">
        <f t="shared" si="40"/>
        <v>58.198777658056315</v>
      </c>
      <c r="N169" s="57">
        <f>Model!$B$13*I169*K169/(Model!$B$13*I169-L169*287*K169)</f>
        <v>331.19877765805631</v>
      </c>
      <c r="O169" s="57">
        <f t="shared" si="41"/>
        <v>292.55501382902816</v>
      </c>
      <c r="P169" s="57">
        <f t="shared" si="42"/>
        <v>24.828027824445947</v>
      </c>
      <c r="Q169" s="63">
        <f t="shared" si="43"/>
        <v>2.5388405981860998E-2</v>
      </c>
      <c r="R169" s="17">
        <f t="shared" si="44"/>
        <v>1.5633721438218926E-5</v>
      </c>
      <c r="S169" s="46">
        <f>0.37*Model!$B$10*(Q169^2*(N169-K169)*I169/(R169*O169^2))^0.33333*(N169-K169)</f>
        <v>536204.24577035906</v>
      </c>
      <c r="T169" s="51">
        <f>Model!$B$32+(90-Model!$B$6)*SIN(RADIANS(-15*(E169+6)))</f>
        <v>24.914276022893457</v>
      </c>
      <c r="U169" s="46">
        <f t="shared" si="45"/>
        <v>24.914276022893457</v>
      </c>
      <c r="V169" s="51">
        <f t="shared" si="46"/>
        <v>2.3738207302615191</v>
      </c>
      <c r="W169" s="46">
        <f t="shared" si="47"/>
        <v>794.30489834617356</v>
      </c>
      <c r="X169" s="46">
        <f>0.3*W169*Model!$B$9</f>
        <v>71951.825691613602</v>
      </c>
      <c r="Y169" s="17">
        <f>(S169-X169)/Model!$B$11</f>
        <v>9.9592925041026587E-3</v>
      </c>
      <c r="Z169" s="46">
        <f t="shared" si="48"/>
        <v>13.418734793537705</v>
      </c>
      <c r="AA169" s="57">
        <f>Y169/Model!$B$12*3600</f>
        <v>64.48172836611586</v>
      </c>
      <c r="AB169" s="51">
        <f t="shared" si="53"/>
        <v>950.34360778550365</v>
      </c>
      <c r="AC169" s="51">
        <f t="shared" si="54"/>
        <v>849.65639221449635</v>
      </c>
      <c r="AD169" s="13">
        <f>IF(AE169=0, Model!$B$19, 0 )</f>
        <v>0</v>
      </c>
      <c r="AE169" s="51">
        <f>IF(AE168+AB168-AB169&lt;Model!$B$19*Model!$B$18, AE168+AB168-AB169,  0)</f>
        <v>396.16846702160967</v>
      </c>
      <c r="AF169" s="13">
        <f t="shared" si="49"/>
        <v>8.3499999999999837</v>
      </c>
      <c r="AG169" s="50">
        <f t="shared" si="50"/>
        <v>0</v>
      </c>
    </row>
    <row r="170" spans="2:33" x14ac:dyDescent="0.25">
      <c r="B170" s="15">
        <f t="shared" si="51"/>
        <v>8.3999999999999844</v>
      </c>
      <c r="C170" s="15">
        <f>B170+Model!$B$4</f>
        <v>10.399999999999984</v>
      </c>
      <c r="D170" s="15">
        <f t="shared" si="52"/>
        <v>1</v>
      </c>
      <c r="E170" s="15">
        <f t="shared" si="55"/>
        <v>10.399999999999984</v>
      </c>
      <c r="F170" s="16">
        <f>IF(AB170&gt;0, VLOOKUP(B170,Model!$A$40:$B$60, 2), 0)</f>
        <v>300</v>
      </c>
      <c r="G170" s="15">
        <f>IF(AB170&gt;0, VLOOKUP(B170,Model!$A$39:$C$58, 3), 0)</f>
        <v>1</v>
      </c>
      <c r="H170" s="15">
        <f t="shared" si="38"/>
        <v>97</v>
      </c>
      <c r="I170" s="45">
        <f>Model!$B$21*EXP((-0.029*9.81*F170)/(8.31*(273+J170)))</f>
        <v>100357.4491247143</v>
      </c>
      <c r="J170" s="15">
        <f>IF(Model!$B$31="Summer",  IF(F170&lt;=2000,  Model!$B$20-Model!$B$35*F170/1000,  IF(F170&lt;Model!$B$36,  Model!$B$33-6.5*F170/1000,  Model!$B$38)),     IF(F170&lt;=2000,  Model!$B$20-Model!$B$35*F170/1000,  IF(F170&lt;Model!$B$36,  Model!$B$33-5.4*F170/1000,   Model!$B$38)))</f>
        <v>-19.088750000000001</v>
      </c>
      <c r="K170" s="15">
        <f t="shared" si="39"/>
        <v>253.91125</v>
      </c>
      <c r="L170" s="45">
        <f>IF(AB169-AA169*(B170-B169)&gt;0, L169-Y169*(B170-B169)*3600-AD170*Model!$B$16, 0)</f>
        <v>1267.6221318681971</v>
      </c>
      <c r="M170" s="56">
        <f t="shared" si="40"/>
        <v>58.05647042130721</v>
      </c>
      <c r="N170" s="56">
        <f>Model!$B$13*I170*K170/(Model!$B$13*I170-L170*287*K170)</f>
        <v>331.05647042130721</v>
      </c>
      <c r="O170" s="56">
        <f t="shared" si="41"/>
        <v>292.48386021065357</v>
      </c>
      <c r="P170" s="56">
        <f t="shared" si="42"/>
        <v>24.779226199628091</v>
      </c>
      <c r="Q170" s="62">
        <f t="shared" si="43"/>
        <v>2.5383354074956406E-2</v>
      </c>
      <c r="R170" s="33">
        <f t="shared" si="44"/>
        <v>1.5626321461907968E-5</v>
      </c>
      <c r="S170" s="45">
        <f>0.37*Model!$B$10*(Q170^2*(N170-K170)*I170/(R170*O170^2))^0.33333*(N170-K170)</f>
        <v>534988.45464872115</v>
      </c>
      <c r="T170" s="50">
        <f>Model!$B$32+(90-Model!$B$6)*SIN(RADIANS(-15*(E170+6)))</f>
        <v>25.103355956506643</v>
      </c>
      <c r="U170" s="45">
        <f t="shared" si="45"/>
        <v>25.103355956506643</v>
      </c>
      <c r="V170" s="50">
        <f t="shared" si="46"/>
        <v>2.3570870794647258</v>
      </c>
      <c r="W170" s="45">
        <f t="shared" si="47"/>
        <v>797.5254935714413</v>
      </c>
      <c r="X170" s="45">
        <f>0.3*W170*Model!$B$9</f>
        <v>72243.562160511356</v>
      </c>
      <c r="Y170" s="33">
        <f>(S170-X170)/Model!$B$11</f>
        <v>9.9269525364841741E-3</v>
      </c>
      <c r="Z170" s="45">
        <f t="shared" si="48"/>
        <v>13.503760975168559</v>
      </c>
      <c r="AA170" s="56">
        <f>Y170/Model!$B$12*3600</f>
        <v>64.272342307167889</v>
      </c>
      <c r="AB170" s="50">
        <f t="shared" si="53"/>
        <v>947.11952136719776</v>
      </c>
      <c r="AC170" s="50">
        <f t="shared" si="54"/>
        <v>852.88047863280224</v>
      </c>
      <c r="AD170" s="15">
        <f>IF(AE170=0, Model!$B$19, 0 )</f>
        <v>0</v>
      </c>
      <c r="AE170" s="50">
        <f>IF(AE169+AB169-AB170&lt;Model!$B$19*Model!$B$18, AE169+AB169-AB170,  0)</f>
        <v>399.39255343991556</v>
      </c>
      <c r="AF170" s="15">
        <f t="shared" si="49"/>
        <v>8.3999999999999844</v>
      </c>
      <c r="AG170" s="50">
        <f t="shared" si="50"/>
        <v>0</v>
      </c>
    </row>
    <row r="171" spans="2:33" x14ac:dyDescent="0.25">
      <c r="B171" s="13">
        <f t="shared" si="51"/>
        <v>8.4499999999999851</v>
      </c>
      <c r="C171" s="13">
        <f>B171+Model!$B$4</f>
        <v>10.449999999999985</v>
      </c>
      <c r="D171" s="13">
        <f t="shared" si="52"/>
        <v>1</v>
      </c>
      <c r="E171" s="13">
        <f t="shared" si="55"/>
        <v>10.449999999999985</v>
      </c>
      <c r="F171" s="14">
        <f>IF(AB171&gt;0, VLOOKUP(B171,Model!$A$40:$B$60, 2), 0)</f>
        <v>300</v>
      </c>
      <c r="G171" s="13">
        <f>IF(AB171&gt;0, VLOOKUP(B171,Model!$A$39:$C$58, 3), 0)</f>
        <v>1</v>
      </c>
      <c r="H171" s="13">
        <f t="shared" si="38"/>
        <v>97</v>
      </c>
      <c r="I171" s="46">
        <f>Model!$B$21*EXP((-0.029*9.81*F171)/(8.31*(273+J171)))</f>
        <v>100357.4491247143</v>
      </c>
      <c r="J171" s="13">
        <f>IF(Model!$B$31="Summer",  IF(F171&lt;=2000,  Model!$B$20-Model!$B$35*F171/1000,  IF(F171&lt;Model!$B$36,  Model!$B$33-6.5*F171/1000,  Model!$B$38)),     IF(F171&lt;=2000,  Model!$B$20-Model!$B$35*F171/1000,  IF(F171&lt;Model!$B$36,  Model!$B$33-5.4*F171/1000,   Model!$B$38)))</f>
        <v>-19.088750000000001</v>
      </c>
      <c r="K171" s="13">
        <f t="shared" si="39"/>
        <v>253.91125</v>
      </c>
      <c r="L171" s="46">
        <f>IF(AB170-AA170*(B171-B170)&gt;0, L170-Y170*(B171-B170)*3600-AD171*Model!$B$16, 0)</f>
        <v>1265.83528041163</v>
      </c>
      <c r="M171" s="57">
        <f t="shared" si="40"/>
        <v>57.914746930901856</v>
      </c>
      <c r="N171" s="57">
        <f>Model!$B$13*I171*K171/(Model!$B$13*I171-L171*287*K171)</f>
        <v>330.91474693090186</v>
      </c>
      <c r="O171" s="57">
        <f t="shared" si="41"/>
        <v>292.41299846545093</v>
      </c>
      <c r="P171" s="57">
        <f t="shared" si="42"/>
        <v>24.729835089260533</v>
      </c>
      <c r="Q171" s="63">
        <f t="shared" si="43"/>
        <v>2.5378322891047016E-2</v>
      </c>
      <c r="R171" s="17">
        <f t="shared" si="44"/>
        <v>1.5618951840406893E-5</v>
      </c>
      <c r="S171" s="46">
        <f>0.37*Model!$B$10*(Q171^2*(N171-K171)*I171/(R171*O171^2))^0.33333*(N171-K171)</f>
        <v>533778.0301613654</v>
      </c>
      <c r="T171" s="51">
        <f>Model!$B$32+(90-Model!$B$6)*SIN(RADIANS(-15*(E171+6)))</f>
        <v>25.286957294227058</v>
      </c>
      <c r="U171" s="46">
        <f t="shared" si="45"/>
        <v>25.286957294227058</v>
      </c>
      <c r="V171" s="51">
        <f t="shared" si="46"/>
        <v>2.3410867470015995</v>
      </c>
      <c r="W171" s="46">
        <f t="shared" si="47"/>
        <v>800.61716507870972</v>
      </c>
      <c r="X171" s="46">
        <f>0.3*W171*Model!$B$9</f>
        <v>72523.62012043313</v>
      </c>
      <c r="Y171" s="17">
        <f>(S171-X171)/Model!$B$11</f>
        <v>9.8949782267710451E-3</v>
      </c>
      <c r="Z171" s="46">
        <f t="shared" si="48"/>
        <v>13.586849968049201</v>
      </c>
      <c r="AA171" s="57">
        <f>Y171/Model!$B$12*3600</f>
        <v>64.065323710940632</v>
      </c>
      <c r="AB171" s="51">
        <f t="shared" si="53"/>
        <v>943.90590425183927</v>
      </c>
      <c r="AC171" s="51">
        <f t="shared" si="54"/>
        <v>856.09409574816073</v>
      </c>
      <c r="AD171" s="13">
        <f>IF(AE171=0, Model!$B$19, 0 )</f>
        <v>0</v>
      </c>
      <c r="AE171" s="51">
        <f>IF(AE170+AB170-AB171&lt;Model!$B$19*Model!$B$18, AE170+AB170-AB171,  0)</f>
        <v>402.60617055527405</v>
      </c>
      <c r="AF171" s="13">
        <f t="shared" si="49"/>
        <v>8.4499999999999851</v>
      </c>
      <c r="AG171" s="50">
        <f t="shared" si="50"/>
        <v>0</v>
      </c>
    </row>
    <row r="172" spans="2:33" x14ac:dyDescent="0.25">
      <c r="B172" s="15">
        <f t="shared" si="51"/>
        <v>8.4999999999999858</v>
      </c>
      <c r="C172" s="15">
        <f>B172+Model!$B$4</f>
        <v>10.499999999999986</v>
      </c>
      <c r="D172" s="15">
        <f t="shared" si="52"/>
        <v>1</v>
      </c>
      <c r="E172" s="15">
        <f t="shared" si="55"/>
        <v>10.499999999999986</v>
      </c>
      <c r="F172" s="16">
        <f>IF(AB172&gt;0, VLOOKUP(B172,Model!$A$40:$B$60, 2), 0)</f>
        <v>300</v>
      </c>
      <c r="G172" s="15">
        <f>IF(AB172&gt;0, VLOOKUP(B172,Model!$A$39:$C$58, 3), 0)</f>
        <v>1</v>
      </c>
      <c r="H172" s="15">
        <f t="shared" si="38"/>
        <v>97</v>
      </c>
      <c r="I172" s="45">
        <f>Model!$B$21*EXP((-0.029*9.81*F172)/(8.31*(273+J172)))</f>
        <v>100357.4491247143</v>
      </c>
      <c r="J172" s="15">
        <f>IF(Model!$B$31="Summer",  IF(F172&lt;=2000,  Model!$B$20-Model!$B$35*F172/1000,  IF(F172&lt;Model!$B$36,  Model!$B$33-6.5*F172/1000,  Model!$B$38)),     IF(F172&lt;=2000,  Model!$B$20-Model!$B$35*F172/1000,  IF(F172&lt;Model!$B$36,  Model!$B$33-5.4*F172/1000,   Model!$B$38)))</f>
        <v>-19.088750000000001</v>
      </c>
      <c r="K172" s="15">
        <f t="shared" si="39"/>
        <v>253.91125</v>
      </c>
      <c r="L172" s="45">
        <f>IF(AB171-AA171*(B172-B171)&gt;0, L171-Y171*(B172-B171)*3600-AD172*Model!$B$16, 0)</f>
        <v>1264.0541843308113</v>
      </c>
      <c r="M172" s="56">
        <f t="shared" si="40"/>
        <v>57.773600631075681</v>
      </c>
      <c r="N172" s="56">
        <f>Model!$B$13*I172*K172/(Model!$B$13*I172-L172*287*K172)</f>
        <v>330.77360063107568</v>
      </c>
      <c r="O172" s="56">
        <f t="shared" si="41"/>
        <v>292.34242531553787</v>
      </c>
      <c r="P172" s="56">
        <f t="shared" si="42"/>
        <v>24.679873082729237</v>
      </c>
      <c r="Q172" s="62">
        <f t="shared" si="43"/>
        <v>2.537331219740319E-2</v>
      </c>
      <c r="R172" s="33">
        <f t="shared" si="44"/>
        <v>1.5611612232815938E-5</v>
      </c>
      <c r="S172" s="45">
        <f>0.37*Model!$B$10*(Q172^2*(N172-K172)*I172/(R172*O172^2))^0.33333*(N172-K172)</f>
        <v>532572.912684298</v>
      </c>
      <c r="T172" s="50">
        <f>Model!$B$32+(90-Model!$B$6)*SIN(RADIANS(-15*(E172+6)))</f>
        <v>25.465048576910661</v>
      </c>
      <c r="U172" s="45">
        <f t="shared" si="45"/>
        <v>25.465048576910661</v>
      </c>
      <c r="V172" s="50">
        <f t="shared" si="46"/>
        <v>2.3257954550569604</v>
      </c>
      <c r="W172" s="45">
        <f t="shared" si="47"/>
        <v>803.58303207825941</v>
      </c>
      <c r="X172" s="45">
        <f>0.3*W172*Model!$B$9</f>
        <v>72792.282123928817</v>
      </c>
      <c r="Y172" s="33">
        <f>(S172-X172)/Model!$B$11</f>
        <v>9.8633622344818008E-3</v>
      </c>
      <c r="Z172" s="45">
        <f t="shared" si="48"/>
        <v>13.668040636358667</v>
      </c>
      <c r="AA172" s="56">
        <f>Y172/Model!$B$12*3600</f>
        <v>63.860625051273743</v>
      </c>
      <c r="AB172" s="50">
        <f t="shared" si="53"/>
        <v>940.70263806629225</v>
      </c>
      <c r="AC172" s="50">
        <f t="shared" si="54"/>
        <v>859.29736193370775</v>
      </c>
      <c r="AD172" s="15">
        <f>IF(AE172=0, Model!$B$19, 0 )</f>
        <v>0</v>
      </c>
      <c r="AE172" s="50">
        <f>IF(AE171+AB171-AB172&lt;Model!$B$19*Model!$B$18, AE171+AB171-AB172,  0)</f>
        <v>405.80943674082107</v>
      </c>
      <c r="AF172" s="15">
        <f t="shared" si="49"/>
        <v>8.4999999999999858</v>
      </c>
      <c r="AG172" s="50">
        <f t="shared" si="50"/>
        <v>0</v>
      </c>
    </row>
    <row r="173" spans="2:33" x14ac:dyDescent="0.25">
      <c r="B173" s="13">
        <f t="shared" si="51"/>
        <v>8.5499999999999865</v>
      </c>
      <c r="C173" s="13">
        <f>B173+Model!$B$4</f>
        <v>10.549999999999986</v>
      </c>
      <c r="D173" s="13">
        <f t="shared" si="52"/>
        <v>1</v>
      </c>
      <c r="E173" s="13">
        <f t="shared" si="55"/>
        <v>10.549999999999986</v>
      </c>
      <c r="F173" s="14">
        <f>IF(AB173&gt;0, VLOOKUP(B173,Model!$A$40:$B$60, 2), 0)</f>
        <v>300</v>
      </c>
      <c r="G173" s="13">
        <f>IF(AB173&gt;0, VLOOKUP(B173,Model!$A$39:$C$58, 3), 0)</f>
        <v>1</v>
      </c>
      <c r="H173" s="13">
        <f t="shared" si="38"/>
        <v>97</v>
      </c>
      <c r="I173" s="46">
        <f>Model!$B$21*EXP((-0.029*9.81*F173)/(8.31*(273+J173)))</f>
        <v>100357.4491247143</v>
      </c>
      <c r="J173" s="13">
        <f>IF(Model!$B$31="Summer",  IF(F173&lt;=2000,  Model!$B$20-Model!$B$35*F173/1000,  IF(F173&lt;Model!$B$36,  Model!$B$33-6.5*F173/1000,  Model!$B$38)),     IF(F173&lt;=2000,  Model!$B$20-Model!$B$35*F173/1000,  IF(F173&lt;Model!$B$36,  Model!$B$33-5.4*F173/1000,   Model!$B$38)))</f>
        <v>-19.088750000000001</v>
      </c>
      <c r="K173" s="13">
        <f t="shared" si="39"/>
        <v>253.91125</v>
      </c>
      <c r="L173" s="46">
        <f>IF(AB172-AA172*(B173-B172)&gt;0, L172-Y172*(B173-B172)*3600-AD173*Model!$B$16, 0)</f>
        <v>1262.2787791286046</v>
      </c>
      <c r="M173" s="57">
        <f t="shared" si="40"/>
        <v>57.633025095521646</v>
      </c>
      <c r="N173" s="57">
        <f>Model!$B$13*I173*K173/(Model!$B$13*I173-L173*287*K173)</f>
        <v>330.63302509552165</v>
      </c>
      <c r="O173" s="57">
        <f t="shared" si="41"/>
        <v>292.27213754776085</v>
      </c>
      <c r="P173" s="57">
        <f t="shared" si="42"/>
        <v>24.629357761615882</v>
      </c>
      <c r="Q173" s="63">
        <f t="shared" si="43"/>
        <v>2.536832176589102E-2</v>
      </c>
      <c r="R173" s="17">
        <f t="shared" si="44"/>
        <v>1.5604302304967126E-5</v>
      </c>
      <c r="S173" s="46">
        <f>0.37*Model!$B$10*(Q173^2*(N173-K173)*I173/(R173*O173^2))^0.33333*(N173-K173)</f>
        <v>531373.04376603465</v>
      </c>
      <c r="T173" s="51">
        <f>Model!$B$32+(90-Model!$B$6)*SIN(RADIANS(-15*(E173+6)))</f>
        <v>25.637599289532986</v>
      </c>
      <c r="U173" s="46">
        <f t="shared" si="45"/>
        <v>25.637599289532986</v>
      </c>
      <c r="V173" s="51">
        <f t="shared" si="46"/>
        <v>2.3111903838891301</v>
      </c>
      <c r="W173" s="46">
        <f t="shared" si="47"/>
        <v>806.42605956383511</v>
      </c>
      <c r="X173" s="46">
        <f>0.3*W173*Model!$B$9</f>
        <v>73049.816753898398</v>
      </c>
      <c r="Y173" s="17">
        <f>(S173-X173)/Model!$B$11</f>
        <v>9.8320975439694577E-3</v>
      </c>
      <c r="Z173" s="46">
        <f t="shared" si="48"/>
        <v>13.74736968894163</v>
      </c>
      <c r="AA173" s="57">
        <f>Y173/Model!$B$12*3600</f>
        <v>63.65820090515723</v>
      </c>
      <c r="AB173" s="51">
        <f t="shared" si="53"/>
        <v>937.50960681372851</v>
      </c>
      <c r="AC173" s="51">
        <f t="shared" si="54"/>
        <v>862.49039318627149</v>
      </c>
      <c r="AD173" s="13">
        <f>IF(AE173=0, Model!$B$19, 0 )</f>
        <v>0</v>
      </c>
      <c r="AE173" s="51">
        <f>IF(AE172+AB172-AB173&lt;Model!$B$19*Model!$B$18, AE172+AB172-AB173,  0)</f>
        <v>409.00246799338481</v>
      </c>
      <c r="AF173" s="13">
        <f t="shared" si="49"/>
        <v>8.5499999999999865</v>
      </c>
      <c r="AG173" s="50">
        <f t="shared" si="50"/>
        <v>0</v>
      </c>
    </row>
    <row r="174" spans="2:33" x14ac:dyDescent="0.25">
      <c r="B174" s="15">
        <f t="shared" si="51"/>
        <v>8.5999999999999872</v>
      </c>
      <c r="C174" s="15">
        <f>B174+Model!$B$4</f>
        <v>10.599999999999987</v>
      </c>
      <c r="D174" s="15">
        <f t="shared" si="52"/>
        <v>1</v>
      </c>
      <c r="E174" s="15">
        <f t="shared" si="55"/>
        <v>10.599999999999987</v>
      </c>
      <c r="F174" s="16">
        <f>IF(AB174&gt;0, VLOOKUP(B174,Model!$A$40:$B$60, 2), 0)</f>
        <v>300</v>
      </c>
      <c r="G174" s="15">
        <f>IF(AB174&gt;0, VLOOKUP(B174,Model!$A$39:$C$58, 3), 0)</f>
        <v>1</v>
      </c>
      <c r="H174" s="15">
        <f t="shared" si="38"/>
        <v>97</v>
      </c>
      <c r="I174" s="45">
        <f>Model!$B$21*EXP((-0.029*9.81*F174)/(8.31*(273+J174)))</f>
        <v>100357.4491247143</v>
      </c>
      <c r="J174" s="15">
        <f>IF(Model!$B$31="Summer",  IF(F174&lt;=2000,  Model!$B$20-Model!$B$35*F174/1000,  IF(F174&lt;Model!$B$36,  Model!$B$33-6.5*F174/1000,  Model!$B$38)),     IF(F174&lt;=2000,  Model!$B$20-Model!$B$35*F174/1000,  IF(F174&lt;Model!$B$36,  Model!$B$33-5.4*F174/1000,   Model!$B$38)))</f>
        <v>-19.088750000000001</v>
      </c>
      <c r="K174" s="15">
        <f t="shared" si="39"/>
        <v>253.91125</v>
      </c>
      <c r="L174" s="45">
        <f>IF(AB173-AA173*(B174-B173)&gt;0, L173-Y173*(B174-B173)*3600-AD174*Model!$B$16, 0)</f>
        <v>1260.5090015706901</v>
      </c>
      <c r="M174" s="56">
        <f t="shared" si="40"/>
        <v>57.49301402209062</v>
      </c>
      <c r="N174" s="56">
        <f>Model!$B$13*I174*K174/(Model!$B$13*I174-L174*287*K174)</f>
        <v>330.49301402209062</v>
      </c>
      <c r="O174" s="56">
        <f t="shared" si="41"/>
        <v>292.20213201104531</v>
      </c>
      <c r="P174" s="56">
        <f t="shared" si="42"/>
        <v>24.578305741470874</v>
      </c>
      <c r="Q174" s="62">
        <f t="shared" si="43"/>
        <v>2.5363351372784216E-2</v>
      </c>
      <c r="R174" s="33">
        <f t="shared" si="44"/>
        <v>1.559702172914871E-5</v>
      </c>
      <c r="S174" s="45">
        <f>0.37*Model!$B$10*(Q174^2*(N174-K174)*I174/(R174*O174^2))^0.33333*(N174-K174)</f>
        <v>530178.36608054512</v>
      </c>
      <c r="T174" s="50">
        <f>Model!$B$32+(90-Model!$B$6)*SIN(RADIANS(-15*(E174+6)))</f>
        <v>25.804579866417697</v>
      </c>
      <c r="U174" s="45">
        <f t="shared" si="45"/>
        <v>25.804579866417697</v>
      </c>
      <c r="V174" s="50">
        <f t="shared" si="46"/>
        <v>2.2972500840863463</v>
      </c>
      <c r="W174" s="45">
        <f t="shared" si="47"/>
        <v>809.14906458638802</v>
      </c>
      <c r="X174" s="45">
        <f>0.3*W174*Model!$B$9</f>
        <v>73296.479191896768</v>
      </c>
      <c r="Y174" s="33">
        <f>(S174-X174)/Model!$B$11</f>
        <v>9.801177451220602E-3</v>
      </c>
      <c r="Z174" s="45">
        <f t="shared" si="48"/>
        <v>13.824871756604551</v>
      </c>
      <c r="AA174" s="56">
        <f>Y174/Model!$B$12*3600</f>
        <v>63.458007867261664</v>
      </c>
      <c r="AB174" s="50">
        <f t="shared" si="53"/>
        <v>934.32669676847058</v>
      </c>
      <c r="AC174" s="50">
        <f t="shared" si="54"/>
        <v>865.67330323152942</v>
      </c>
      <c r="AD174" s="15">
        <f>IF(AE174=0, Model!$B$19, 0 )</f>
        <v>0</v>
      </c>
      <c r="AE174" s="50">
        <f>IF(AE173+AB173-AB174&lt;Model!$B$19*Model!$B$18, AE173+AB173-AB174,  0)</f>
        <v>412.18537803864274</v>
      </c>
      <c r="AF174" s="15">
        <f t="shared" si="49"/>
        <v>8.5999999999999872</v>
      </c>
      <c r="AG174" s="50">
        <f t="shared" si="50"/>
        <v>0</v>
      </c>
    </row>
    <row r="175" spans="2:33" x14ac:dyDescent="0.25">
      <c r="B175" s="13">
        <f t="shared" si="51"/>
        <v>8.6499999999999879</v>
      </c>
      <c r="C175" s="13">
        <f>B175+Model!$B$4</f>
        <v>10.649999999999988</v>
      </c>
      <c r="D175" s="13">
        <f t="shared" si="52"/>
        <v>1</v>
      </c>
      <c r="E175" s="13">
        <f t="shared" si="55"/>
        <v>10.649999999999988</v>
      </c>
      <c r="F175" s="14">
        <f>IF(AB175&gt;0, VLOOKUP(B175,Model!$A$40:$B$60, 2), 0)</f>
        <v>300</v>
      </c>
      <c r="G175" s="13">
        <f>IF(AB175&gt;0, VLOOKUP(B175,Model!$A$39:$C$58, 3), 0)</f>
        <v>1</v>
      </c>
      <c r="H175" s="13">
        <f t="shared" si="38"/>
        <v>97</v>
      </c>
      <c r="I175" s="46">
        <f>Model!$B$21*EXP((-0.029*9.81*F175)/(8.31*(273+J175)))</f>
        <v>100357.4491247143</v>
      </c>
      <c r="J175" s="13">
        <f>IF(Model!$B$31="Summer",  IF(F175&lt;=2000,  Model!$B$20-Model!$B$35*F175/1000,  IF(F175&lt;Model!$B$36,  Model!$B$33-6.5*F175/1000,  Model!$B$38)),     IF(F175&lt;=2000,  Model!$B$20-Model!$B$35*F175/1000,  IF(F175&lt;Model!$B$36,  Model!$B$33-5.4*F175/1000,   Model!$B$38)))</f>
        <v>-19.088750000000001</v>
      </c>
      <c r="K175" s="13">
        <f t="shared" si="39"/>
        <v>253.91125</v>
      </c>
      <c r="L175" s="46">
        <f>IF(AB174-AA174*(B175-B174)&gt;0, L174-Y174*(B175-B174)*3600-AD175*Model!$B$16, 0)</f>
        <v>1258.7447896294705</v>
      </c>
      <c r="M175" s="57">
        <f t="shared" si="40"/>
        <v>57.353561227712476</v>
      </c>
      <c r="N175" s="57">
        <f>Model!$B$13*I175*K175/(Model!$B$13*I175-L175*287*K175)</f>
        <v>330.35356122771248</v>
      </c>
      <c r="O175" s="57">
        <f t="shared" si="41"/>
        <v>292.13240561385624</v>
      </c>
      <c r="P175" s="57">
        <f t="shared" si="42"/>
        <v>24.526732711098823</v>
      </c>
      <c r="Q175" s="63">
        <f t="shared" si="43"/>
        <v>2.5358400798583793E-2</v>
      </c>
      <c r="R175" s="17">
        <f t="shared" si="44"/>
        <v>1.558977018384105E-5</v>
      </c>
      <c r="S175" s="46">
        <f>0.37*Model!$B$10*(Q175^2*(N175-K175)*I175/(R175*O175^2))^0.33333*(N175-K175)</f>
        <v>528988.82338216959</v>
      </c>
      <c r="T175" s="51">
        <f>Model!$B$32+(90-Model!$B$6)*SIN(RADIANS(-15*(E175+6)))</f>
        <v>25.965961696302585</v>
      </c>
      <c r="U175" s="46">
        <f t="shared" si="45"/>
        <v>25.965961696302585</v>
      </c>
      <c r="V175" s="51">
        <f t="shared" si="46"/>
        <v>2.2839543958924624</v>
      </c>
      <c r="W175" s="46">
        <f t="shared" si="47"/>
        <v>811.75472215805564</v>
      </c>
      <c r="X175" s="46">
        <f>0.3*W175*Model!$B$9</f>
        <v>73532.511752943567</v>
      </c>
      <c r="Y175" s="17">
        <f>(S175-X175)/Model!$B$11</f>
        <v>9.7705955514153387E-3</v>
      </c>
      <c r="Z175" s="46">
        <f t="shared" si="48"/>
        <v>13.900579464572123</v>
      </c>
      <c r="AA175" s="57">
        <f>Y175/Model!$B$12*3600</f>
        <v>63.260004469394751</v>
      </c>
      <c r="AB175" s="51">
        <f t="shared" si="53"/>
        <v>931.1537963751075</v>
      </c>
      <c r="AC175" s="51">
        <f t="shared" si="54"/>
        <v>868.8462036248925</v>
      </c>
      <c r="AD175" s="13">
        <f>IF(AE175=0, Model!$B$19, 0 )</f>
        <v>0</v>
      </c>
      <c r="AE175" s="51">
        <f>IF(AE174+AB174-AB175&lt;Model!$B$19*Model!$B$18, AE174+AB174-AB175,  0)</f>
        <v>415.35827843200582</v>
      </c>
      <c r="AF175" s="13">
        <f t="shared" si="49"/>
        <v>8.6499999999999879</v>
      </c>
      <c r="AG175" s="50">
        <f t="shared" si="50"/>
        <v>0</v>
      </c>
    </row>
    <row r="176" spans="2:33" x14ac:dyDescent="0.25">
      <c r="B176" s="15">
        <f t="shared" si="51"/>
        <v>8.6999999999999886</v>
      </c>
      <c r="C176" s="15">
        <f>B176+Model!$B$4</f>
        <v>10.699999999999989</v>
      </c>
      <c r="D176" s="15">
        <f t="shared" si="52"/>
        <v>1</v>
      </c>
      <c r="E176" s="15">
        <f t="shared" si="55"/>
        <v>10.699999999999989</v>
      </c>
      <c r="F176" s="16">
        <f>IF(AB176&gt;0, VLOOKUP(B176,Model!$A$40:$B$60, 2), 0)</f>
        <v>300</v>
      </c>
      <c r="G176" s="15">
        <f>IF(AB176&gt;0, VLOOKUP(B176,Model!$A$39:$C$58, 3), 0)</f>
        <v>1</v>
      </c>
      <c r="H176" s="15">
        <f t="shared" si="38"/>
        <v>97</v>
      </c>
      <c r="I176" s="45">
        <f>Model!$B$21*EXP((-0.029*9.81*F176)/(8.31*(273+J176)))</f>
        <v>100357.4491247143</v>
      </c>
      <c r="J176" s="15">
        <f>IF(Model!$B$31="Summer",  IF(F176&lt;=2000,  Model!$B$20-Model!$B$35*F176/1000,  IF(F176&lt;Model!$B$36,  Model!$B$33-6.5*F176/1000,  Model!$B$38)),     IF(F176&lt;=2000,  Model!$B$20-Model!$B$35*F176/1000,  IF(F176&lt;Model!$B$36,  Model!$B$33-5.4*F176/1000,   Model!$B$38)))</f>
        <v>-19.088750000000001</v>
      </c>
      <c r="K176" s="15">
        <f t="shared" si="39"/>
        <v>253.91125</v>
      </c>
      <c r="L176" s="45">
        <f>IF(AB175-AA175*(B176-B175)&gt;0, L175-Y175*(B176-B175)*3600-AD176*Model!$B$16, 0)</f>
        <v>1256.9860824302157</v>
      </c>
      <c r="M176" s="56">
        <f t="shared" si="40"/>
        <v>57.214660643524496</v>
      </c>
      <c r="N176" s="56">
        <f>Model!$B$13*I176*K176/(Model!$B$13*I176-L176*287*K176)</f>
        <v>330.2146606435245</v>
      </c>
      <c r="O176" s="56">
        <f t="shared" si="41"/>
        <v>292.06295532176227</v>
      </c>
      <c r="P176" s="56">
        <f t="shared" si="42"/>
        <v>24.474653469482618</v>
      </c>
      <c r="Q176" s="62">
        <f t="shared" si="43"/>
        <v>2.5353469827845122E-2</v>
      </c>
      <c r="R176" s="33">
        <f t="shared" si="44"/>
        <v>1.5582547353463275E-5</v>
      </c>
      <c r="S176" s="45">
        <f>0.37*Model!$B$10*(Q176^2*(N176-K176)*I176/(R176*O176^2))^0.33333*(N176-K176)</f>
        <v>527804.3604623921</v>
      </c>
      <c r="T176" s="50">
        <f>Model!$B$32+(90-Model!$B$6)*SIN(RADIANS(-15*(E176+6)))</f>
        <v>26.121717127241887</v>
      </c>
      <c r="U176" s="45">
        <f t="shared" si="45"/>
        <v>26.121717127241887</v>
      </c>
      <c r="V176" s="50">
        <f t="shared" si="46"/>
        <v>2.2712843749905423</v>
      </c>
      <c r="W176" s="45">
        <f t="shared" si="47"/>
        <v>814.24557080528052</v>
      </c>
      <c r="X176" s="45">
        <f>0.3*W176*Model!$B$9</f>
        <v>73758.144388550456</v>
      </c>
      <c r="Y176" s="33">
        <f>(S176-X176)/Model!$B$11</f>
        <v>9.7403457272088739E-3</v>
      </c>
      <c r="Z176" s="45">
        <f t="shared" si="48"/>
        <v>13.97452350032375</v>
      </c>
      <c r="AA176" s="56">
        <f>Y176/Model!$B$12*3600</f>
        <v>63.064151104630099</v>
      </c>
      <c r="AB176" s="50">
        <f t="shared" si="53"/>
        <v>927.99079615163771</v>
      </c>
      <c r="AC176" s="50">
        <f t="shared" si="54"/>
        <v>872.00920384836229</v>
      </c>
      <c r="AD176" s="15">
        <f>IF(AE176=0, Model!$B$19, 0 )</f>
        <v>0</v>
      </c>
      <c r="AE176" s="50">
        <f>IF(AE175+AB175-AB176&lt;Model!$B$19*Model!$B$18, AE175+AB175-AB176,  0)</f>
        <v>418.52127865547561</v>
      </c>
      <c r="AF176" s="15">
        <f t="shared" si="49"/>
        <v>8.6999999999999886</v>
      </c>
      <c r="AG176" s="50">
        <f t="shared" si="50"/>
        <v>0</v>
      </c>
    </row>
    <row r="177" spans="2:33" x14ac:dyDescent="0.25">
      <c r="B177" s="13">
        <f t="shared" si="51"/>
        <v>8.7499999999999893</v>
      </c>
      <c r="C177" s="13">
        <f>B177+Model!$B$4</f>
        <v>10.749999999999989</v>
      </c>
      <c r="D177" s="13">
        <f t="shared" si="52"/>
        <v>1</v>
      </c>
      <c r="E177" s="13">
        <f t="shared" si="55"/>
        <v>10.749999999999989</v>
      </c>
      <c r="F177" s="14">
        <f>IF(AB177&gt;0, VLOOKUP(B177,Model!$A$40:$B$60, 2), 0)</f>
        <v>300</v>
      </c>
      <c r="G177" s="13">
        <f>IF(AB177&gt;0, VLOOKUP(B177,Model!$A$39:$C$58, 3), 0)</f>
        <v>1</v>
      </c>
      <c r="H177" s="13">
        <f t="shared" si="38"/>
        <v>97</v>
      </c>
      <c r="I177" s="46">
        <f>Model!$B$21*EXP((-0.029*9.81*F177)/(8.31*(273+J177)))</f>
        <v>100357.4491247143</v>
      </c>
      <c r="J177" s="13">
        <f>IF(Model!$B$31="Summer",  IF(F177&lt;=2000,  Model!$B$20-Model!$B$35*F177/1000,  IF(F177&lt;Model!$B$36,  Model!$B$33-6.5*F177/1000,  Model!$B$38)),     IF(F177&lt;=2000,  Model!$B$20-Model!$B$35*F177/1000,  IF(F177&lt;Model!$B$36,  Model!$B$33-5.4*F177/1000,   Model!$B$38)))</f>
        <v>-19.088750000000001</v>
      </c>
      <c r="K177" s="13">
        <f t="shared" si="39"/>
        <v>253.91125</v>
      </c>
      <c r="L177" s="46">
        <f>IF(AB176-AA176*(B177-B176)&gt;0, L176-Y176*(B177-B176)*3600-AD177*Model!$B$16, 0)</f>
        <v>1255.232820199318</v>
      </c>
      <c r="M177" s="57">
        <f t="shared" si="40"/>
        <v>57.076306310195719</v>
      </c>
      <c r="N177" s="57">
        <f>Model!$B$13*I177*K177/(Model!$B$13*I177-L177*287*K177)</f>
        <v>330.07630631019572</v>
      </c>
      <c r="O177" s="57">
        <f t="shared" si="41"/>
        <v>291.99377815509786</v>
      </c>
      <c r="P177" s="57">
        <f t="shared" si="42"/>
        <v>24.422081960466393</v>
      </c>
      <c r="Q177" s="63">
        <f t="shared" si="43"/>
        <v>2.534855824901195E-2</v>
      </c>
      <c r="R177" s="17">
        <f t="shared" si="44"/>
        <v>1.5575352928130174E-5</v>
      </c>
      <c r="S177" s="46">
        <f>0.37*Model!$B$10*(Q177^2*(N177-K177)*I177/(R177*O177^2))^0.33333*(N177-K177)</f>
        <v>526624.9231083676</v>
      </c>
      <c r="T177" s="51">
        <f>Model!$B$32+(90-Model!$B$6)*SIN(RADIANS(-15*(E177+6)))</f>
        <v>26.271819471344344</v>
      </c>
      <c r="U177" s="46">
        <f t="shared" si="45"/>
        <v>26.271819471344344</v>
      </c>
      <c r="V177" s="51">
        <f t="shared" si="46"/>
        <v>2.259222224195105</v>
      </c>
      <c r="W177" s="46">
        <f t="shared" si="47"/>
        <v>816.6240177889639</v>
      </c>
      <c r="X177" s="46">
        <f>0.3*W177*Model!$B$9</f>
        <v>73973.595159586926</v>
      </c>
      <c r="Y177" s="17">
        <f>(S177-X177)/Model!$B$11</f>
        <v>9.7104221376977506E-3</v>
      </c>
      <c r="Z177" s="46">
        <f t="shared" si="48"/>
        <v>14.046732677018559</v>
      </c>
      <c r="AA177" s="57">
        <f>Y177/Model!$B$12*3600</f>
        <v>62.870409955868716</v>
      </c>
      <c r="AB177" s="51">
        <f t="shared" si="53"/>
        <v>924.83758859640614</v>
      </c>
      <c r="AC177" s="51">
        <f t="shared" si="54"/>
        <v>875.16241140359386</v>
      </c>
      <c r="AD177" s="13">
        <f>IF(AE177=0, Model!$B$19, 0 )</f>
        <v>0</v>
      </c>
      <c r="AE177" s="51">
        <f>IF(AE176+AB176-AB177&lt;Model!$B$19*Model!$B$18, AE176+AB176-AB177,  0)</f>
        <v>421.67448621070719</v>
      </c>
      <c r="AF177" s="13">
        <f t="shared" si="49"/>
        <v>8.7499999999999893</v>
      </c>
      <c r="AG177" s="50">
        <f t="shared" si="50"/>
        <v>0</v>
      </c>
    </row>
    <row r="178" spans="2:33" x14ac:dyDescent="0.25">
      <c r="B178" s="15">
        <f t="shared" si="51"/>
        <v>8.7999999999999901</v>
      </c>
      <c r="C178" s="15">
        <f>B178+Model!$B$4</f>
        <v>10.79999999999999</v>
      </c>
      <c r="D178" s="15">
        <f t="shared" si="52"/>
        <v>1</v>
      </c>
      <c r="E178" s="15">
        <f t="shared" si="55"/>
        <v>10.79999999999999</v>
      </c>
      <c r="F178" s="16">
        <f>IF(AB178&gt;0, VLOOKUP(B178,Model!$A$40:$B$60, 2), 0)</f>
        <v>300</v>
      </c>
      <c r="G178" s="15">
        <f>IF(AB178&gt;0, VLOOKUP(B178,Model!$A$39:$C$58, 3), 0)</f>
        <v>1</v>
      </c>
      <c r="H178" s="15">
        <f t="shared" si="38"/>
        <v>97</v>
      </c>
      <c r="I178" s="45">
        <f>Model!$B$21*EXP((-0.029*9.81*F178)/(8.31*(273+J178)))</f>
        <v>100357.4491247143</v>
      </c>
      <c r="J178" s="15">
        <f>IF(Model!$B$31="Summer",  IF(F178&lt;=2000,  Model!$B$20-Model!$B$35*F178/1000,  IF(F178&lt;Model!$B$36,  Model!$B$33-6.5*F178/1000,  Model!$B$38)),     IF(F178&lt;=2000,  Model!$B$20-Model!$B$35*F178/1000,  IF(F178&lt;Model!$B$36,  Model!$B$33-5.4*F178/1000,   Model!$B$38)))</f>
        <v>-19.088750000000001</v>
      </c>
      <c r="K178" s="15">
        <f t="shared" si="39"/>
        <v>253.91125</v>
      </c>
      <c r="L178" s="45">
        <f>IF(AB177-AA177*(B178-B177)&gt;0, L177-Y177*(B178-B177)*3600-AD178*Model!$B$16, 0)</f>
        <v>1253.4849442145323</v>
      </c>
      <c r="M178" s="56">
        <f t="shared" si="40"/>
        <v>56.938492373436191</v>
      </c>
      <c r="N178" s="56">
        <f>Model!$B$13*I178*K178/(Model!$B$13*I178-L178*287*K178)</f>
        <v>329.93849237343619</v>
      </c>
      <c r="O178" s="56">
        <f t="shared" si="41"/>
        <v>291.92487118671806</v>
      </c>
      <c r="P178" s="56">
        <f t="shared" si="42"/>
        <v>24.369031305311186</v>
      </c>
      <c r="Q178" s="62">
        <f t="shared" si="43"/>
        <v>2.5343665854256982E-2</v>
      </c>
      <c r="R178" s="33">
        <f t="shared" si="44"/>
        <v>1.5568186603418678E-5</v>
      </c>
      <c r="S178" s="45">
        <f>0.37*Model!$B$10*(Q178^2*(N178-K178)*I178/(R178*O178^2))^0.33333*(N178-K178)</f>
        <v>525450.45806310547</v>
      </c>
      <c r="T178" s="50">
        <f>Model!$B$32+(90-Model!$B$6)*SIN(RADIANS(-15*(E178+6)))</f>
        <v>26.416243009346019</v>
      </c>
      <c r="U178" s="45">
        <f t="shared" si="45"/>
        <v>26.416243009346019</v>
      </c>
      <c r="V178" s="50">
        <f t="shared" si="46"/>
        <v>2.2477512305591238</v>
      </c>
      <c r="W178" s="45">
        <f t="shared" si="47"/>
        <v>818.89234400855639</v>
      </c>
      <c r="X178" s="45">
        <f>0.3*W178*Model!$B$9</f>
        <v>74179.07068051555</v>
      </c>
      <c r="Y178" s="33">
        <f>(S178-X178)/Model!$B$11</f>
        <v>9.6808192080358232E-3</v>
      </c>
      <c r="Z178" s="45">
        <f t="shared" si="48"/>
        <v>14.117233992706275</v>
      </c>
      <c r="AA178" s="56">
        <f>Y178/Model!$B$12*3600</f>
        <v>62.678744928607458</v>
      </c>
      <c r="AB178" s="50">
        <f t="shared" si="53"/>
        <v>921.69406809861266</v>
      </c>
      <c r="AC178" s="50">
        <f t="shared" si="54"/>
        <v>878.30593190138734</v>
      </c>
      <c r="AD178" s="15">
        <f>IF(AE178=0, Model!$B$19, 0 )</f>
        <v>0</v>
      </c>
      <c r="AE178" s="50">
        <f>IF(AE177+AB177-AB178&lt;Model!$B$19*Model!$B$18, AE177+AB177-AB178,  0)</f>
        <v>424.81800670850066</v>
      </c>
      <c r="AF178" s="15">
        <f t="shared" si="49"/>
        <v>8.7999999999999901</v>
      </c>
      <c r="AG178" s="50">
        <f t="shared" si="50"/>
        <v>0</v>
      </c>
    </row>
    <row r="179" spans="2:33" x14ac:dyDescent="0.25">
      <c r="B179" s="13">
        <f t="shared" si="51"/>
        <v>8.8499999999999908</v>
      </c>
      <c r="C179" s="13">
        <f>B179+Model!$B$4</f>
        <v>10.849999999999991</v>
      </c>
      <c r="D179" s="13">
        <f t="shared" si="52"/>
        <v>1</v>
      </c>
      <c r="E179" s="13">
        <f t="shared" si="55"/>
        <v>10.849999999999991</v>
      </c>
      <c r="F179" s="14">
        <f>IF(AB179&gt;0, VLOOKUP(B179,Model!$A$40:$B$60, 2), 0)</f>
        <v>300</v>
      </c>
      <c r="G179" s="13">
        <f>IF(AB179&gt;0, VLOOKUP(B179,Model!$A$39:$C$58, 3), 0)</f>
        <v>1</v>
      </c>
      <c r="H179" s="13">
        <f t="shared" si="38"/>
        <v>97</v>
      </c>
      <c r="I179" s="46">
        <f>Model!$B$21*EXP((-0.029*9.81*F179)/(8.31*(273+J179)))</f>
        <v>100357.4491247143</v>
      </c>
      <c r="J179" s="13">
        <f>IF(Model!$B$31="Summer",  IF(F179&lt;=2000,  Model!$B$20-Model!$B$35*F179/1000,  IF(F179&lt;Model!$B$36,  Model!$B$33-6.5*F179/1000,  Model!$B$38)),     IF(F179&lt;=2000,  Model!$B$20-Model!$B$35*F179/1000,  IF(F179&lt;Model!$B$36,  Model!$B$33-5.4*F179/1000,   Model!$B$38)))</f>
        <v>-19.088750000000001</v>
      </c>
      <c r="K179" s="13">
        <f t="shared" si="39"/>
        <v>253.91125</v>
      </c>
      <c r="L179" s="46">
        <f>IF(AB178-AA178*(B179-B178)&gt;0, L178-Y178*(B179-B178)*3600-AD179*Model!$B$16, 0)</f>
        <v>1251.7423967570858</v>
      </c>
      <c r="M179" s="57">
        <f t="shared" si="40"/>
        <v>56.801213079680394</v>
      </c>
      <c r="N179" s="57">
        <f>Model!$B$13*I179*K179/(Model!$B$13*I179-L179*287*K179)</f>
        <v>329.80121307968039</v>
      </c>
      <c r="O179" s="57">
        <f t="shared" si="41"/>
        <v>291.85623153984022</v>
      </c>
      <c r="P179" s="57">
        <f t="shared" si="42"/>
        <v>24.315513833230572</v>
      </c>
      <c r="Q179" s="63">
        <f t="shared" si="43"/>
        <v>2.5338792439328656E-2</v>
      </c>
      <c r="R179" s="17">
        <f t="shared" si="44"/>
        <v>1.5561048080143381E-5</v>
      </c>
      <c r="S179" s="46">
        <f>0.37*Model!$B$10*(Q179^2*(N179-K179)*I179/(R179*O179^2))^0.33333*(N179-K179)</f>
        <v>524280.91298721463</v>
      </c>
      <c r="T179" s="51">
        <f>Model!$B$32+(90-Model!$B$6)*SIN(RADIANS(-15*(E179+6)))</f>
        <v>26.554962995017185</v>
      </c>
      <c r="U179" s="46">
        <f t="shared" si="45"/>
        <v>26.554962995017185</v>
      </c>
      <c r="V179" s="51">
        <f t="shared" si="46"/>
        <v>2.2368557074511886</v>
      </c>
      <c r="W179" s="46">
        <f t="shared" si="47"/>
        <v>821.05270860601934</v>
      </c>
      <c r="X179" s="46">
        <f>0.3*W179*Model!$B$9</f>
        <v>74374.766536440191</v>
      </c>
      <c r="Y179" s="17">
        <f>(S179-X179)/Model!$B$11</f>
        <v>9.6515316196669407E-3</v>
      </c>
      <c r="Z179" s="46">
        <f t="shared" si="48"/>
        <v>14.186052685510207</v>
      </c>
      <c r="AA179" s="57">
        <f>Y179/Model!$B$12*3600</f>
        <v>62.489121587700161</v>
      </c>
      <c r="AB179" s="51">
        <f t="shared" si="53"/>
        <v>918.56013085218228</v>
      </c>
      <c r="AC179" s="51">
        <f t="shared" si="54"/>
        <v>881.43986914781772</v>
      </c>
      <c r="AD179" s="13">
        <f>IF(AE179=0, Model!$B$19, 0 )</f>
        <v>0</v>
      </c>
      <c r="AE179" s="51">
        <f>IF(AE178+AB178-AB179&lt;Model!$B$19*Model!$B$18, AE178+AB178-AB179,  0)</f>
        <v>427.95194395493104</v>
      </c>
      <c r="AF179" s="13">
        <f t="shared" si="49"/>
        <v>8.8499999999999908</v>
      </c>
      <c r="AG179" s="50">
        <f t="shared" si="50"/>
        <v>0</v>
      </c>
    </row>
    <row r="180" spans="2:33" x14ac:dyDescent="0.25">
      <c r="B180" s="15">
        <f t="shared" si="51"/>
        <v>8.8999999999999915</v>
      </c>
      <c r="C180" s="15">
        <f>B180+Model!$B$4</f>
        <v>10.899999999999991</v>
      </c>
      <c r="D180" s="15">
        <f t="shared" si="52"/>
        <v>1</v>
      </c>
      <c r="E180" s="15">
        <f t="shared" si="55"/>
        <v>10.899999999999991</v>
      </c>
      <c r="F180" s="16">
        <f>IF(AB180&gt;0, VLOOKUP(B180,Model!$A$40:$B$60, 2), 0)</f>
        <v>300</v>
      </c>
      <c r="G180" s="15">
        <f>IF(AB180&gt;0, VLOOKUP(B180,Model!$A$39:$C$58, 3), 0)</f>
        <v>1</v>
      </c>
      <c r="H180" s="15">
        <f t="shared" si="38"/>
        <v>97</v>
      </c>
      <c r="I180" s="45">
        <f>Model!$B$21*EXP((-0.029*9.81*F180)/(8.31*(273+J180)))</f>
        <v>100357.4491247143</v>
      </c>
      <c r="J180" s="15">
        <f>IF(Model!$B$31="Summer",  IF(F180&lt;=2000,  Model!$B$20-Model!$B$35*F180/1000,  IF(F180&lt;Model!$B$36,  Model!$B$33-6.5*F180/1000,  Model!$B$38)),     IF(F180&lt;=2000,  Model!$B$20-Model!$B$35*F180/1000,  IF(F180&lt;Model!$B$36,  Model!$B$33-5.4*F180/1000,   Model!$B$38)))</f>
        <v>-19.088750000000001</v>
      </c>
      <c r="K180" s="15">
        <f t="shared" si="39"/>
        <v>253.91125</v>
      </c>
      <c r="L180" s="45">
        <f>IF(AB179-AA179*(B180-B179)&gt;0, L179-Y179*(B180-B179)*3600-AD180*Model!$B$16, 0)</f>
        <v>1250.0051210655456</v>
      </c>
      <c r="M180" s="56">
        <f t="shared" si="40"/>
        <v>56.664462771934552</v>
      </c>
      <c r="N180" s="56">
        <f>Model!$B$13*I180*K180/(Model!$B$13*I180-L180*287*K180)</f>
        <v>329.66446277193455</v>
      </c>
      <c r="O180" s="56">
        <f t="shared" si="41"/>
        <v>291.7878563859673</v>
      </c>
      <c r="P180" s="56">
        <f t="shared" si="42"/>
        <v>24.261541110007403</v>
      </c>
      <c r="Q180" s="62">
        <f t="shared" si="43"/>
        <v>2.5333937803403678E-2</v>
      </c>
      <c r="R180" s="33">
        <f t="shared" si="44"/>
        <v>1.5553937064140599E-5</v>
      </c>
      <c r="S180" s="45">
        <f>0.37*Model!$B$10*(Q180^2*(N180-K180)*I180/(R180*O180^2))^0.33333*(N180-K180)</f>
        <v>523116.23642211861</v>
      </c>
      <c r="T180" s="50">
        <f>Model!$B$32+(90-Model!$B$6)*SIN(RADIANS(-15*(E180+6)))</f>
        <v>26.687955659402412</v>
      </c>
      <c r="U180" s="45">
        <f t="shared" si="45"/>
        <v>26.687955659402412</v>
      </c>
      <c r="V180" s="50">
        <f t="shared" si="46"/>
        <v>2.2265209412022879</v>
      </c>
      <c r="W180" s="45">
        <f t="shared" si="47"/>
        <v>823.10715328464994</v>
      </c>
      <c r="X180" s="45">
        <f>0.3*W180*Model!$B$9</f>
        <v>74560.867674325244</v>
      </c>
      <c r="Y180" s="33">
        <f>(S180-X180)/Model!$B$11</f>
        <v>9.6225543011432668E-3</v>
      </c>
      <c r="Z180" s="45">
        <f t="shared" si="48"/>
        <v>14.253212284957597</v>
      </c>
      <c r="AA180" s="56">
        <f>Y180/Model!$B$12*3600</f>
        <v>62.301507097910637</v>
      </c>
      <c r="AB180" s="50">
        <f t="shared" si="53"/>
        <v>915.43567477279726</v>
      </c>
      <c r="AC180" s="50">
        <f t="shared" si="54"/>
        <v>884.56432522720274</v>
      </c>
      <c r="AD180" s="15">
        <f>IF(AE180=0, Model!$B$19, 0 )</f>
        <v>0</v>
      </c>
      <c r="AE180" s="50">
        <f>IF(AE179+AB179-AB180&lt;Model!$B$19*Model!$B$18, AE179+AB179-AB180,  0)</f>
        <v>431.07640003431607</v>
      </c>
      <c r="AF180" s="15">
        <f t="shared" si="49"/>
        <v>8.8999999999999915</v>
      </c>
      <c r="AG180" s="50">
        <f t="shared" si="50"/>
        <v>0</v>
      </c>
    </row>
    <row r="181" spans="2:33" x14ac:dyDescent="0.25">
      <c r="B181" s="13">
        <f t="shared" si="51"/>
        <v>8.9499999999999922</v>
      </c>
      <c r="C181" s="13">
        <f>B181+Model!$B$4</f>
        <v>10.949999999999992</v>
      </c>
      <c r="D181" s="13">
        <f t="shared" si="52"/>
        <v>1</v>
      </c>
      <c r="E181" s="13">
        <f t="shared" si="55"/>
        <v>10.949999999999992</v>
      </c>
      <c r="F181" s="14">
        <f>IF(AB181&gt;0, VLOOKUP(B181,Model!$A$40:$B$60, 2), 0)</f>
        <v>300</v>
      </c>
      <c r="G181" s="13">
        <f>IF(AB181&gt;0, VLOOKUP(B181,Model!$A$39:$C$58, 3), 0)</f>
        <v>1</v>
      </c>
      <c r="H181" s="13">
        <f t="shared" si="38"/>
        <v>97</v>
      </c>
      <c r="I181" s="46">
        <f>Model!$B$21*EXP((-0.029*9.81*F181)/(8.31*(273+J181)))</f>
        <v>100357.4491247143</v>
      </c>
      <c r="J181" s="13">
        <f>IF(Model!$B$31="Summer",  IF(F181&lt;=2000,  Model!$B$20-Model!$B$35*F181/1000,  IF(F181&lt;Model!$B$36,  Model!$B$33-6.5*F181/1000,  Model!$B$38)),     IF(F181&lt;=2000,  Model!$B$20-Model!$B$35*F181/1000,  IF(F181&lt;Model!$B$36,  Model!$B$33-5.4*F181/1000,   Model!$B$38)))</f>
        <v>-19.088750000000001</v>
      </c>
      <c r="K181" s="13">
        <f t="shared" si="39"/>
        <v>253.91125</v>
      </c>
      <c r="L181" s="46">
        <f>IF(AB180-AA180*(B181-B180)&gt;0, L180-Y180*(B181-B180)*3600-AD181*Model!$B$16, 0)</f>
        <v>1248.2730612913399</v>
      </c>
      <c r="M181" s="57">
        <f t="shared" si="40"/>
        <v>56.528235885778486</v>
      </c>
      <c r="N181" s="57">
        <f>Model!$B$13*I181*K181/(Model!$B$13*I181-L181*287*K181)</f>
        <v>329.52823588577849</v>
      </c>
      <c r="O181" s="57">
        <f t="shared" si="41"/>
        <v>291.71974294288924</v>
      </c>
      <c r="P181" s="57">
        <f t="shared" si="42"/>
        <v>24.207123964786906</v>
      </c>
      <c r="Q181" s="63">
        <f t="shared" si="43"/>
        <v>2.5329101748945138E-2</v>
      </c>
      <c r="R181" s="17">
        <f t="shared" si="44"/>
        <v>1.5546853266060479E-5</v>
      </c>
      <c r="S181" s="46">
        <f>0.37*Model!$B$10*(Q181^2*(N181-K181)*I181/(R181*O181^2))^0.33333*(N181-K181)</f>
        <v>521956.37775465508</v>
      </c>
      <c r="T181" s="51">
        <f>Model!$B$32+(90-Model!$B$6)*SIN(RADIANS(-15*(E181+6)))</f>
        <v>26.815198214893314</v>
      </c>
      <c r="U181" s="46">
        <f t="shared" si="45"/>
        <v>26.815198214893314</v>
      </c>
      <c r="V181" s="51">
        <f t="shared" si="46"/>
        <v>2.2167331419610581</v>
      </c>
      <c r="W181" s="46">
        <f t="shared" si="47"/>
        <v>825.05760635684999</v>
      </c>
      <c r="X181" s="46">
        <f>0.3*W181*Model!$B$9</f>
        <v>74737.548769661313</v>
      </c>
      <c r="Y181" s="17">
        <f>(S181-X181)/Model!$B$11</f>
        <v>9.5938824195000265E-3</v>
      </c>
      <c r="Z181" s="46">
        <f t="shared" si="48"/>
        <v>14.318734659621612</v>
      </c>
      <c r="AA181" s="57">
        <f>Y181/Model!$B$12*3600</f>
        <v>62.115870168068156</v>
      </c>
      <c r="AB181" s="51">
        <f t="shared" si="53"/>
        <v>912.32059941790169</v>
      </c>
      <c r="AC181" s="51">
        <f t="shared" si="54"/>
        <v>887.67940058209831</v>
      </c>
      <c r="AD181" s="13">
        <f>IF(AE181=0, Model!$B$19, 0 )</f>
        <v>0</v>
      </c>
      <c r="AE181" s="51">
        <f>IF(AE180+AB180-AB181&lt;Model!$B$19*Model!$B$18, AE180+AB180-AB181,  0)</f>
        <v>434.19147538921163</v>
      </c>
      <c r="AF181" s="13">
        <f t="shared" si="49"/>
        <v>8.9499999999999922</v>
      </c>
      <c r="AG181" s="50">
        <f t="shared" si="50"/>
        <v>0</v>
      </c>
    </row>
    <row r="182" spans="2:33" x14ac:dyDescent="0.25">
      <c r="B182" s="15">
        <f t="shared" si="51"/>
        <v>8.9999999999999929</v>
      </c>
      <c r="C182" s="15">
        <f>B182+Model!$B$4</f>
        <v>10.999999999999993</v>
      </c>
      <c r="D182" s="15">
        <f t="shared" si="52"/>
        <v>1</v>
      </c>
      <c r="E182" s="15">
        <f t="shared" si="55"/>
        <v>10.999999999999993</v>
      </c>
      <c r="F182" s="16">
        <f>IF(AB182&gt;0, VLOOKUP(B182,Model!$A$40:$B$60, 2), 0)</f>
        <v>300</v>
      </c>
      <c r="G182" s="15">
        <f>IF(AB182&gt;0, VLOOKUP(B182,Model!$A$39:$C$58, 3), 0)</f>
        <v>1</v>
      </c>
      <c r="H182" s="15">
        <f t="shared" si="38"/>
        <v>97</v>
      </c>
      <c r="I182" s="45">
        <f>Model!$B$21*EXP((-0.029*9.81*F182)/(8.31*(273+J182)))</f>
        <v>100357.4491247143</v>
      </c>
      <c r="J182" s="15">
        <f>IF(Model!$B$31="Summer",  IF(F182&lt;=2000,  Model!$B$20-Model!$B$35*F182/1000,  IF(F182&lt;Model!$B$36,  Model!$B$33-6.5*F182/1000,  Model!$B$38)),     IF(F182&lt;=2000,  Model!$B$20-Model!$B$35*F182/1000,  IF(F182&lt;Model!$B$36,  Model!$B$33-5.4*F182/1000,   Model!$B$38)))</f>
        <v>-19.088750000000001</v>
      </c>
      <c r="K182" s="15">
        <f t="shared" si="39"/>
        <v>253.91125</v>
      </c>
      <c r="L182" s="45">
        <f>IF(AB181-AA181*(B182-B181)&gt;0, L181-Y181*(B182-B181)*3600-AD182*Model!$B$16, 0)</f>
        <v>1246.54616245583</v>
      </c>
      <c r="M182" s="56">
        <f t="shared" si="40"/>
        <v>56.39252694551368</v>
      </c>
      <c r="N182" s="56">
        <f>Model!$B$13*I182*K182/(Model!$B$13*I182-L182*287*K182)</f>
        <v>329.39252694551368</v>
      </c>
      <c r="O182" s="56">
        <f t="shared" si="41"/>
        <v>291.65188847275681</v>
      </c>
      <c r="P182" s="56">
        <f t="shared" si="42"/>
        <v>24.152272515135838</v>
      </c>
      <c r="Q182" s="62">
        <f t="shared" si="43"/>
        <v>2.5324284081565736E-2</v>
      </c>
      <c r="R182" s="33">
        <f t="shared" si="44"/>
        <v>1.5539796401166709E-5</v>
      </c>
      <c r="S182" s="45">
        <f>0.37*Model!$B$10*(Q182^2*(N182-K182)*I182/(R182*O182^2))^0.33333*(N182-K182)</f>
        <v>520801.28718299174</v>
      </c>
      <c r="T182" s="50">
        <f>Model!$B$32+(90-Model!$B$6)*SIN(RADIANS(-15*(E182+6)))</f>
        <v>26.93666885913305</v>
      </c>
      <c r="U182" s="45">
        <f t="shared" si="45"/>
        <v>26.93666885913305</v>
      </c>
      <c r="V182" s="50">
        <f t="shared" si="46"/>
        <v>2.2074793984316687</v>
      </c>
      <c r="W182" s="45">
        <f t="shared" si="47"/>
        <v>826.9058865340387</v>
      </c>
      <c r="X182" s="45">
        <f>0.3*W182*Model!$B$9</f>
        <v>74904.974569773127</v>
      </c>
      <c r="Y182" s="33">
        <f>(S182-X182)/Model!$B$11</f>
        <v>9.5655113721595762E-3</v>
      </c>
      <c r="Z182" s="45">
        <f t="shared" si="48"/>
        <v>14.382640061228205</v>
      </c>
      <c r="AA182" s="56">
        <f>Y182/Model!$B$12*3600</f>
        <v>61.932180998650196</v>
      </c>
      <c r="AB182" s="50">
        <f t="shared" si="53"/>
        <v>909.21480590949818</v>
      </c>
      <c r="AC182" s="50">
        <f t="shared" si="54"/>
        <v>890.78519409050182</v>
      </c>
      <c r="AD182" s="15">
        <f>IF(AE182=0, Model!$B$19, 0 )</f>
        <v>0</v>
      </c>
      <c r="AE182" s="50">
        <f>IF(AE181+AB181-AB182&lt;Model!$B$19*Model!$B$18, AE181+AB181-AB182,  0)</f>
        <v>437.29726889761514</v>
      </c>
      <c r="AF182" s="15">
        <f t="shared" si="49"/>
        <v>8.9999999999999929</v>
      </c>
      <c r="AG182" s="50">
        <f t="shared" si="50"/>
        <v>0</v>
      </c>
    </row>
    <row r="183" spans="2:33" x14ac:dyDescent="0.25">
      <c r="B183" s="13">
        <f t="shared" si="51"/>
        <v>9.0499999999999936</v>
      </c>
      <c r="C183" s="13">
        <f>B183+Model!$B$4</f>
        <v>11.049999999999994</v>
      </c>
      <c r="D183" s="13">
        <f t="shared" si="52"/>
        <v>1</v>
      </c>
      <c r="E183" s="13">
        <f t="shared" si="55"/>
        <v>11.049999999999994</v>
      </c>
      <c r="F183" s="14">
        <f>IF(AB183&gt;0, VLOOKUP(B183,Model!$A$40:$B$60, 2), 0)</f>
        <v>300</v>
      </c>
      <c r="G183" s="13">
        <f>IF(AB183&gt;0, VLOOKUP(B183,Model!$A$39:$C$58, 3), 0)</f>
        <v>1</v>
      </c>
      <c r="H183" s="13">
        <f t="shared" si="38"/>
        <v>97</v>
      </c>
      <c r="I183" s="46">
        <f>Model!$B$21*EXP((-0.029*9.81*F183)/(8.31*(273+J183)))</f>
        <v>100357.4491247143</v>
      </c>
      <c r="J183" s="13">
        <f>IF(Model!$B$31="Summer",  IF(F183&lt;=2000,  Model!$B$20-Model!$B$35*F183/1000,  IF(F183&lt;Model!$B$36,  Model!$B$33-6.5*F183/1000,  Model!$B$38)),     IF(F183&lt;=2000,  Model!$B$20-Model!$B$35*F183/1000,  IF(F183&lt;Model!$B$36,  Model!$B$33-5.4*F183/1000,   Model!$B$38)))</f>
        <v>-19.088750000000001</v>
      </c>
      <c r="K183" s="13">
        <f t="shared" si="39"/>
        <v>253.91125</v>
      </c>
      <c r="L183" s="46">
        <f>IF(AB182-AA182*(B183-B182)&gt;0, L182-Y182*(B183-B182)*3600-AD183*Model!$B$16, 0)</f>
        <v>1244.8243704088413</v>
      </c>
      <c r="M183" s="57">
        <f t="shared" si="40"/>
        <v>56.257330560447599</v>
      </c>
      <c r="N183" s="57">
        <f>Model!$B$13*I183*K183/(Model!$B$13*I183-L183*287*K183)</f>
        <v>329.2573305604476</v>
      </c>
      <c r="O183" s="57">
        <f t="shared" si="41"/>
        <v>291.5842902802238</v>
      </c>
      <c r="P183" s="57">
        <f t="shared" si="42"/>
        <v>24.096996190450721</v>
      </c>
      <c r="Q183" s="63">
        <f t="shared" si="43"/>
        <v>2.531948460989589E-2</v>
      </c>
      <c r="R183" s="17">
        <f t="shared" si="44"/>
        <v>1.5532766189143272E-5</v>
      </c>
      <c r="S183" s="46">
        <f>0.37*Model!$B$10*(Q183^2*(N183-K183)*I183/(R183*O183^2))^0.33333*(N183-K183)</f>
        <v>519650.91568376438</v>
      </c>
      <c r="T183" s="51">
        <f>Model!$B$32+(90-Model!$B$6)*SIN(RADIANS(-15*(E183+6)))</f>
        <v>27.052346778752067</v>
      </c>
      <c r="U183" s="46">
        <f t="shared" si="45"/>
        <v>27.052346778752067</v>
      </c>
      <c r="V183" s="51">
        <f t="shared" si="46"/>
        <v>2.1987476362002094</v>
      </c>
      <c r="W183" s="46">
        <f t="shared" si="47"/>
        <v>828.6537064710692</v>
      </c>
      <c r="X183" s="46">
        <f>0.3*W183*Model!$B$9</f>
        <v>75063.300214889241</v>
      </c>
      <c r="Y183" s="17">
        <f>(S183-X183)/Model!$B$11</f>
        <v>9.5374367793387357E-3</v>
      </c>
      <c r="Z183" s="46">
        <f t="shared" si="48"/>
        <v>14.444947165371554</v>
      </c>
      <c r="AA183" s="57">
        <f>Y183/Model!$B$12*3600</f>
        <v>61.750411232623442</v>
      </c>
      <c r="AB183" s="51">
        <f t="shared" si="53"/>
        <v>906.11819685956561</v>
      </c>
      <c r="AC183" s="51">
        <f t="shared" si="54"/>
        <v>893.88180314043439</v>
      </c>
      <c r="AD183" s="13">
        <f>IF(AE183=0, Model!$B$19, 0 )</f>
        <v>0</v>
      </c>
      <c r="AE183" s="51">
        <f>IF(AE182+AB182-AB183&lt;Model!$B$19*Model!$B$18, AE182+AB182-AB183,  0)</f>
        <v>440.39387794754771</v>
      </c>
      <c r="AF183" s="13">
        <f t="shared" si="49"/>
        <v>9.0499999999999936</v>
      </c>
      <c r="AG183" s="50">
        <f t="shared" si="50"/>
        <v>0</v>
      </c>
    </row>
    <row r="184" spans="2:33" x14ac:dyDescent="0.25">
      <c r="B184" s="15">
        <f t="shared" si="51"/>
        <v>9.0999999999999943</v>
      </c>
      <c r="C184" s="15">
        <f>B184+Model!$B$4</f>
        <v>11.099999999999994</v>
      </c>
      <c r="D184" s="15">
        <f t="shared" si="52"/>
        <v>1</v>
      </c>
      <c r="E184" s="15">
        <f t="shared" si="55"/>
        <v>11.099999999999994</v>
      </c>
      <c r="F184" s="16">
        <f>IF(AB184&gt;0, VLOOKUP(B184,Model!$A$40:$B$60, 2), 0)</f>
        <v>300</v>
      </c>
      <c r="G184" s="15">
        <f>IF(AB184&gt;0, VLOOKUP(B184,Model!$A$39:$C$58, 3), 0)</f>
        <v>1</v>
      </c>
      <c r="H184" s="15">
        <f t="shared" si="38"/>
        <v>97</v>
      </c>
      <c r="I184" s="45">
        <f>Model!$B$21*EXP((-0.029*9.81*F184)/(8.31*(273+J184)))</f>
        <v>100357.4491247143</v>
      </c>
      <c r="J184" s="15">
        <f>IF(Model!$B$31="Summer",  IF(F184&lt;=2000,  Model!$B$20-Model!$B$35*F184/1000,  IF(F184&lt;Model!$B$36,  Model!$B$33-6.5*F184/1000,  Model!$B$38)),     IF(F184&lt;=2000,  Model!$B$20-Model!$B$35*F184/1000,  IF(F184&lt;Model!$B$36,  Model!$B$33-5.4*F184/1000,   Model!$B$38)))</f>
        <v>-19.088750000000001</v>
      </c>
      <c r="K184" s="15">
        <f t="shared" si="39"/>
        <v>253.91125</v>
      </c>
      <c r="L184" s="45">
        <f>IF(AB183-AA183*(B184-B183)&gt;0, L183-Y183*(B184-B183)*3600-AD184*Model!$B$16, 0)</f>
        <v>1243.1076317885604</v>
      </c>
      <c r="M184" s="56">
        <f t="shared" si="40"/>
        <v>56.122641421307549</v>
      </c>
      <c r="N184" s="56">
        <f>Model!$B$13*I184*K184/(Model!$B$13*I184-L184*287*K184)</f>
        <v>329.12264142130755</v>
      </c>
      <c r="O184" s="56">
        <f t="shared" si="41"/>
        <v>291.51694571065377</v>
      </c>
      <c r="P184" s="56">
        <f t="shared" si="42"/>
        <v>24.041303753794232</v>
      </c>
      <c r="Q184" s="62">
        <f t="shared" si="43"/>
        <v>2.5314703145456419E-2</v>
      </c>
      <c r="R184" s="33">
        <f t="shared" si="44"/>
        <v>1.5525762353907989E-5</v>
      </c>
      <c r="S184" s="45">
        <f>0.37*Model!$B$10*(Q184^2*(N184-K184)*I184/(R184*O184^2))^0.33333*(N184-K184)</f>
        <v>518505.21498038055</v>
      </c>
      <c r="T184" s="50">
        <f>Model!$B$32+(90-Model!$B$6)*SIN(RADIANS(-15*(E184+6)))</f>
        <v>27.162212152934337</v>
      </c>
      <c r="U184" s="45">
        <f t="shared" si="45"/>
        <v>27.162212152934337</v>
      </c>
      <c r="V184" s="50">
        <f t="shared" si="46"/>
        <v>2.1905265793839774</v>
      </c>
      <c r="W184" s="45">
        <f t="shared" si="47"/>
        <v>830.30267607669032</v>
      </c>
      <c r="X184" s="45">
        <f>0.3*W184*Model!$B$9</f>
        <v>75212.671538019014</v>
      </c>
      <c r="Y184" s="33">
        <f>(S184-X184)/Model!$B$11</f>
        <v>9.5096544769357836E-3</v>
      </c>
      <c r="Z184" s="45">
        <f t="shared" si="48"/>
        <v>14.505673108970552</v>
      </c>
      <c r="AA184" s="56">
        <f>Y184/Model!$B$12*3600</f>
        <v>61.570533909390441</v>
      </c>
      <c r="AB184" s="50">
        <f t="shared" si="53"/>
        <v>903.03067629793441</v>
      </c>
      <c r="AC184" s="50">
        <f t="shared" si="54"/>
        <v>896.96932370206559</v>
      </c>
      <c r="AD184" s="15">
        <f>IF(AE184=0, Model!$B$19, 0 )</f>
        <v>0</v>
      </c>
      <c r="AE184" s="50">
        <f>IF(AE183+AB183-AB184&lt;Model!$B$19*Model!$B$18, AE183+AB183-AB184,  0)</f>
        <v>443.48139850917892</v>
      </c>
      <c r="AF184" s="15">
        <f t="shared" si="49"/>
        <v>9.0999999999999943</v>
      </c>
      <c r="AG184" s="50">
        <f t="shared" si="50"/>
        <v>0</v>
      </c>
    </row>
    <row r="185" spans="2:33" x14ac:dyDescent="0.25">
      <c r="B185" s="13">
        <f t="shared" si="51"/>
        <v>9.149999999999995</v>
      </c>
      <c r="C185" s="13">
        <f>B185+Model!$B$4</f>
        <v>11.149999999999995</v>
      </c>
      <c r="D185" s="13">
        <f t="shared" si="52"/>
        <v>1</v>
      </c>
      <c r="E185" s="13">
        <f t="shared" si="55"/>
        <v>11.149999999999995</v>
      </c>
      <c r="F185" s="14">
        <f>IF(AB185&gt;0, VLOOKUP(B185,Model!$A$40:$B$60, 2), 0)</f>
        <v>300</v>
      </c>
      <c r="G185" s="13">
        <f>IF(AB185&gt;0, VLOOKUP(B185,Model!$A$39:$C$58, 3), 0)</f>
        <v>1</v>
      </c>
      <c r="H185" s="13">
        <f t="shared" si="38"/>
        <v>97</v>
      </c>
      <c r="I185" s="46">
        <f>Model!$B$21*EXP((-0.029*9.81*F185)/(8.31*(273+J185)))</f>
        <v>100357.4491247143</v>
      </c>
      <c r="J185" s="13">
        <f>IF(Model!$B$31="Summer",  IF(F185&lt;=2000,  Model!$B$20-Model!$B$35*F185/1000,  IF(F185&lt;Model!$B$36,  Model!$B$33-6.5*F185/1000,  Model!$B$38)),     IF(F185&lt;=2000,  Model!$B$20-Model!$B$35*F185/1000,  IF(F185&lt;Model!$B$36,  Model!$B$33-5.4*F185/1000,   Model!$B$38)))</f>
        <v>-19.088750000000001</v>
      </c>
      <c r="K185" s="13">
        <f t="shared" si="39"/>
        <v>253.91125</v>
      </c>
      <c r="L185" s="46">
        <f>IF(AB184-AA184*(B185-B184)&gt;0, L184-Y184*(B185-B184)*3600-AD185*Model!$B$16, 0)</f>
        <v>1241.3958939827119</v>
      </c>
      <c r="M185" s="57">
        <f t="shared" si="40"/>
        <v>55.988454296775615</v>
      </c>
      <c r="N185" s="57">
        <f>Model!$B$13*I185*K185/(Model!$B$13*I185-L185*287*K185)</f>
        <v>328.98845429677561</v>
      </c>
      <c r="O185" s="57">
        <f t="shared" si="41"/>
        <v>291.44985214838778</v>
      </c>
      <c r="P185" s="57">
        <f t="shared" si="42"/>
        <v>23.985203322232408</v>
      </c>
      <c r="Q185" s="63">
        <f t="shared" si="43"/>
        <v>2.5309939502535534E-2</v>
      </c>
      <c r="R185" s="17">
        <f t="shared" si="44"/>
        <v>1.5518784623432327E-5</v>
      </c>
      <c r="S185" s="46">
        <f>0.37*Model!$B$10*(Q185^2*(N185-K185)*I185/(R185*O185^2))^0.33333*(N185-K185)</f>
        <v>517364.13751241344</v>
      </c>
      <c r="T185" s="51">
        <f>Model!$B$32+(90-Model!$B$6)*SIN(RADIANS(-15*(E185+6)))</f>
        <v>27.266246156813608</v>
      </c>
      <c r="U185" s="46">
        <f t="shared" si="45"/>
        <v>27.266246156813608</v>
      </c>
      <c r="V185" s="51">
        <f t="shared" si="46"/>
        <v>2.1828057153637421</v>
      </c>
      <c r="W185" s="46">
        <f t="shared" si="47"/>
        <v>831.85430560082614</v>
      </c>
      <c r="X185" s="46">
        <f>0.3*W185*Model!$B$9</f>
        <v>75353.225344612714</v>
      </c>
      <c r="Y185" s="17">
        <f>(S185-X185)/Model!$B$11</f>
        <v>9.4821605098745192E-3</v>
      </c>
      <c r="Z185" s="46">
        <f t="shared" si="48"/>
        <v>14.564833524589771</v>
      </c>
      <c r="AA185" s="57">
        <f>Y185/Model!$B$12*3600</f>
        <v>61.39252342169555</v>
      </c>
      <c r="AB185" s="51">
        <f t="shared" si="53"/>
        <v>899.95214960246483</v>
      </c>
      <c r="AC185" s="51">
        <f t="shared" si="54"/>
        <v>900.04785039753517</v>
      </c>
      <c r="AD185" s="13">
        <f>IF(AE185=0, Model!$B$19, 0 )</f>
        <v>0</v>
      </c>
      <c r="AE185" s="51">
        <f>IF(AE184+AB184-AB185&lt;Model!$B$19*Model!$B$18, AE184+AB184-AB185,  0)</f>
        <v>446.55992520464849</v>
      </c>
      <c r="AF185" s="13">
        <f t="shared" si="49"/>
        <v>9.149999999999995</v>
      </c>
      <c r="AG185" s="50">
        <f t="shared" si="50"/>
        <v>0</v>
      </c>
    </row>
    <row r="186" spans="2:33" x14ac:dyDescent="0.25">
      <c r="B186" s="15">
        <f t="shared" si="51"/>
        <v>9.1999999999999957</v>
      </c>
      <c r="C186" s="15">
        <f>B186+Model!$B$4</f>
        <v>11.199999999999996</v>
      </c>
      <c r="D186" s="15">
        <f t="shared" si="52"/>
        <v>1</v>
      </c>
      <c r="E186" s="15">
        <f t="shared" si="55"/>
        <v>11.199999999999996</v>
      </c>
      <c r="F186" s="16">
        <f>IF(AB186&gt;0, VLOOKUP(B186,Model!$A$40:$B$60, 2), 0)</f>
        <v>300</v>
      </c>
      <c r="G186" s="15">
        <f>IF(AB186&gt;0, VLOOKUP(B186,Model!$A$39:$C$58, 3), 0)</f>
        <v>1</v>
      </c>
      <c r="H186" s="15">
        <f t="shared" si="38"/>
        <v>97</v>
      </c>
      <c r="I186" s="45">
        <f>Model!$B$21*EXP((-0.029*9.81*F186)/(8.31*(273+J186)))</f>
        <v>100357.4491247143</v>
      </c>
      <c r="J186" s="15">
        <f>IF(Model!$B$31="Summer",  IF(F186&lt;=2000,  Model!$B$20-Model!$B$35*F186/1000,  IF(F186&lt;Model!$B$36,  Model!$B$33-6.5*F186/1000,  Model!$B$38)),     IF(F186&lt;=2000,  Model!$B$20-Model!$B$35*F186/1000,  IF(F186&lt;Model!$B$36,  Model!$B$33-5.4*F186/1000,   Model!$B$38)))</f>
        <v>-19.088750000000001</v>
      </c>
      <c r="K186" s="15">
        <f t="shared" si="39"/>
        <v>253.91125</v>
      </c>
      <c r="L186" s="45">
        <f>IF(AB185-AA185*(B186-B185)&gt;0, L185-Y185*(B186-B185)*3600-AD186*Model!$B$16, 0)</f>
        <v>1239.6891050909344</v>
      </c>
      <c r="M186" s="56">
        <f t="shared" si="40"/>
        <v>55.854764030137517</v>
      </c>
      <c r="N186" s="56">
        <f>Model!$B$13*I186*K186/(Model!$B$13*I186-L186*287*K186)</f>
        <v>328.85476403013752</v>
      </c>
      <c r="O186" s="56">
        <f t="shared" si="41"/>
        <v>291.38300701506876</v>
      </c>
      <c r="P186" s="56">
        <f t="shared" si="42"/>
        <v>23.92870238574093</v>
      </c>
      <c r="Q186" s="62">
        <f t="shared" si="43"/>
        <v>2.5305193498069881E-2</v>
      </c>
      <c r="R186" s="33">
        <f t="shared" si="44"/>
        <v>1.551183272956715E-5</v>
      </c>
      <c r="S186" s="45">
        <f>0.37*Model!$B$10*(Q186^2*(N186-K186)*I186/(R186*O186^2))^0.33333*(N186-K186)</f>
        <v>516227.63640602404</v>
      </c>
      <c r="T186" s="50">
        <f>Model!$B$32+(90-Model!$B$6)*SIN(RADIANS(-15*(E186+6)))</f>
        <v>27.364430964698862</v>
      </c>
      <c r="U186" s="45">
        <f t="shared" si="45"/>
        <v>27.364430964698862</v>
      </c>
      <c r="V186" s="50">
        <f t="shared" si="46"/>
        <v>2.175575262382345</v>
      </c>
      <c r="W186" s="45">
        <f t="shared" si="47"/>
        <v>833.31000850869259</v>
      </c>
      <c r="X186" s="45">
        <f>0.3*W186*Model!$B$9</f>
        <v>75485.089672912422</v>
      </c>
      <c r="Y186" s="33">
        <f>(S186-X186)/Model!$B$11</f>
        <v>9.4549511258846218E-3</v>
      </c>
      <c r="Z186" s="45">
        <f t="shared" si="48"/>
        <v>14.622442571738215</v>
      </c>
      <c r="AA186" s="56">
        <f>Y186/Model!$B$12*3600</f>
        <v>61.21635547535567</v>
      </c>
      <c r="AB186" s="50">
        <f t="shared" si="53"/>
        <v>896.88252343138004</v>
      </c>
      <c r="AC186" s="50">
        <f t="shared" si="54"/>
        <v>903.11747656861996</v>
      </c>
      <c r="AD186" s="15">
        <f>IF(AE186=0, Model!$B$19, 0 )</f>
        <v>0</v>
      </c>
      <c r="AE186" s="50">
        <f>IF(AE185+AB185-AB186&lt;Model!$B$19*Model!$B$18, AE185+AB185-AB186,  0)</f>
        <v>449.62955137573329</v>
      </c>
      <c r="AF186" s="15">
        <f t="shared" si="49"/>
        <v>9.1999999999999957</v>
      </c>
      <c r="AG186" s="50">
        <f t="shared" si="50"/>
        <v>0</v>
      </c>
    </row>
    <row r="187" spans="2:33" x14ac:dyDescent="0.25">
      <c r="B187" s="13">
        <f t="shared" si="51"/>
        <v>9.2499999999999964</v>
      </c>
      <c r="C187" s="13">
        <f>B187+Model!$B$4</f>
        <v>11.249999999999996</v>
      </c>
      <c r="D187" s="13">
        <f t="shared" si="52"/>
        <v>1</v>
      </c>
      <c r="E187" s="13">
        <f t="shared" si="55"/>
        <v>11.249999999999996</v>
      </c>
      <c r="F187" s="14">
        <f>IF(AB187&gt;0, VLOOKUP(B187,Model!$A$40:$B$60, 2), 0)</f>
        <v>300</v>
      </c>
      <c r="G187" s="13">
        <f>IF(AB187&gt;0, VLOOKUP(B187,Model!$A$39:$C$58, 3), 0)</f>
        <v>1</v>
      </c>
      <c r="H187" s="13">
        <f t="shared" si="38"/>
        <v>97</v>
      </c>
      <c r="I187" s="46">
        <f>Model!$B$21*EXP((-0.029*9.81*F187)/(8.31*(273+J187)))</f>
        <v>100357.4491247143</v>
      </c>
      <c r="J187" s="13">
        <f>IF(Model!$B$31="Summer",  IF(F187&lt;=2000,  Model!$B$20-Model!$B$35*F187/1000,  IF(F187&lt;Model!$B$36,  Model!$B$33-6.5*F187/1000,  Model!$B$38)),     IF(F187&lt;=2000,  Model!$B$20-Model!$B$35*F187/1000,  IF(F187&lt;Model!$B$36,  Model!$B$33-5.4*F187/1000,   Model!$B$38)))</f>
        <v>-19.088750000000001</v>
      </c>
      <c r="K187" s="13">
        <f t="shared" si="39"/>
        <v>253.91125</v>
      </c>
      <c r="L187" s="46">
        <f>IF(AB186-AA186*(B187-B186)&gt;0, L186-Y186*(B187-B186)*3600-AD187*Model!$B$16, 0)</f>
        <v>1127.9872138882752</v>
      </c>
      <c r="M187" s="57">
        <f t="shared" si="40"/>
        <v>47.33544566948018</v>
      </c>
      <c r="N187" s="57">
        <f>Model!$B$13*I187*K187/(Model!$B$13*I187-L187*287*K187)</f>
        <v>320.33544566948018</v>
      </c>
      <c r="O187" s="57">
        <f t="shared" si="41"/>
        <v>287.12334783474012</v>
      </c>
      <c r="P187" s="57">
        <f t="shared" si="42"/>
        <v>19.678747891464706</v>
      </c>
      <c r="Q187" s="63">
        <f t="shared" si="43"/>
        <v>2.5002757696266548E-2</v>
      </c>
      <c r="R187" s="17">
        <f t="shared" si="44"/>
        <v>1.5068828174812971E-5</v>
      </c>
      <c r="S187" s="46">
        <f>0.37*Model!$B$10*(Q187^2*(N187-K187)*I187/(R187*O187^2))^0.33333*(N187-K187)</f>
        <v>444571.44311133871</v>
      </c>
      <c r="T187" s="51">
        <f>Model!$B$32+(90-Model!$B$6)*SIN(RADIANS(-15*(E187+6)))</f>
        <v>27.456749753128733</v>
      </c>
      <c r="U187" s="46">
        <f t="shared" si="45"/>
        <v>27.456749753128733</v>
      </c>
      <c r="V187" s="51">
        <f t="shared" si="46"/>
        <v>2.1688261398139321</v>
      </c>
      <c r="W187" s="46">
        <f t="shared" si="47"/>
        <v>834.67110415106617</v>
      </c>
      <c r="X187" s="46">
        <f>0.3*W187*Model!$B$9</f>
        <v>75608.384035837269</v>
      </c>
      <c r="Y187" s="17">
        <f>(S187-X187)/Model!$B$11</f>
        <v>7.9151144283063704E-3</v>
      </c>
      <c r="Z187" s="46">
        <f t="shared" si="48"/>
        <v>17.00702670119589</v>
      </c>
      <c r="AA187" s="57">
        <f>Y187/Model!$B$12*3600</f>
        <v>51.246638086242406</v>
      </c>
      <c r="AB187" s="51">
        <f t="shared" si="53"/>
        <v>893.82170565761226</v>
      </c>
      <c r="AC187" s="51">
        <f t="shared" si="54"/>
        <v>906.17829434238774</v>
      </c>
      <c r="AD187" s="13">
        <f>IF(AE187=0, Model!$B$19, 0 )</f>
        <v>10</v>
      </c>
      <c r="AE187" s="51">
        <f>IF(AE186+AB186-AB187&lt;Model!$B$19*Model!$B$18, AE186+AB186-AB187,  0)</f>
        <v>0</v>
      </c>
      <c r="AF187" s="13">
        <f t="shared" si="49"/>
        <v>9.2499999999999964</v>
      </c>
      <c r="AG187" s="50">
        <f t="shared" si="50"/>
        <v>0</v>
      </c>
    </row>
    <row r="188" spans="2:33" x14ac:dyDescent="0.25">
      <c r="B188" s="15">
        <f t="shared" si="51"/>
        <v>9.2999999999999972</v>
      </c>
      <c r="C188" s="15">
        <f>B188+Model!$B$4</f>
        <v>11.299999999999997</v>
      </c>
      <c r="D188" s="15">
        <f t="shared" si="52"/>
        <v>1</v>
      </c>
      <c r="E188" s="15">
        <f t="shared" si="55"/>
        <v>11.299999999999997</v>
      </c>
      <c r="F188" s="16">
        <f>IF(AB188&gt;0, VLOOKUP(B188,Model!$A$40:$B$60, 2), 0)</f>
        <v>300</v>
      </c>
      <c r="G188" s="15">
        <f>IF(AB188&gt;0, VLOOKUP(B188,Model!$A$39:$C$58, 3), 0)</f>
        <v>1</v>
      </c>
      <c r="H188" s="15">
        <f t="shared" si="38"/>
        <v>97</v>
      </c>
      <c r="I188" s="45">
        <f>Model!$B$21*EXP((-0.029*9.81*F188)/(8.31*(273+J188)))</f>
        <v>100357.4491247143</v>
      </c>
      <c r="J188" s="15">
        <f>IF(Model!$B$31="Summer",  IF(F188&lt;=2000,  Model!$B$20-Model!$B$35*F188/1000,  IF(F188&lt;Model!$B$36,  Model!$B$33-6.5*F188/1000,  Model!$B$38)),     IF(F188&lt;=2000,  Model!$B$20-Model!$B$35*F188/1000,  IF(F188&lt;Model!$B$36,  Model!$B$33-5.4*F188/1000,   Model!$B$38)))</f>
        <v>-19.088750000000001</v>
      </c>
      <c r="K188" s="15">
        <f t="shared" si="39"/>
        <v>253.91125</v>
      </c>
      <c r="L188" s="45">
        <f>IF(AB187-AA187*(B188-B187)&gt;0, L187-Y187*(B188-B187)*3600-AD188*Model!$B$16, 0)</f>
        <v>1126.5624932911801</v>
      </c>
      <c r="M188" s="56">
        <f t="shared" si="40"/>
        <v>47.22963452629233</v>
      </c>
      <c r="N188" s="56">
        <f>Model!$B$13*I188*K188/(Model!$B$13*I188-L188*287*K188)</f>
        <v>320.22963452629233</v>
      </c>
      <c r="O188" s="56">
        <f t="shared" si="41"/>
        <v>287.07044226314616</v>
      </c>
      <c r="P188" s="56">
        <f t="shared" si="42"/>
        <v>19.634916290819938</v>
      </c>
      <c r="Q188" s="62">
        <f t="shared" si="43"/>
        <v>2.4999001400683379E-2</v>
      </c>
      <c r="R188" s="33">
        <f t="shared" si="44"/>
        <v>1.50633259953672E-5</v>
      </c>
      <c r="S188" s="45">
        <f>0.37*Model!$B$10*(Q188^2*(N188-K188)*I188/(R188*O188^2))^0.33333*(N188-K188)</f>
        <v>443691.52320583432</v>
      </c>
      <c r="T188" s="50">
        <f>Model!$B$32+(90-Model!$B$6)*SIN(RADIANS(-15*(E188+6)))</f>
        <v>27.543186703754081</v>
      </c>
      <c r="U188" s="45">
        <f t="shared" si="45"/>
        <v>27.543186703754081</v>
      </c>
      <c r="V188" s="50">
        <f t="shared" si="46"/>
        <v>2.1625499409272622</v>
      </c>
      <c r="W188" s="45">
        <f t="shared" si="47"/>
        <v>835.938820239336</v>
      </c>
      <c r="X188" s="45">
        <f>0.3*W188*Model!$B$9</f>
        <v>75723.219645185221</v>
      </c>
      <c r="Y188" s="33">
        <f>(S188-X188)/Model!$B$11</f>
        <v>7.893774612477724E-3</v>
      </c>
      <c r="Z188" s="45">
        <f t="shared" si="48"/>
        <v>17.066636544700501</v>
      </c>
      <c r="AA188" s="56">
        <f>Y188/Model!$B$12*3600</f>
        <v>51.108472829314884</v>
      </c>
      <c r="AB188" s="50">
        <f t="shared" si="53"/>
        <v>891.25937375330011</v>
      </c>
      <c r="AC188" s="50">
        <f t="shared" si="54"/>
        <v>908.74062624669989</v>
      </c>
      <c r="AD188" s="15">
        <f>IF(AE188=0, Model!$B$19, 0 )</f>
        <v>0</v>
      </c>
      <c r="AE188" s="50">
        <f>IF(AE187+AB187-AB188&lt;Model!$B$19*Model!$B$18, AE187+AB187-AB188,  0)</f>
        <v>2.5623319043121455</v>
      </c>
      <c r="AF188" s="15">
        <f t="shared" si="49"/>
        <v>9.2999999999999972</v>
      </c>
      <c r="AG188" s="50">
        <f t="shared" si="50"/>
        <v>0</v>
      </c>
    </row>
    <row r="189" spans="2:33" x14ac:dyDescent="0.25">
      <c r="B189" s="13">
        <f t="shared" si="51"/>
        <v>9.3499999999999979</v>
      </c>
      <c r="C189" s="13">
        <f>B189+Model!$B$4</f>
        <v>11.349999999999998</v>
      </c>
      <c r="D189" s="13">
        <f t="shared" si="52"/>
        <v>1</v>
      </c>
      <c r="E189" s="13">
        <f t="shared" si="55"/>
        <v>11.349999999999998</v>
      </c>
      <c r="F189" s="14">
        <f>IF(AB189&gt;0, VLOOKUP(B189,Model!$A$40:$B$60, 2), 0)</f>
        <v>300</v>
      </c>
      <c r="G189" s="13">
        <f>IF(AB189&gt;0, VLOOKUP(B189,Model!$A$39:$C$58, 3), 0)</f>
        <v>1</v>
      </c>
      <c r="H189" s="13">
        <f t="shared" si="38"/>
        <v>97</v>
      </c>
      <c r="I189" s="46">
        <f>Model!$B$21*EXP((-0.029*9.81*F189)/(8.31*(273+J189)))</f>
        <v>100357.4491247143</v>
      </c>
      <c r="J189" s="13">
        <f>IF(Model!$B$31="Summer",  IF(F189&lt;=2000,  Model!$B$20-Model!$B$35*F189/1000,  IF(F189&lt;Model!$B$36,  Model!$B$33-6.5*F189/1000,  Model!$B$38)),     IF(F189&lt;=2000,  Model!$B$20-Model!$B$35*F189/1000,  IF(F189&lt;Model!$B$36,  Model!$B$33-5.4*F189/1000,   Model!$B$38)))</f>
        <v>-19.088750000000001</v>
      </c>
      <c r="K189" s="13">
        <f t="shared" si="39"/>
        <v>253.91125</v>
      </c>
      <c r="L189" s="46">
        <f>IF(AB188-AA188*(B189-B188)&gt;0, L188-Y188*(B189-B188)*3600-AD189*Model!$B$16, 0)</f>
        <v>1125.1416138609341</v>
      </c>
      <c r="M189" s="57">
        <f t="shared" si="40"/>
        <v>47.124178255215497</v>
      </c>
      <c r="N189" s="57">
        <f>Model!$B$13*I189*K189/(Model!$B$13*I189-L189*287*K189)</f>
        <v>320.1241782552155</v>
      </c>
      <c r="O189" s="57">
        <f t="shared" si="41"/>
        <v>287.01771412760775</v>
      </c>
      <c r="P189" s="57">
        <f t="shared" si="42"/>
        <v>19.590639595869987</v>
      </c>
      <c r="Q189" s="63">
        <f t="shared" si="43"/>
        <v>2.4995257703060152E-2</v>
      </c>
      <c r="R189" s="17">
        <f t="shared" si="44"/>
        <v>1.5057842269271205E-5</v>
      </c>
      <c r="S189" s="46">
        <f>0.37*Model!$B$10*(Q189^2*(N189-K189)*I189/(R189*O189^2))^0.33333*(N189-K189)</f>
        <v>442814.81474314188</v>
      </c>
      <c r="T189" s="51">
        <f>Model!$B$32+(90-Model!$B$6)*SIN(RADIANS(-15*(E189+6)))</f>
        <v>27.623727006048391</v>
      </c>
      <c r="U189" s="46">
        <f t="shared" si="45"/>
        <v>27.623727006048391</v>
      </c>
      <c r="V189" s="51">
        <f t="shared" si="46"/>
        <v>2.1567389079838262</v>
      </c>
      <c r="W189" s="46">
        <f t="shared" si="47"/>
        <v>837.1142951333178</v>
      </c>
      <c r="X189" s="46">
        <f>0.3*W189*Model!$B$9</f>
        <v>75829.699618873841</v>
      </c>
      <c r="Y189" s="17">
        <f>(S189-X189)/Model!$B$11</f>
        <v>7.8726829373435177E-3</v>
      </c>
      <c r="Z189" s="46">
        <f t="shared" si="48"/>
        <v>17.12447214821831</v>
      </c>
      <c r="AA189" s="57">
        <f>Y189/Model!$B$12*3600</f>
        <v>50.97191416651529</v>
      </c>
      <c r="AB189" s="51">
        <f t="shared" si="53"/>
        <v>888.70395011183427</v>
      </c>
      <c r="AC189" s="51">
        <f t="shared" si="54"/>
        <v>911.29604988816573</v>
      </c>
      <c r="AD189" s="13">
        <f>IF(AE189=0, Model!$B$19, 0 )</f>
        <v>0</v>
      </c>
      <c r="AE189" s="51">
        <f>IF(AE188+AB188-AB189&lt;Model!$B$19*Model!$B$18, AE188+AB188-AB189,  0)</f>
        <v>5.1177555457779818</v>
      </c>
      <c r="AF189" s="13">
        <f t="shared" si="49"/>
        <v>9.3499999999999979</v>
      </c>
      <c r="AG189" s="50">
        <f t="shared" si="50"/>
        <v>0</v>
      </c>
    </row>
    <row r="190" spans="2:33" x14ac:dyDescent="0.25">
      <c r="B190" s="15">
        <f t="shared" si="51"/>
        <v>9.3999999999999986</v>
      </c>
      <c r="C190" s="15">
        <f>B190+Model!$B$4</f>
        <v>11.399999999999999</v>
      </c>
      <c r="D190" s="15">
        <f t="shared" si="52"/>
        <v>1</v>
      </c>
      <c r="E190" s="15">
        <f t="shared" si="55"/>
        <v>11.399999999999999</v>
      </c>
      <c r="F190" s="16">
        <f>IF(AB190&gt;0, VLOOKUP(B190,Model!$A$40:$B$60, 2), 0)</f>
        <v>300</v>
      </c>
      <c r="G190" s="15">
        <f>IF(AB190&gt;0, VLOOKUP(B190,Model!$A$39:$C$58, 3), 0)</f>
        <v>1</v>
      </c>
      <c r="H190" s="15">
        <f t="shared" si="38"/>
        <v>97</v>
      </c>
      <c r="I190" s="45">
        <f>Model!$B$21*EXP((-0.029*9.81*F190)/(8.31*(273+J190)))</f>
        <v>100357.4491247143</v>
      </c>
      <c r="J190" s="15">
        <f>IF(Model!$B$31="Summer",  IF(F190&lt;=2000,  Model!$B$20-Model!$B$35*F190/1000,  IF(F190&lt;Model!$B$36,  Model!$B$33-6.5*F190/1000,  Model!$B$38)),     IF(F190&lt;=2000,  Model!$B$20-Model!$B$35*F190/1000,  IF(F190&lt;Model!$B$36,  Model!$B$33-5.4*F190/1000,   Model!$B$38)))</f>
        <v>-19.088750000000001</v>
      </c>
      <c r="K190" s="15">
        <f t="shared" si="39"/>
        <v>253.91125</v>
      </c>
      <c r="L190" s="45">
        <f>IF(AB189-AA189*(B190-B189)&gt;0, L189-Y189*(B190-B189)*3600-AD190*Model!$B$16, 0)</f>
        <v>1123.7245309322122</v>
      </c>
      <c r="M190" s="56">
        <f t="shared" si="40"/>
        <v>47.019072912464139</v>
      </c>
      <c r="N190" s="56">
        <f>Model!$B$13*I190*K190/(Model!$B$13*I190-L190*287*K190)</f>
        <v>320.01907291246414</v>
      </c>
      <c r="O190" s="56">
        <f t="shared" si="41"/>
        <v>286.96516145623207</v>
      </c>
      <c r="P190" s="56">
        <f t="shared" si="42"/>
        <v>19.545923423787521</v>
      </c>
      <c r="Q190" s="62">
        <f t="shared" si="43"/>
        <v>2.4991526463392477E-2</v>
      </c>
      <c r="R190" s="33">
        <f t="shared" si="44"/>
        <v>1.5052376791448134E-5</v>
      </c>
      <c r="S190" s="45">
        <f>0.37*Model!$B$10*(Q190^2*(N190-K190)*I190/(R190*O190^2))^0.33333*(N190-K190)</f>
        <v>441941.28289209737</v>
      </c>
      <c r="T190" s="50">
        <f>Model!$B$32+(90-Model!$B$6)*SIN(RADIANS(-15*(E190+6)))</f>
        <v>27.698356859845497</v>
      </c>
      <c r="U190" s="45">
        <f t="shared" si="45"/>
        <v>27.698356859845497</v>
      </c>
      <c r="V190" s="50">
        <f t="shared" si="46"/>
        <v>2.1513859095273498</v>
      </c>
      <c r="W190" s="45">
        <f t="shared" si="47"/>
        <v>838.19857994918732</v>
      </c>
      <c r="X190" s="45">
        <f>0.3*W190*Model!$B$9</f>
        <v>75927.919171886737</v>
      </c>
      <c r="Y190" s="33">
        <f>(S190-X190)/Model!$B$11</f>
        <v>7.8518366131118868E-3</v>
      </c>
      <c r="Z190" s="45">
        <f t="shared" si="48"/>
        <v>17.180544590676991</v>
      </c>
      <c r="AA190" s="56">
        <f>Y190/Model!$B$12*3600</f>
        <v>50.836944035255236</v>
      </c>
      <c r="AB190" s="50">
        <f t="shared" si="53"/>
        <v>886.15535440350845</v>
      </c>
      <c r="AC190" s="50">
        <f t="shared" si="54"/>
        <v>913.84464559649155</v>
      </c>
      <c r="AD190" s="15">
        <f>IF(AE190=0, Model!$B$19, 0 )</f>
        <v>0</v>
      </c>
      <c r="AE190" s="50">
        <f>IF(AE189+AB189-AB190&lt;Model!$B$19*Model!$B$18, AE189+AB189-AB190,  0)</f>
        <v>7.6663512541038017</v>
      </c>
      <c r="AF190" s="15">
        <f t="shared" si="49"/>
        <v>9.3999999999999986</v>
      </c>
      <c r="AG190" s="50">
        <f t="shared" si="50"/>
        <v>0</v>
      </c>
    </row>
    <row r="191" spans="2:33" x14ac:dyDescent="0.25">
      <c r="B191" s="13">
        <f t="shared" si="51"/>
        <v>9.4499999999999993</v>
      </c>
      <c r="C191" s="13">
        <f>B191+Model!$B$4</f>
        <v>11.45</v>
      </c>
      <c r="D191" s="13">
        <f t="shared" si="52"/>
        <v>1</v>
      </c>
      <c r="E191" s="13">
        <f t="shared" si="55"/>
        <v>11.45</v>
      </c>
      <c r="F191" s="14">
        <f>IF(AB191&gt;0, VLOOKUP(B191,Model!$A$40:$B$60, 2), 0)</f>
        <v>300</v>
      </c>
      <c r="G191" s="13">
        <f>IF(AB191&gt;0, VLOOKUP(B191,Model!$A$39:$C$58, 3), 0)</f>
        <v>1</v>
      </c>
      <c r="H191" s="13">
        <f t="shared" si="38"/>
        <v>97</v>
      </c>
      <c r="I191" s="46">
        <f>Model!$B$21*EXP((-0.029*9.81*F191)/(8.31*(273+J191)))</f>
        <v>100357.4491247143</v>
      </c>
      <c r="J191" s="13">
        <f>IF(Model!$B$31="Summer",  IF(F191&lt;=2000,  Model!$B$20-Model!$B$35*F191/1000,  IF(F191&lt;Model!$B$36,  Model!$B$33-6.5*F191/1000,  Model!$B$38)),     IF(F191&lt;=2000,  Model!$B$20-Model!$B$35*F191/1000,  IF(F191&lt;Model!$B$36,  Model!$B$33-5.4*F191/1000,   Model!$B$38)))</f>
        <v>-19.088750000000001</v>
      </c>
      <c r="K191" s="13">
        <f t="shared" si="39"/>
        <v>253.91125</v>
      </c>
      <c r="L191" s="46">
        <f>IF(AB190-AA190*(B191-B190)&gt;0, L190-Y190*(B191-B190)*3600-AD191*Model!$B$16, 0)</f>
        <v>1122.3112003418521</v>
      </c>
      <c r="M191" s="57">
        <f t="shared" si="40"/>
        <v>46.914314602854517</v>
      </c>
      <c r="N191" s="57">
        <f>Model!$B$13*I191*K191/(Model!$B$13*I191-L191*287*K191)</f>
        <v>319.91431460285452</v>
      </c>
      <c r="O191" s="57">
        <f t="shared" si="41"/>
        <v>286.91278230142723</v>
      </c>
      <c r="P191" s="57">
        <f t="shared" si="42"/>
        <v>19.500772834421841</v>
      </c>
      <c r="Q191" s="63">
        <f t="shared" si="43"/>
        <v>2.4987807543401335E-2</v>
      </c>
      <c r="R191" s="17">
        <f t="shared" si="44"/>
        <v>1.504692935934843E-5</v>
      </c>
      <c r="S191" s="46">
        <f>0.37*Model!$B$10*(Q191^2*(N191-K191)*I191/(R191*O191^2))^0.33333*(N191-K191)</f>
        <v>441070.89326324756</v>
      </c>
      <c r="T191" s="51">
        <f>Model!$B$32+(90-Model!$B$6)*SIN(RADIANS(-15*(E191+6)))</f>
        <v>27.767063477704134</v>
      </c>
      <c r="U191" s="46">
        <f t="shared" si="45"/>
        <v>27.767063477704134</v>
      </c>
      <c r="V191" s="51">
        <f t="shared" si="46"/>
        <v>2.1464844197357165</v>
      </c>
      <c r="W191" s="46">
        <f t="shared" si="47"/>
        <v>839.19264049429501</v>
      </c>
      <c r="X191" s="46">
        <f>0.3*W191*Model!$B$9</f>
        <v>76017.965791537979</v>
      </c>
      <c r="Y191" s="17">
        <f>(S191-X191)/Model!$B$11</f>
        <v>7.831233025243153E-3</v>
      </c>
      <c r="Z191" s="46">
        <f t="shared" si="48"/>
        <v>17.234863363828367</v>
      </c>
      <c r="AA191" s="57">
        <f>Y191/Model!$B$12*3600</f>
        <v>50.703545507621691</v>
      </c>
      <c r="AB191" s="51">
        <f t="shared" si="53"/>
        <v>883.61350720174562</v>
      </c>
      <c r="AC191" s="51">
        <f t="shared" si="54"/>
        <v>916.38649279825438</v>
      </c>
      <c r="AD191" s="13">
        <f>IF(AE191=0, Model!$B$19, 0 )</f>
        <v>0</v>
      </c>
      <c r="AE191" s="51">
        <f>IF(AE190+AB190-AB191&lt;Model!$B$19*Model!$B$18, AE190+AB190-AB191,  0)</f>
        <v>10.208198455866636</v>
      </c>
      <c r="AF191" s="13">
        <f t="shared" si="49"/>
        <v>9.4499999999999993</v>
      </c>
      <c r="AG191" s="50">
        <f t="shared" si="50"/>
        <v>0</v>
      </c>
    </row>
    <row r="192" spans="2:33" x14ac:dyDescent="0.25">
      <c r="B192" s="15">
        <f t="shared" si="51"/>
        <v>9.5</v>
      </c>
      <c r="C192" s="15">
        <f>B192+Model!$B$4</f>
        <v>11.5</v>
      </c>
      <c r="D192" s="15">
        <f t="shared" si="52"/>
        <v>1</v>
      </c>
      <c r="E192" s="15">
        <f t="shared" si="55"/>
        <v>11.5</v>
      </c>
      <c r="F192" s="16">
        <f>IF(AB192&gt;0, VLOOKUP(B192,Model!$A$40:$B$60, 2), 0)</f>
        <v>300</v>
      </c>
      <c r="G192" s="15">
        <f>IF(AB192&gt;0, VLOOKUP(B192,Model!$A$39:$C$58, 3), 0)</f>
        <v>1</v>
      </c>
      <c r="H192" s="15">
        <f t="shared" si="38"/>
        <v>97</v>
      </c>
      <c r="I192" s="45">
        <f>Model!$B$21*EXP((-0.029*9.81*F192)/(8.31*(273+J192)))</f>
        <v>100357.4491247143</v>
      </c>
      <c r="J192" s="15">
        <f>IF(Model!$B$31="Summer",  IF(F192&lt;=2000,  Model!$B$20-Model!$B$35*F192/1000,  IF(F192&lt;Model!$B$36,  Model!$B$33-6.5*F192/1000,  Model!$B$38)),     IF(F192&lt;=2000,  Model!$B$20-Model!$B$35*F192/1000,  IF(F192&lt;Model!$B$36,  Model!$B$33-5.4*F192/1000,   Model!$B$38)))</f>
        <v>-19.088750000000001</v>
      </c>
      <c r="K192" s="15">
        <f t="shared" si="39"/>
        <v>253.91125</v>
      </c>
      <c r="L192" s="45">
        <f>IF(AB191-AA191*(B192-B191)&gt;0, L191-Y191*(B192-B191)*3600-AD192*Model!$B$16, 0)</f>
        <v>1120.9015783973084</v>
      </c>
      <c r="M192" s="56">
        <f t="shared" si="40"/>
        <v>46.809899477257943</v>
      </c>
      <c r="N192" s="56">
        <f>Model!$B$13*I192*K192/(Model!$B$13*I192-L192*287*K192)</f>
        <v>319.80989947725794</v>
      </c>
      <c r="O192" s="56">
        <f t="shared" si="41"/>
        <v>286.860574738629</v>
      </c>
      <c r="P192" s="56">
        <f t="shared" si="42"/>
        <v>19.45519234192427</v>
      </c>
      <c r="Q192" s="62">
        <f t="shared" si="43"/>
        <v>2.4984100806442658E-2</v>
      </c>
      <c r="R192" s="33">
        <f t="shared" si="44"/>
        <v>1.5041499772817415E-5</v>
      </c>
      <c r="S192" s="45">
        <f>0.37*Model!$B$10*(Q192^2*(N192-K192)*I192/(R192*O192^2))^0.33333*(N192-K192)</f>
        <v>440203.61188703717</v>
      </c>
      <c r="T192" s="50">
        <f>Model!$B$32+(90-Model!$B$6)*SIN(RADIANS(-15*(E192+6)))</f>
        <v>27.829835087099042</v>
      </c>
      <c r="U192" s="45">
        <f t="shared" si="45"/>
        <v>27.829835087099042</v>
      </c>
      <c r="V192" s="50">
        <f t="shared" si="46"/>
        <v>2.1420284997195922</v>
      </c>
      <c r="W192" s="45">
        <f t="shared" si="47"/>
        <v>840.09735903504907</v>
      </c>
      <c r="X192" s="45">
        <f>0.3*W192*Model!$B$9</f>
        <v>76099.919397615246</v>
      </c>
      <c r="Y192" s="33">
        <f>(S192-X192)/Model!$B$11</f>
        <v>7.8108697305464322E-3</v>
      </c>
      <c r="Z192" s="45">
        <f t="shared" si="48"/>
        <v>17.287436391399631</v>
      </c>
      <c r="AA192" s="56">
        <f>Y192/Model!$B$12*3600</f>
        <v>50.571702765104369</v>
      </c>
      <c r="AB192" s="50">
        <f t="shared" si="53"/>
        <v>881.07832992636452</v>
      </c>
      <c r="AC192" s="50">
        <f t="shared" si="54"/>
        <v>918.92167007363548</v>
      </c>
      <c r="AD192" s="15">
        <f>IF(AE192=0, Model!$B$19, 0 )</f>
        <v>0</v>
      </c>
      <c r="AE192" s="50">
        <f>IF(AE191+AB191-AB192&lt;Model!$B$19*Model!$B$18, AE191+AB191-AB192,  0)</f>
        <v>12.743375731247738</v>
      </c>
      <c r="AF192" s="15">
        <f t="shared" si="49"/>
        <v>9.5</v>
      </c>
      <c r="AG192" s="50">
        <f t="shared" si="50"/>
        <v>0</v>
      </c>
    </row>
    <row r="193" spans="2:33" x14ac:dyDescent="0.25">
      <c r="B193" s="13">
        <f t="shared" si="51"/>
        <v>9.5500000000000007</v>
      </c>
      <c r="C193" s="13">
        <f>B193+Model!$B$4</f>
        <v>11.55</v>
      </c>
      <c r="D193" s="13">
        <f t="shared" si="52"/>
        <v>1</v>
      </c>
      <c r="E193" s="13">
        <f t="shared" si="55"/>
        <v>11.55</v>
      </c>
      <c r="F193" s="14">
        <f>IF(AB193&gt;0, VLOOKUP(B193,Model!$A$40:$B$60, 2), 0)</f>
        <v>300</v>
      </c>
      <c r="G193" s="13">
        <f>IF(AB193&gt;0, VLOOKUP(B193,Model!$A$39:$C$58, 3), 0)</f>
        <v>1</v>
      </c>
      <c r="H193" s="13">
        <f t="shared" si="38"/>
        <v>97</v>
      </c>
      <c r="I193" s="46">
        <f>Model!$B$21*EXP((-0.029*9.81*F193)/(8.31*(273+J193)))</f>
        <v>100357.4491247143</v>
      </c>
      <c r="J193" s="13">
        <f>IF(Model!$B$31="Summer",  IF(F193&lt;=2000,  Model!$B$20-Model!$B$35*F193/1000,  IF(F193&lt;Model!$B$36,  Model!$B$33-6.5*F193/1000,  Model!$B$38)),     IF(F193&lt;=2000,  Model!$B$20-Model!$B$35*F193/1000,  IF(F193&lt;Model!$B$36,  Model!$B$33-5.4*F193/1000,   Model!$B$38)))</f>
        <v>-19.088750000000001</v>
      </c>
      <c r="K193" s="13">
        <f t="shared" si="39"/>
        <v>253.91125</v>
      </c>
      <c r="L193" s="46">
        <f>IF(AB192-AA192*(B193-B192)&gt;0, L192-Y192*(B193-B192)*3600-AD193*Model!$B$16, 0)</f>
        <v>1119.4956218458101</v>
      </c>
      <c r="M193" s="57">
        <f t="shared" si="40"/>
        <v>46.705823730118311</v>
      </c>
      <c r="N193" s="57">
        <f>Model!$B$13*I193*K193/(Model!$B$13*I193-L193*287*K193)</f>
        <v>319.70582373011831</v>
      </c>
      <c r="O193" s="57">
        <f t="shared" si="41"/>
        <v>286.80853686505918</v>
      </c>
      <c r="P193" s="57">
        <f t="shared" si="42"/>
        <v>19.409185925292817</v>
      </c>
      <c r="Q193" s="63">
        <f t="shared" si="43"/>
        <v>2.4980406117419203E-2</v>
      </c>
      <c r="R193" s="17">
        <f t="shared" si="44"/>
        <v>1.5036087833966154E-5</v>
      </c>
      <c r="S193" s="46">
        <f>0.37*Model!$B$10*(Q193^2*(N193-K193)*I193/(R193*O193^2))^0.33333*(N193-K193)</f>
        <v>439339.40519256564</v>
      </c>
      <c r="T193" s="51">
        <f>Model!$B$32+(90-Model!$B$6)*SIN(RADIANS(-15*(E193+6)))</f>
        <v>27.886660932438097</v>
      </c>
      <c r="U193" s="46">
        <f t="shared" si="45"/>
        <v>27.886660932438097</v>
      </c>
      <c r="V193" s="51">
        <f t="shared" si="46"/>
        <v>2.1380127806642784</v>
      </c>
      <c r="W193" s="46">
        <f t="shared" si="47"/>
        <v>840.91353590350536</v>
      </c>
      <c r="X193" s="46">
        <f>0.3*W193*Model!$B$9</f>
        <v>76173.85248791214</v>
      </c>
      <c r="Y193" s="17">
        <f>(S193-X193)/Model!$B$11</f>
        <v>7.7907444536019195E-3</v>
      </c>
      <c r="Z193" s="46">
        <f t="shared" si="48"/>
        <v>17.338270045347876</v>
      </c>
      <c r="AA193" s="57">
        <f>Y193/Model!$B$12*3600</f>
        <v>50.441401075431699</v>
      </c>
      <c r="AB193" s="51">
        <f t="shared" si="53"/>
        <v>878.54974478810925</v>
      </c>
      <c r="AC193" s="51">
        <f t="shared" si="54"/>
        <v>921.45025521189075</v>
      </c>
      <c r="AD193" s="13">
        <f>IF(AE193=0, Model!$B$19, 0 )</f>
        <v>0</v>
      </c>
      <c r="AE193" s="51">
        <f>IF(AE192+AB192-AB193&lt;Model!$B$19*Model!$B$18, AE192+AB192-AB193,  0)</f>
        <v>15.271960869503005</v>
      </c>
      <c r="AF193" s="13">
        <f t="shared" si="49"/>
        <v>9.5500000000000007</v>
      </c>
      <c r="AG193" s="50">
        <f t="shared" si="50"/>
        <v>0</v>
      </c>
    </row>
    <row r="194" spans="2:33" x14ac:dyDescent="0.25">
      <c r="B194" s="15">
        <f t="shared" si="51"/>
        <v>9.6000000000000014</v>
      </c>
      <c r="C194" s="15">
        <f>B194+Model!$B$4</f>
        <v>11.600000000000001</v>
      </c>
      <c r="D194" s="15">
        <f t="shared" si="52"/>
        <v>1</v>
      </c>
      <c r="E194" s="15">
        <f t="shared" si="55"/>
        <v>11.600000000000001</v>
      </c>
      <c r="F194" s="16">
        <f>IF(AB194&gt;0, VLOOKUP(B194,Model!$A$40:$B$60, 2), 0)</f>
        <v>300</v>
      </c>
      <c r="G194" s="15">
        <f>IF(AB194&gt;0, VLOOKUP(B194,Model!$A$39:$C$58, 3), 0)</f>
        <v>1</v>
      </c>
      <c r="H194" s="15">
        <f t="shared" ref="H194:H257" si="56">IF(B194=1, 0, G194*97)</f>
        <v>97</v>
      </c>
      <c r="I194" s="45">
        <f>Model!$B$21*EXP((-0.029*9.81*F194)/(8.31*(273+J194)))</f>
        <v>100357.4491247143</v>
      </c>
      <c r="J194" s="15">
        <f>IF(Model!$B$31="Summer",  IF(F194&lt;=2000,  Model!$B$20-Model!$B$35*F194/1000,  IF(F194&lt;Model!$B$36,  Model!$B$33-6.5*F194/1000,  Model!$B$38)),     IF(F194&lt;=2000,  Model!$B$20-Model!$B$35*F194/1000,  IF(F194&lt;Model!$B$36,  Model!$B$33-5.4*F194/1000,   Model!$B$38)))</f>
        <v>-19.088750000000001</v>
      </c>
      <c r="K194" s="15">
        <f t="shared" ref="K194:K238" si="57">273+J194</f>
        <v>253.91125</v>
      </c>
      <c r="L194" s="45">
        <f>IF(AB193-AA193*(B194-B193)&gt;0, L193-Y193*(B194-B193)*3600-AD194*Model!$B$16, 0)</f>
        <v>1118.0932878441618</v>
      </c>
      <c r="M194" s="56">
        <f t="shared" ref="M194:M257" si="58">IF(AB194=0, 0, N194-273)</f>
        <v>46.602083597027558</v>
      </c>
      <c r="N194" s="56">
        <f>Model!$B$13*I194*K194/(Model!$B$13*I194-L194*287*K194)</f>
        <v>319.60208359702756</v>
      </c>
      <c r="O194" s="56">
        <f t="shared" ref="O194:O257" si="59">(K194+N194)/2</f>
        <v>286.75666679851378</v>
      </c>
      <c r="P194" s="56">
        <f t="shared" ref="P194:P257" si="60">(J194+M194)/2+W193/150</f>
        <v>19.36275703787048</v>
      </c>
      <c r="Q194" s="62">
        <f t="shared" ref="Q194:Q238" si="61">(O194-273)*7.1*0.00001+0.024</f>
        <v>2.497672334269448E-2</v>
      </c>
      <c r="R194" s="33">
        <f t="shared" ref="R194:R238" si="62">((O194-273)*0.104+13.6)*0.000001</f>
        <v>1.5030693347045432E-5</v>
      </c>
      <c r="S194" s="45">
        <f>0.37*Model!$B$10*(Q194^2*(N194-K194)*I194/(R194*O194^2))^0.33333*(N194-K194)</f>
        <v>438478.23998686601</v>
      </c>
      <c r="T194" s="50">
        <f>Model!$B$32+(90-Model!$B$6)*SIN(RADIANS(-15*(E194+6)))</f>
        <v>27.937531276905247</v>
      </c>
      <c r="U194" s="45">
        <f t="shared" ref="U194:U257" si="63">IF(OR(T194&lt;0, AB194=0),  0, T194)</f>
        <v>27.937531276905247</v>
      </c>
      <c r="V194" s="50">
        <f t="shared" ref="V194:V257" si="64">IF(T194&lt;0,99999,1/SIN(RADIANS(T194)))</f>
        <v>2.1344324487225577</v>
      </c>
      <c r="W194" s="45">
        <f t="shared" ref="W194:W257" si="65">IF(G194=0,0, 1353*((1+F194/7100)*0.7^V194^0.678)+F194/7100)</f>
        <v>841.64189094777805</v>
      </c>
      <c r="X194" s="45">
        <f>0.3*W194*Model!$B$9</f>
        <v>76239.830269613143</v>
      </c>
      <c r="Y194" s="33">
        <f>(S194-X194)/Model!$B$11</f>
        <v>7.7708550834978633E-3</v>
      </c>
      <c r="Z194" s="45">
        <f t="shared" ref="Z194:Z257" si="66">100*X194/S194</f>
        <v>17.387369159276137</v>
      </c>
      <c r="AA194" s="56">
        <f>Y194/Model!$B$12*3600</f>
        <v>50.312626771444279</v>
      </c>
      <c r="AB194" s="50">
        <f t="shared" si="53"/>
        <v>876.02767473433767</v>
      </c>
      <c r="AC194" s="50">
        <f t="shared" si="54"/>
        <v>923.97232526566233</v>
      </c>
      <c r="AD194" s="15">
        <f>IF(AE194=0, Model!$B$19, 0 )</f>
        <v>0</v>
      </c>
      <c r="AE194" s="50">
        <f>IF(AE193+AB193-AB194&lt;Model!$B$19*Model!$B$18, AE193+AB193-AB194,  0)</f>
        <v>17.79403092327459</v>
      </c>
      <c r="AF194" s="15">
        <f t="shared" ref="AF194:AF257" si="67">B194</f>
        <v>9.6000000000000014</v>
      </c>
      <c r="AG194" s="50">
        <f t="shared" ref="AG194:AG257" si="68">IF(OR(P194&gt;0, AB194&lt;=0),0, IF(P194&lt;-2,0.99,ABS(P194/2)))</f>
        <v>0</v>
      </c>
    </row>
    <row r="195" spans="2:33" x14ac:dyDescent="0.25">
      <c r="B195" s="13">
        <f t="shared" ref="B195:B258" si="69">IF(AB194&gt;0, B194+0.05, 1)</f>
        <v>9.6500000000000021</v>
      </c>
      <c r="C195" s="13">
        <f>B195+Model!$B$4</f>
        <v>11.650000000000002</v>
      </c>
      <c r="D195" s="13">
        <f t="shared" ref="D195:D258" si="70">INT(C195/24+1)</f>
        <v>1</v>
      </c>
      <c r="E195" s="13">
        <f t="shared" si="55"/>
        <v>11.650000000000002</v>
      </c>
      <c r="F195" s="14">
        <f>IF(AB195&gt;0, VLOOKUP(B195,Model!$A$40:$B$60, 2), 0)</f>
        <v>300</v>
      </c>
      <c r="G195" s="13">
        <f>IF(AB195&gt;0, VLOOKUP(B195,Model!$A$39:$C$58, 3), 0)</f>
        <v>1</v>
      </c>
      <c r="H195" s="13">
        <f t="shared" si="56"/>
        <v>97</v>
      </c>
      <c r="I195" s="46">
        <f>Model!$B$21*EXP((-0.029*9.81*F195)/(8.31*(273+J195)))</f>
        <v>100357.4491247143</v>
      </c>
      <c r="J195" s="13">
        <f>IF(Model!$B$31="Summer",  IF(F195&lt;=2000,  Model!$B$20-Model!$B$35*F195/1000,  IF(F195&lt;Model!$B$36,  Model!$B$33-6.5*F195/1000,  Model!$B$38)),     IF(F195&lt;=2000,  Model!$B$20-Model!$B$35*F195/1000,  IF(F195&lt;Model!$B$36,  Model!$B$33-5.4*F195/1000,   Model!$B$38)))</f>
        <v>-19.088750000000001</v>
      </c>
      <c r="K195" s="13">
        <f t="shared" si="57"/>
        <v>253.91125</v>
      </c>
      <c r="L195" s="46">
        <f>IF(AB194-AA194*(B195-B194)&gt;0, L194-Y194*(B195-B194)*3600-AD195*Model!$B$16, 0)</f>
        <v>1116.6945339291321</v>
      </c>
      <c r="M195" s="57">
        <f t="shared" si="58"/>
        <v>46.498675352356031</v>
      </c>
      <c r="N195" s="57">
        <f>Model!$B$13*I195*K195/(Model!$B$13*I195-L195*287*K195)</f>
        <v>319.49867535235603</v>
      </c>
      <c r="O195" s="57">
        <f t="shared" si="59"/>
        <v>286.70496267617801</v>
      </c>
      <c r="P195" s="57">
        <f t="shared" si="60"/>
        <v>19.315908615829869</v>
      </c>
      <c r="Q195" s="63">
        <f t="shared" si="61"/>
        <v>2.4973052350008639E-2</v>
      </c>
      <c r="R195" s="17">
        <f t="shared" si="62"/>
        <v>1.5025316118322512E-5</v>
      </c>
      <c r="S195" s="46">
        <f>0.37*Model!$B$10*(Q195^2*(N195-K195)*I195/(R195*O195^2))^0.33333*(N195-K195)</f>
        <v>437620.08343467838</v>
      </c>
      <c r="T195" s="51">
        <f>Model!$B$32+(90-Model!$B$6)*SIN(RADIANS(-15*(E195+6)))</f>
        <v>27.982437404128845</v>
      </c>
      <c r="U195" s="46">
        <f t="shared" si="63"/>
        <v>27.982437404128845</v>
      </c>
      <c r="V195" s="51">
        <f t="shared" si="64"/>
        <v>2.1312832315767936</v>
      </c>
      <c r="W195" s="46">
        <f t="shared" si="65"/>
        <v>842.28306483087226</v>
      </c>
      <c r="X195" s="46">
        <f>0.3*W195*Model!$B$9</f>
        <v>76297.910776947872</v>
      </c>
      <c r="Y195" s="17">
        <f>(S195-X195)/Model!$B$11</f>
        <v>7.7511996708726919E-3</v>
      </c>
      <c r="Z195" s="46">
        <f t="shared" si="66"/>
        <v>17.434737039059254</v>
      </c>
      <c r="AA195" s="57">
        <f>Y195/Model!$B$12*3600</f>
        <v>50.185367231944049</v>
      </c>
      <c r="AB195" s="51">
        <f t="shared" ref="AB195:AB258" si="71">IF(AB194-AA194*(B195-B194)&gt;0, AB194-AA194*(B195-B194), 0)</f>
        <v>873.51204339576543</v>
      </c>
      <c r="AC195" s="51">
        <f t="shared" ref="AC195:AC238" si="72">AC194+AB194-AB195</f>
        <v>926.48795660423457</v>
      </c>
      <c r="AD195" s="13">
        <f>IF(AE195=0, Model!$B$19, 0 )</f>
        <v>0</v>
      </c>
      <c r="AE195" s="51">
        <f>IF(AE194+AB194-AB195&lt;Model!$B$19*Model!$B$18, AE194+AB194-AB195,  0)</f>
        <v>20.309662261846825</v>
      </c>
      <c r="AF195" s="13">
        <f t="shared" si="67"/>
        <v>9.6500000000000021</v>
      </c>
      <c r="AG195" s="50">
        <f t="shared" si="68"/>
        <v>0</v>
      </c>
    </row>
    <row r="196" spans="2:33" x14ac:dyDescent="0.25">
      <c r="B196" s="15">
        <f t="shared" si="69"/>
        <v>9.7000000000000028</v>
      </c>
      <c r="C196" s="15">
        <f>B196+Model!$B$4</f>
        <v>11.700000000000003</v>
      </c>
      <c r="D196" s="15">
        <f t="shared" si="70"/>
        <v>1</v>
      </c>
      <c r="E196" s="15">
        <f t="shared" si="55"/>
        <v>11.700000000000003</v>
      </c>
      <c r="F196" s="16">
        <f>IF(AB196&gt;0, VLOOKUP(B196,Model!$A$40:$B$60, 2), 0)</f>
        <v>300</v>
      </c>
      <c r="G196" s="15">
        <f>IF(AB196&gt;0, VLOOKUP(B196,Model!$A$39:$C$58, 3), 0)</f>
        <v>1</v>
      </c>
      <c r="H196" s="15">
        <f t="shared" si="56"/>
        <v>97</v>
      </c>
      <c r="I196" s="45">
        <f>Model!$B$21*EXP((-0.029*9.81*F196)/(8.31*(273+J196)))</f>
        <v>100357.4491247143</v>
      </c>
      <c r="J196" s="15">
        <f>IF(Model!$B$31="Summer",  IF(F196&lt;=2000,  Model!$B$20-Model!$B$35*F196/1000,  IF(F196&lt;Model!$B$36,  Model!$B$33-6.5*F196/1000,  Model!$B$38)),     IF(F196&lt;=2000,  Model!$B$20-Model!$B$35*F196/1000,  IF(F196&lt;Model!$B$36,  Model!$B$33-5.4*F196/1000,   Model!$B$38)))</f>
        <v>-19.088750000000001</v>
      </c>
      <c r="K196" s="15">
        <f t="shared" si="57"/>
        <v>253.91125</v>
      </c>
      <c r="L196" s="45">
        <f>IF(AB195-AA195*(B196-B195)&gt;0, L195-Y195*(B196-B195)*3600-AD196*Model!$B$16, 0)</f>
        <v>1115.2993179883752</v>
      </c>
      <c r="M196" s="56">
        <f t="shared" si="58"/>
        <v>46.395595306932762</v>
      </c>
      <c r="N196" s="56">
        <f>Model!$B$13*I196*K196/(Model!$B$13*I196-L196*287*K196)</f>
        <v>319.39559530693276</v>
      </c>
      <c r="O196" s="56">
        <f t="shared" si="59"/>
        <v>286.65342265346635</v>
      </c>
      <c r="P196" s="56">
        <f t="shared" si="60"/>
        <v>19.268643085672196</v>
      </c>
      <c r="Q196" s="62">
        <f t="shared" si="61"/>
        <v>2.496939300839611E-2</v>
      </c>
      <c r="R196" s="33">
        <f t="shared" si="62"/>
        <v>1.5019955955960499E-5</v>
      </c>
      <c r="S196" s="45">
        <f>0.37*Model!$B$10*(Q196^2*(N196-K196)*I196/(R196*O196^2))^0.33333*(N196-K196)</f>
        <v>436764.9030386727</v>
      </c>
      <c r="T196" s="50">
        <f>Model!$B$32+(90-Model!$B$6)*SIN(RADIANS(-15*(E196+6)))</f>
        <v>28.021371619675158</v>
      </c>
      <c r="U196" s="45">
        <f t="shared" si="63"/>
        <v>28.021371619675158</v>
      </c>
      <c r="V196" s="50">
        <f t="shared" si="64"/>
        <v>2.1285613865982591</v>
      </c>
      <c r="W196" s="45">
        <f t="shared" si="65"/>
        <v>842.83762018205312</v>
      </c>
      <c r="X196" s="45">
        <f>0.3*W196*Model!$B$9</f>
        <v>76348.144975487492</v>
      </c>
      <c r="Y196" s="33">
        <f>(S196-X196)/Model!$B$11</f>
        <v>7.7317764252533561E-3</v>
      </c>
      <c r="Z196" s="45">
        <f t="shared" si="66"/>
        <v>17.480375470720311</v>
      </c>
      <c r="AA196" s="56">
        <f>Y196/Model!$B$12*3600</f>
        <v>50.059610864461277</v>
      </c>
      <c r="AB196" s="50">
        <f t="shared" si="71"/>
        <v>871.00277503416817</v>
      </c>
      <c r="AC196" s="50">
        <f t="shared" si="72"/>
        <v>928.99722496583183</v>
      </c>
      <c r="AD196" s="15">
        <f>IF(AE196=0, Model!$B$19, 0 )</f>
        <v>0</v>
      </c>
      <c r="AE196" s="50">
        <f>IF(AE195+AB195-AB196&lt;Model!$B$19*Model!$B$18, AE195+AB195-AB196,  0)</f>
        <v>22.818930623444089</v>
      </c>
      <c r="AF196" s="15">
        <f t="shared" si="67"/>
        <v>9.7000000000000028</v>
      </c>
      <c r="AG196" s="50">
        <f t="shared" si="68"/>
        <v>0</v>
      </c>
    </row>
    <row r="197" spans="2:33" x14ac:dyDescent="0.25">
      <c r="B197" s="13">
        <f t="shared" si="69"/>
        <v>9.7500000000000036</v>
      </c>
      <c r="C197" s="13">
        <f>B197+Model!$B$4</f>
        <v>11.750000000000004</v>
      </c>
      <c r="D197" s="13">
        <f t="shared" si="70"/>
        <v>1</v>
      </c>
      <c r="E197" s="13">
        <f t="shared" si="55"/>
        <v>11.750000000000004</v>
      </c>
      <c r="F197" s="14">
        <f>IF(AB197&gt;0, VLOOKUP(B197,Model!$A$40:$B$60, 2), 0)</f>
        <v>300</v>
      </c>
      <c r="G197" s="13">
        <f>IF(AB197&gt;0, VLOOKUP(B197,Model!$A$39:$C$58, 3), 0)</f>
        <v>1</v>
      </c>
      <c r="H197" s="13">
        <f t="shared" si="56"/>
        <v>97</v>
      </c>
      <c r="I197" s="46">
        <f>Model!$B$21*EXP((-0.029*9.81*F197)/(8.31*(273+J197)))</f>
        <v>100357.4491247143</v>
      </c>
      <c r="J197" s="13">
        <f>IF(Model!$B$31="Summer",  IF(F197&lt;=2000,  Model!$B$20-Model!$B$35*F197/1000,  IF(F197&lt;Model!$B$36,  Model!$B$33-6.5*F197/1000,  Model!$B$38)),     IF(F197&lt;=2000,  Model!$B$20-Model!$B$35*F197/1000,  IF(F197&lt;Model!$B$36,  Model!$B$33-5.4*F197/1000,   Model!$B$38)))</f>
        <v>-19.088750000000001</v>
      </c>
      <c r="K197" s="13">
        <f t="shared" si="57"/>
        <v>253.91125</v>
      </c>
      <c r="L197" s="46">
        <f>IF(AB196-AA196*(B197-B196)&gt;0, L196-Y196*(B197-B196)*3600-AD197*Model!$B$16, 0)</f>
        <v>1113.9075982318295</v>
      </c>
      <c r="M197" s="57">
        <f t="shared" si="58"/>
        <v>46.292839805770541</v>
      </c>
      <c r="N197" s="57">
        <f>Model!$B$13*I197*K197/(Model!$B$13*I197-L197*287*K197)</f>
        <v>319.29283980577054</v>
      </c>
      <c r="O197" s="57">
        <f t="shared" si="59"/>
        <v>286.60204490288527</v>
      </c>
      <c r="P197" s="57">
        <f t="shared" si="60"/>
        <v>19.220962370765623</v>
      </c>
      <c r="Q197" s="63">
        <f t="shared" si="61"/>
        <v>2.4965745188104856E-2</v>
      </c>
      <c r="R197" s="17">
        <f t="shared" si="62"/>
        <v>1.5014612669900067E-5</v>
      </c>
      <c r="S197" s="46">
        <f>0.37*Model!$B$10*(Q197^2*(N197-K197)*I197/(R197*O197^2))^0.33333*(N197-K197)</f>
        <v>435912.66662008199</v>
      </c>
      <c r="T197" s="51">
        <f>Model!$B$32+(90-Model!$B$6)*SIN(RADIANS(-15*(E197+6)))</f>
        <v>28.054327252366804</v>
      </c>
      <c r="U197" s="46">
        <f t="shared" si="63"/>
        <v>28.054327252366804</v>
      </c>
      <c r="V197" s="51">
        <f t="shared" si="64"/>
        <v>2.1262636905408141</v>
      </c>
      <c r="W197" s="46">
        <f t="shared" si="65"/>
        <v>843.30604260438599</v>
      </c>
      <c r="X197" s="46">
        <f>0.3*W197*Model!$B$9</f>
        <v>76390.576853412349</v>
      </c>
      <c r="Y197" s="17">
        <f>(S197-X197)/Model!$B$11</f>
        <v>7.7125837126819623E-3</v>
      </c>
      <c r="Z197" s="46">
        <f t="shared" si="66"/>
        <v>17.524284725589371</v>
      </c>
      <c r="AA197" s="57">
        <f>Y197/Model!$B$12*3600</f>
        <v>49.935347089888161</v>
      </c>
      <c r="AB197" s="51">
        <f t="shared" si="71"/>
        <v>868.49979449094508</v>
      </c>
      <c r="AC197" s="51">
        <f t="shared" si="72"/>
        <v>931.50020550905492</v>
      </c>
      <c r="AD197" s="13">
        <f>IF(AE197=0, Model!$B$19, 0 )</f>
        <v>0</v>
      </c>
      <c r="AE197" s="51">
        <f>IF(AE196+AB196-AB197&lt;Model!$B$19*Model!$B$18, AE196+AB196-AB197,  0)</f>
        <v>25.321911166667178</v>
      </c>
      <c r="AF197" s="13">
        <f t="shared" si="67"/>
        <v>9.7500000000000036</v>
      </c>
      <c r="AG197" s="50">
        <f t="shared" si="68"/>
        <v>0</v>
      </c>
    </row>
    <row r="198" spans="2:33" x14ac:dyDescent="0.25">
      <c r="B198" s="15">
        <f t="shared" si="69"/>
        <v>9.8000000000000043</v>
      </c>
      <c r="C198" s="15">
        <f>B198+Model!$B$4</f>
        <v>11.800000000000004</v>
      </c>
      <c r="D198" s="15">
        <f t="shared" si="70"/>
        <v>1</v>
      </c>
      <c r="E198" s="15">
        <f t="shared" si="55"/>
        <v>11.800000000000004</v>
      </c>
      <c r="F198" s="16">
        <f>IF(AB198&gt;0, VLOOKUP(B198,Model!$A$40:$B$60, 2), 0)</f>
        <v>300</v>
      </c>
      <c r="G198" s="15">
        <f>IF(AB198&gt;0, VLOOKUP(B198,Model!$A$39:$C$58, 3), 0)</f>
        <v>1</v>
      </c>
      <c r="H198" s="15">
        <f t="shared" si="56"/>
        <v>97</v>
      </c>
      <c r="I198" s="45">
        <f>Model!$B$21*EXP((-0.029*9.81*F198)/(8.31*(273+J198)))</f>
        <v>100357.4491247143</v>
      </c>
      <c r="J198" s="15">
        <f>IF(Model!$B$31="Summer",  IF(F198&lt;=2000,  Model!$B$20-Model!$B$35*F198/1000,  IF(F198&lt;Model!$B$36,  Model!$B$33-6.5*F198/1000,  Model!$B$38)),     IF(F198&lt;=2000,  Model!$B$20-Model!$B$35*F198/1000,  IF(F198&lt;Model!$B$36,  Model!$B$33-5.4*F198/1000,   Model!$B$38)))</f>
        <v>-19.088750000000001</v>
      </c>
      <c r="K198" s="15">
        <f t="shared" si="57"/>
        <v>253.91125</v>
      </c>
      <c r="L198" s="45">
        <f>IF(AB197-AA197*(B198-B197)&gt;0, L197-Y197*(B198-B197)*3600-AD198*Model!$B$16, 0)</f>
        <v>1112.5193331635467</v>
      </c>
      <c r="M198" s="56">
        <f t="shared" si="58"/>
        <v>46.190405225833899</v>
      </c>
      <c r="N198" s="56">
        <f>Model!$B$13*I198*K198/(Model!$B$13*I198-L198*287*K198)</f>
        <v>319.1904052258339</v>
      </c>
      <c r="O198" s="56">
        <f t="shared" si="59"/>
        <v>286.55082761291692</v>
      </c>
      <c r="P198" s="56">
        <f t="shared" si="60"/>
        <v>19.17286789694619</v>
      </c>
      <c r="Q198" s="62">
        <f t="shared" si="61"/>
        <v>2.4962108760517101E-2</v>
      </c>
      <c r="R198" s="33">
        <f t="shared" si="62"/>
        <v>1.5009286071743359E-5</v>
      </c>
      <c r="S198" s="45">
        <f>0.37*Model!$B$10*(Q198^2*(N198-K198)*I198/(R198*O198^2))^0.33333*(N198-K198)</f>
        <v>435063.34229972365</v>
      </c>
      <c r="T198" s="50">
        <f>Model!$B$32+(90-Model!$B$6)*SIN(RADIANS(-15*(E198+6)))</f>
        <v>28.081298655425762</v>
      </c>
      <c r="U198" s="45">
        <f t="shared" si="63"/>
        <v>28.081298655425762</v>
      </c>
      <c r="V198" s="50">
        <f t="shared" si="64"/>
        <v>2.1243874307146267</v>
      </c>
      <c r="W198" s="45">
        <f t="shared" si="65"/>
        <v>843.68874154162779</v>
      </c>
      <c r="X198" s="45">
        <f>0.3*W198*Model!$B$9</f>
        <v>76425.243500038996</v>
      </c>
      <c r="Y198" s="33">
        <f>(S198-X198)/Model!$B$11</f>
        <v>7.6936200536240409E-3</v>
      </c>
      <c r="Z198" s="45">
        <f t="shared" si="66"/>
        <v>17.566463562767407</v>
      </c>
      <c r="AA198" s="56">
        <f>Y198/Model!$B$12*3600</f>
        <v>49.812566328935837</v>
      </c>
      <c r="AB198" s="50">
        <f t="shared" si="71"/>
        <v>866.00302713645067</v>
      </c>
      <c r="AC198" s="50">
        <f t="shared" si="72"/>
        <v>933.99697286354933</v>
      </c>
      <c r="AD198" s="15">
        <f>IF(AE198=0, Model!$B$19, 0 )</f>
        <v>0</v>
      </c>
      <c r="AE198" s="50">
        <f>IF(AE197+AB197-AB198&lt;Model!$B$19*Model!$B$18, AE197+AB197-AB198,  0)</f>
        <v>27.818678521161587</v>
      </c>
      <c r="AF198" s="15">
        <f t="shared" si="67"/>
        <v>9.8000000000000043</v>
      </c>
      <c r="AG198" s="50">
        <f t="shared" si="68"/>
        <v>0</v>
      </c>
    </row>
    <row r="199" spans="2:33" x14ac:dyDescent="0.25">
      <c r="B199" s="13">
        <f t="shared" si="69"/>
        <v>9.850000000000005</v>
      </c>
      <c r="C199" s="13">
        <f>B199+Model!$B$4</f>
        <v>11.850000000000005</v>
      </c>
      <c r="D199" s="13">
        <f t="shared" si="70"/>
        <v>1</v>
      </c>
      <c r="E199" s="13">
        <f t="shared" si="55"/>
        <v>11.850000000000005</v>
      </c>
      <c r="F199" s="14">
        <f>IF(AB199&gt;0, VLOOKUP(B199,Model!$A$40:$B$60, 2), 0)</f>
        <v>300</v>
      </c>
      <c r="G199" s="13">
        <f>IF(AB199&gt;0, VLOOKUP(B199,Model!$A$39:$C$58, 3), 0)</f>
        <v>1</v>
      </c>
      <c r="H199" s="13">
        <f t="shared" si="56"/>
        <v>97</v>
      </c>
      <c r="I199" s="46">
        <f>Model!$B$21*EXP((-0.029*9.81*F199)/(8.31*(273+J199)))</f>
        <v>100357.4491247143</v>
      </c>
      <c r="J199" s="13">
        <f>IF(Model!$B$31="Summer",  IF(F199&lt;=2000,  Model!$B$20-Model!$B$35*F199/1000,  IF(F199&lt;Model!$B$36,  Model!$B$33-6.5*F199/1000,  Model!$B$38)),     IF(F199&lt;=2000,  Model!$B$20-Model!$B$35*F199/1000,  IF(F199&lt;Model!$B$36,  Model!$B$33-5.4*F199/1000,   Model!$B$38)))</f>
        <v>-19.088750000000001</v>
      </c>
      <c r="K199" s="13">
        <f t="shared" si="57"/>
        <v>253.91125</v>
      </c>
      <c r="L199" s="46">
        <f>IF(AB198-AA198*(B199-B198)&gt;0, L198-Y198*(B199-B198)*3600-AD199*Model!$B$16, 0)</f>
        <v>1111.1344815538944</v>
      </c>
      <c r="M199" s="57">
        <f t="shared" si="58"/>
        <v>46.088287973843137</v>
      </c>
      <c r="N199" s="57">
        <f>Model!$B$13*I199*K199/(Model!$B$13*I199-L199*287*K199)</f>
        <v>319.08828797384314</v>
      </c>
      <c r="O199" s="57">
        <f t="shared" si="59"/>
        <v>286.49976898692159</v>
      </c>
      <c r="P199" s="57">
        <f t="shared" si="60"/>
        <v>19.124360597199086</v>
      </c>
      <c r="Q199" s="63">
        <f t="shared" si="61"/>
        <v>2.4958483598071433E-2</v>
      </c>
      <c r="R199" s="17">
        <f t="shared" si="62"/>
        <v>1.5003975974639844E-5</v>
      </c>
      <c r="S199" s="46">
        <f>0.37*Model!$B$10*(Q199^2*(N199-K199)*I199/(R199*O199^2))^0.33333*(N199-K199)</f>
        <v>434216.89847935783</v>
      </c>
      <c r="T199" s="51">
        <f>Model!$B$32+(90-Model!$B$6)*SIN(RADIANS(-15*(E199+6)))</f>
        <v>28.102281207440981</v>
      </c>
      <c r="U199" s="46">
        <f t="shared" si="63"/>
        <v>28.102281207440981</v>
      </c>
      <c r="V199" s="51">
        <f t="shared" si="64"/>
        <v>2.1229303975937457</v>
      </c>
      <c r="W199" s="46">
        <f t="shared" si="65"/>
        <v>843.98605100719442</v>
      </c>
      <c r="X199" s="46">
        <f>0.3*W199*Model!$B$9</f>
        <v>76452.175171853509</v>
      </c>
      <c r="Y199" s="17">
        <f>(S199-X199)/Model!$B$11</f>
        <v>7.6748841211520822E-3</v>
      </c>
      <c r="Z199" s="46">
        <f t="shared" si="66"/>
        <v>17.606909228911078</v>
      </c>
      <c r="AA199" s="57">
        <f>Y199/Model!$B$12*3600</f>
        <v>49.691259990373624</v>
      </c>
      <c r="AB199" s="51">
        <f t="shared" si="71"/>
        <v>863.5123988200038</v>
      </c>
      <c r="AC199" s="51">
        <f t="shared" si="72"/>
        <v>936.4876011799962</v>
      </c>
      <c r="AD199" s="13">
        <f>IF(AE199=0, Model!$B$19, 0 )</f>
        <v>0</v>
      </c>
      <c r="AE199" s="51">
        <f>IF(AE198+AB198-AB199&lt;Model!$B$19*Model!$B$18, AE198+AB198-AB199,  0)</f>
        <v>30.30930683760846</v>
      </c>
      <c r="AF199" s="13">
        <f t="shared" si="67"/>
        <v>9.850000000000005</v>
      </c>
      <c r="AG199" s="50">
        <f t="shared" si="68"/>
        <v>0</v>
      </c>
    </row>
    <row r="200" spans="2:33" x14ac:dyDescent="0.25">
      <c r="B200" s="15">
        <f t="shared" si="69"/>
        <v>9.9000000000000057</v>
      </c>
      <c r="C200" s="15">
        <f>B200+Model!$B$4</f>
        <v>11.900000000000006</v>
      </c>
      <c r="D200" s="15">
        <f t="shared" si="70"/>
        <v>1</v>
      </c>
      <c r="E200" s="15">
        <f t="shared" si="55"/>
        <v>11.900000000000006</v>
      </c>
      <c r="F200" s="16">
        <f>IF(AB200&gt;0, VLOOKUP(B200,Model!$A$40:$B$60, 2), 0)</f>
        <v>300</v>
      </c>
      <c r="G200" s="15">
        <f>IF(AB200&gt;0, VLOOKUP(B200,Model!$A$39:$C$58, 3), 0)</f>
        <v>1</v>
      </c>
      <c r="H200" s="15">
        <f t="shared" si="56"/>
        <v>97</v>
      </c>
      <c r="I200" s="45">
        <f>Model!$B$21*EXP((-0.029*9.81*F200)/(8.31*(273+J200)))</f>
        <v>100357.4491247143</v>
      </c>
      <c r="J200" s="15">
        <f>IF(Model!$B$31="Summer",  IF(F200&lt;=2000,  Model!$B$20-Model!$B$35*F200/1000,  IF(F200&lt;Model!$B$36,  Model!$B$33-6.5*F200/1000,  Model!$B$38)),     IF(F200&lt;=2000,  Model!$B$20-Model!$B$35*F200/1000,  IF(F200&lt;Model!$B$36,  Model!$B$33-5.4*F200/1000,   Model!$B$38)))</f>
        <v>-19.088750000000001</v>
      </c>
      <c r="K200" s="15">
        <f t="shared" si="57"/>
        <v>253.91125</v>
      </c>
      <c r="L200" s="45">
        <f>IF(AB199-AA199*(B200-B199)&gt;0, L199-Y199*(B200-B199)*3600-AD200*Model!$B$16, 0)</f>
        <v>1109.753002412087</v>
      </c>
      <c r="M200" s="56">
        <f t="shared" si="58"/>
        <v>45.986484484112964</v>
      </c>
      <c r="N200" s="56">
        <f>Model!$B$13*I200*K200/(Model!$B$13*I200-L200*287*K200)</f>
        <v>318.98648448411296</v>
      </c>
      <c r="O200" s="56">
        <f t="shared" si="59"/>
        <v>286.44886724205651</v>
      </c>
      <c r="P200" s="56">
        <f t="shared" si="60"/>
        <v>19.075440915437778</v>
      </c>
      <c r="Q200" s="62">
        <f t="shared" si="61"/>
        <v>2.4954869574186012E-2</v>
      </c>
      <c r="R200" s="33">
        <f t="shared" si="62"/>
        <v>1.4998682193173877E-5</v>
      </c>
      <c r="S200" s="45">
        <f>0.37*Model!$B$10*(Q200^2*(N200-K200)*I200/(R200*O200^2))^0.33333*(N200-K200)</f>
        <v>433373.30382336461</v>
      </c>
      <c r="T200" s="50">
        <f>Model!$B$32+(90-Model!$B$6)*SIN(RADIANS(-15*(E200+6)))</f>
        <v>28.117271313160188</v>
      </c>
      <c r="U200" s="45">
        <f t="shared" si="63"/>
        <v>28.117271313160188</v>
      </c>
      <c r="V200" s="50">
        <f t="shared" si="64"/>
        <v>2.1218908788190882</v>
      </c>
      <c r="W200" s="45">
        <f t="shared" si="65"/>
        <v>844.19823017749718</v>
      </c>
      <c r="X200" s="45">
        <f>0.3*W200*Model!$B$9</f>
        <v>76471.395346258578</v>
      </c>
      <c r="Y200" s="33">
        <f>(S200-X200)/Model!$B$11</f>
        <v>7.656374739399464E-3</v>
      </c>
      <c r="Z200" s="45">
        <f t="shared" si="66"/>
        <v>17.645617455344453</v>
      </c>
      <c r="AA200" s="56">
        <f>Y200/Model!$B$12*3600</f>
        <v>49.571420461018967</v>
      </c>
      <c r="AB200" s="50">
        <f t="shared" si="71"/>
        <v>861.02783582048505</v>
      </c>
      <c r="AC200" s="50">
        <f t="shared" si="72"/>
        <v>938.97216417951495</v>
      </c>
      <c r="AD200" s="15">
        <f>IF(AE200=0, Model!$B$19, 0 )</f>
        <v>0</v>
      </c>
      <c r="AE200" s="50">
        <f>IF(AE199+AB199-AB200&lt;Model!$B$19*Model!$B$18, AE199+AB199-AB200,  0)</f>
        <v>32.793869837127204</v>
      </c>
      <c r="AF200" s="15">
        <f t="shared" si="67"/>
        <v>9.9000000000000057</v>
      </c>
      <c r="AG200" s="50">
        <f t="shared" si="68"/>
        <v>0</v>
      </c>
    </row>
    <row r="201" spans="2:33" x14ac:dyDescent="0.25">
      <c r="B201" s="13">
        <f t="shared" si="69"/>
        <v>9.9500000000000064</v>
      </c>
      <c r="C201" s="13">
        <f>B201+Model!$B$4</f>
        <v>11.950000000000006</v>
      </c>
      <c r="D201" s="13">
        <f t="shared" si="70"/>
        <v>1</v>
      </c>
      <c r="E201" s="13">
        <f t="shared" si="55"/>
        <v>11.950000000000006</v>
      </c>
      <c r="F201" s="14">
        <f>IF(AB201&gt;0, VLOOKUP(B201,Model!$A$40:$B$60, 2), 0)</f>
        <v>300</v>
      </c>
      <c r="G201" s="13">
        <f>IF(AB201&gt;0, VLOOKUP(B201,Model!$A$39:$C$58, 3), 0)</f>
        <v>1</v>
      </c>
      <c r="H201" s="13">
        <f t="shared" si="56"/>
        <v>97</v>
      </c>
      <c r="I201" s="46">
        <f>Model!$B$21*EXP((-0.029*9.81*F201)/(8.31*(273+J201)))</f>
        <v>100357.4491247143</v>
      </c>
      <c r="J201" s="13">
        <f>IF(Model!$B$31="Summer",  IF(F201&lt;=2000,  Model!$B$20-Model!$B$35*F201/1000,  IF(F201&lt;Model!$B$36,  Model!$B$33-6.5*F201/1000,  Model!$B$38)),     IF(F201&lt;=2000,  Model!$B$20-Model!$B$35*F201/1000,  IF(F201&lt;Model!$B$36,  Model!$B$33-5.4*F201/1000,   Model!$B$38)))</f>
        <v>-19.088750000000001</v>
      </c>
      <c r="K201" s="13">
        <f t="shared" si="57"/>
        <v>253.91125</v>
      </c>
      <c r="L201" s="46">
        <f>IF(AB200-AA200*(B201-B200)&gt;0, L200-Y200*(B201-B200)*3600-AD201*Model!$B$16, 0)</f>
        <v>1108.374854958995</v>
      </c>
      <c r="M201" s="57">
        <f t="shared" si="58"/>
        <v>45.884991216420588</v>
      </c>
      <c r="N201" s="57">
        <f>Model!$B$13*I201*K201/(Model!$B$13*I201-L201*287*K201)</f>
        <v>318.88499121642059</v>
      </c>
      <c r="O201" s="57">
        <f t="shared" si="59"/>
        <v>286.39812060821032</v>
      </c>
      <c r="P201" s="57">
        <f t="shared" si="60"/>
        <v>19.026108809393609</v>
      </c>
      <c r="Q201" s="63">
        <f t="shared" si="61"/>
        <v>2.4951266563182934E-2</v>
      </c>
      <c r="R201" s="17">
        <f t="shared" si="62"/>
        <v>1.4993404543253873E-5</v>
      </c>
      <c r="S201" s="46">
        <f>0.37*Model!$B$10*(Q201^2*(N201-K201)*I201/(R201*O201^2))^0.33333*(N201-K201)</f>
        <v>432532.52724069846</v>
      </c>
      <c r="T201" s="51">
        <f>Model!$B$32+(90-Model!$B$6)*SIN(RADIANS(-15*(E201+6)))</f>
        <v>28.12626640410592</v>
      </c>
      <c r="U201" s="46">
        <f t="shared" si="63"/>
        <v>28.12626640410592</v>
      </c>
      <c r="V201" s="51">
        <f t="shared" si="64"/>
        <v>2.1212676545658007</v>
      </c>
      <c r="W201" s="46">
        <f t="shared" si="65"/>
        <v>844.32546385151113</v>
      </c>
      <c r="X201" s="46">
        <f>0.3*W201*Model!$B$9</f>
        <v>76482.920763203409</v>
      </c>
      <c r="Y201" s="17">
        <f>(S201-X201)/Model!$B$11</f>
        <v>7.6380908822802759E-3</v>
      </c>
      <c r="Z201" s="46">
        <f t="shared" si="66"/>
        <v>17.682582452496504</v>
      </c>
      <c r="AA201" s="57">
        <f>Y201/Model!$B$12*3600</f>
        <v>49.453041097448839</v>
      </c>
      <c r="AB201" s="51">
        <f t="shared" si="71"/>
        <v>858.54926479743403</v>
      </c>
      <c r="AC201" s="51">
        <f t="shared" si="72"/>
        <v>941.45073520256597</v>
      </c>
      <c r="AD201" s="13">
        <f>IF(AE201=0, Model!$B$19, 0 )</f>
        <v>0</v>
      </c>
      <c r="AE201" s="51">
        <f>IF(AE200+AB200-AB201&lt;Model!$B$19*Model!$B$18, AE200+AB200-AB201,  0)</f>
        <v>35.272440860178222</v>
      </c>
      <c r="AF201" s="13">
        <f t="shared" si="67"/>
        <v>9.9500000000000064</v>
      </c>
      <c r="AG201" s="50">
        <f t="shared" si="68"/>
        <v>0</v>
      </c>
    </row>
    <row r="202" spans="2:33" x14ac:dyDescent="0.25">
      <c r="B202" s="15">
        <f t="shared" si="69"/>
        <v>10.000000000000007</v>
      </c>
      <c r="C202" s="15">
        <f>B202+Model!$B$4</f>
        <v>12.000000000000007</v>
      </c>
      <c r="D202" s="15">
        <f t="shared" si="70"/>
        <v>1</v>
      </c>
      <c r="E202" s="15">
        <f t="shared" si="55"/>
        <v>12.000000000000007</v>
      </c>
      <c r="F202" s="16">
        <f>IF(AB202&gt;0, VLOOKUP(B202,Model!$A$40:$B$60, 2), 0)</f>
        <v>300</v>
      </c>
      <c r="G202" s="15">
        <f>IF(AB202&gt;0, VLOOKUP(B202,Model!$A$39:$C$58, 3), 0)</f>
        <v>1</v>
      </c>
      <c r="H202" s="15">
        <f t="shared" si="56"/>
        <v>97</v>
      </c>
      <c r="I202" s="45">
        <f>Model!$B$21*EXP((-0.029*9.81*F202)/(8.31*(273+J202)))</f>
        <v>100357.4491247143</v>
      </c>
      <c r="J202" s="15">
        <f>IF(Model!$B$31="Summer",  IF(F202&lt;=2000,  Model!$B$20-Model!$B$35*F202/1000,  IF(F202&lt;Model!$B$36,  Model!$B$33-6.5*F202/1000,  Model!$B$38)),     IF(F202&lt;=2000,  Model!$B$20-Model!$B$35*F202/1000,  IF(F202&lt;Model!$B$36,  Model!$B$33-5.4*F202/1000,   Model!$B$38)))</f>
        <v>-19.088750000000001</v>
      </c>
      <c r="K202" s="15">
        <f t="shared" si="57"/>
        <v>253.91125</v>
      </c>
      <c r="L202" s="45">
        <f>IF(AB201-AA201*(B202-B201)&gt;0, L201-Y201*(B202-B201)*3600-AD202*Model!$B$16, 0)</f>
        <v>1106.9999986001844</v>
      </c>
      <c r="M202" s="56">
        <f t="shared" si="58"/>
        <v>45.783804653899608</v>
      </c>
      <c r="N202" s="56">
        <f>Model!$B$13*I202*K202/(Model!$B$13*I202-L202*287*K202)</f>
        <v>318.78380465389961</v>
      </c>
      <c r="O202" s="56">
        <f t="shared" si="59"/>
        <v>286.34752732694983</v>
      </c>
      <c r="P202" s="56">
        <f t="shared" si="60"/>
        <v>18.976363752626543</v>
      </c>
      <c r="Q202" s="62">
        <f t="shared" si="61"/>
        <v>2.4947674440213438E-2</v>
      </c>
      <c r="R202" s="33">
        <f t="shared" si="62"/>
        <v>1.4988142842002781E-5</v>
      </c>
      <c r="S202" s="45">
        <f>0.37*Model!$B$10*(Q202^2*(N202-K202)*I202/(R202*O202^2))^0.33333*(N202-K202)</f>
        <v>431694.53786709066</v>
      </c>
      <c r="T202" s="50">
        <f>Model!$B$32+(90-Model!$B$6)*SIN(RADIANS(-15*(E202+6)))</f>
        <v>28.129264939015677</v>
      </c>
      <c r="U202" s="45">
        <f t="shared" si="63"/>
        <v>28.129264939015677</v>
      </c>
      <c r="V202" s="50">
        <f t="shared" si="64"/>
        <v>2.1210599942511159</v>
      </c>
      <c r="W202" s="45">
        <f t="shared" si="65"/>
        <v>844.3678627780123</v>
      </c>
      <c r="X202" s="45">
        <f>0.3*W202*Model!$B$9</f>
        <v>76486.761454826323</v>
      </c>
      <c r="Y202" s="33">
        <f>(S202-X202)/Model!$B$11</f>
        <v>7.6200316724716151E-3</v>
      </c>
      <c r="Z202" s="45">
        <f t="shared" si="66"/>
        <v>17.717796901654321</v>
      </c>
      <c r="AA202" s="56">
        <f>Y202/Model!$B$12*3600</f>
        <v>49.336116219410663</v>
      </c>
      <c r="AB202" s="50">
        <f t="shared" si="71"/>
        <v>856.07661274256157</v>
      </c>
      <c r="AC202" s="50">
        <f t="shared" si="72"/>
        <v>943.92338725743843</v>
      </c>
      <c r="AD202" s="15">
        <f>IF(AE202=0, Model!$B$19, 0 )</f>
        <v>0</v>
      </c>
      <c r="AE202" s="50">
        <f>IF(AE201+AB201-AB202&lt;Model!$B$19*Model!$B$18, AE201+AB201-AB202,  0)</f>
        <v>37.745092915050691</v>
      </c>
      <c r="AF202" s="15">
        <f t="shared" si="67"/>
        <v>10.000000000000007</v>
      </c>
      <c r="AG202" s="50">
        <f t="shared" si="68"/>
        <v>0</v>
      </c>
    </row>
    <row r="203" spans="2:33" x14ac:dyDescent="0.25">
      <c r="B203" s="13">
        <f t="shared" si="69"/>
        <v>10.050000000000008</v>
      </c>
      <c r="C203" s="13">
        <f>B203+Model!$B$4</f>
        <v>12.050000000000008</v>
      </c>
      <c r="D203" s="13">
        <f t="shared" si="70"/>
        <v>1</v>
      </c>
      <c r="E203" s="13">
        <f t="shared" si="55"/>
        <v>12.050000000000008</v>
      </c>
      <c r="F203" s="14">
        <f>IF(AB203&gt;0, VLOOKUP(B203,Model!$A$40:$B$60, 2), 0)</f>
        <v>300</v>
      </c>
      <c r="G203" s="13">
        <f>IF(AB203&gt;0, VLOOKUP(B203,Model!$A$39:$C$58, 3), 0)</f>
        <v>1</v>
      </c>
      <c r="H203" s="13">
        <f t="shared" si="56"/>
        <v>97</v>
      </c>
      <c r="I203" s="46">
        <f>Model!$B$21*EXP((-0.029*9.81*F203)/(8.31*(273+J203)))</f>
        <v>100357.4491247143</v>
      </c>
      <c r="J203" s="13">
        <f>IF(Model!$B$31="Summer",  IF(F203&lt;=2000,  Model!$B$20-Model!$B$35*F203/1000,  IF(F203&lt;Model!$B$36,  Model!$B$33-6.5*F203/1000,  Model!$B$38)),     IF(F203&lt;=2000,  Model!$B$20-Model!$B$35*F203/1000,  IF(F203&lt;Model!$B$36,  Model!$B$33-5.4*F203/1000,   Model!$B$38)))</f>
        <v>-19.088750000000001</v>
      </c>
      <c r="K203" s="13">
        <f t="shared" si="57"/>
        <v>253.91125</v>
      </c>
      <c r="L203" s="46">
        <f>IF(AB202-AA202*(B203-B202)&gt;0, L202-Y202*(B203-B202)*3600-AD203*Model!$B$16, 0)</f>
        <v>1105.6283928991395</v>
      </c>
      <c r="M203" s="57">
        <f t="shared" si="58"/>
        <v>45.682921300957048</v>
      </c>
      <c r="N203" s="57">
        <f>Model!$B$13*I203*K203/(Model!$B$13*I203-L203*287*K203)</f>
        <v>318.68292130095705</v>
      </c>
      <c r="O203" s="57">
        <f t="shared" si="59"/>
        <v>286.29708565047849</v>
      </c>
      <c r="P203" s="57">
        <f t="shared" si="60"/>
        <v>18.926204735665273</v>
      </c>
      <c r="Q203" s="63">
        <f t="shared" si="61"/>
        <v>2.4944093081183973E-2</v>
      </c>
      <c r="R203" s="17">
        <f t="shared" si="62"/>
        <v>1.4982896907649763E-5</v>
      </c>
      <c r="S203" s="46">
        <f>0.37*Model!$B$10*(Q203^2*(N203-K203)*I203/(R203*O203^2))^0.33333*(N203-K203)</f>
        <v>430859.30504747463</v>
      </c>
      <c r="T203" s="51">
        <f>Model!$B$32+(90-Model!$B$6)*SIN(RADIANS(-15*(E203+6)))</f>
        <v>28.12626640410592</v>
      </c>
      <c r="U203" s="46">
        <f t="shared" si="63"/>
        <v>28.12626640410592</v>
      </c>
      <c r="V203" s="51">
        <f t="shared" si="64"/>
        <v>2.1212676545658007</v>
      </c>
      <c r="W203" s="46">
        <f t="shared" si="65"/>
        <v>844.32546385151113</v>
      </c>
      <c r="X203" s="46">
        <f>0.3*W203*Model!$B$9</f>
        <v>76482.920763203409</v>
      </c>
      <c r="Y203" s="17">
        <f>(S203-X203)/Model!$B$11</f>
        <v>7.602196380655824E-3</v>
      </c>
      <c r="Z203" s="46">
        <f t="shared" si="66"/>
        <v>17.751251944013617</v>
      </c>
      <c r="AA203" s="57">
        <f>Y203/Model!$B$12*3600</f>
        <v>49.220641104916091</v>
      </c>
      <c r="AB203" s="51">
        <f t="shared" si="71"/>
        <v>853.60980693159104</v>
      </c>
      <c r="AC203" s="51">
        <f t="shared" si="72"/>
        <v>946.39019306840896</v>
      </c>
      <c r="AD203" s="13">
        <f>IF(AE203=0, Model!$B$19, 0 )</f>
        <v>0</v>
      </c>
      <c r="AE203" s="51">
        <f>IF(AE202+AB202-AB203&lt;Model!$B$19*Model!$B$18, AE202+AB202-AB203,  0)</f>
        <v>40.211898726021218</v>
      </c>
      <c r="AF203" s="13">
        <f t="shared" si="67"/>
        <v>10.050000000000008</v>
      </c>
      <c r="AG203" s="50">
        <f t="shared" si="68"/>
        <v>0</v>
      </c>
    </row>
    <row r="204" spans="2:33" x14ac:dyDescent="0.25">
      <c r="B204" s="15">
        <f t="shared" si="69"/>
        <v>10.100000000000009</v>
      </c>
      <c r="C204" s="15">
        <f>B204+Model!$B$4</f>
        <v>12.100000000000009</v>
      </c>
      <c r="D204" s="15">
        <f t="shared" si="70"/>
        <v>1</v>
      </c>
      <c r="E204" s="15">
        <f t="shared" si="55"/>
        <v>12.100000000000009</v>
      </c>
      <c r="F204" s="16">
        <f>IF(AB204&gt;0, VLOOKUP(B204,Model!$A$40:$B$60, 2), 0)</f>
        <v>300</v>
      </c>
      <c r="G204" s="15">
        <f>IF(AB204&gt;0, VLOOKUP(B204,Model!$A$39:$C$58, 3), 0)</f>
        <v>1</v>
      </c>
      <c r="H204" s="15">
        <f t="shared" si="56"/>
        <v>97</v>
      </c>
      <c r="I204" s="45">
        <f>Model!$B$21*EXP((-0.029*9.81*F204)/(8.31*(273+J204)))</f>
        <v>100357.4491247143</v>
      </c>
      <c r="J204" s="15">
        <f>IF(Model!$B$31="Summer",  IF(F204&lt;=2000,  Model!$B$20-Model!$B$35*F204/1000,  IF(F204&lt;Model!$B$36,  Model!$B$33-6.5*F204/1000,  Model!$B$38)),     IF(F204&lt;=2000,  Model!$B$20-Model!$B$35*F204/1000,  IF(F204&lt;Model!$B$36,  Model!$B$33-5.4*F204/1000,   Model!$B$38)))</f>
        <v>-19.088750000000001</v>
      </c>
      <c r="K204" s="15">
        <f t="shared" si="57"/>
        <v>253.91125</v>
      </c>
      <c r="L204" s="45">
        <f>IF(AB203-AA203*(B204-B203)&gt;0, L203-Y203*(B204-B203)*3600-AD204*Model!$B$16, 0)</f>
        <v>1104.2599975506214</v>
      </c>
      <c r="M204" s="56">
        <f t="shared" si="58"/>
        <v>45.582337681208401</v>
      </c>
      <c r="N204" s="56">
        <f>Model!$B$13*I204*K204/(Model!$B$13*I204-L204*287*K204)</f>
        <v>318.5823376812084</v>
      </c>
      <c r="O204" s="56">
        <f t="shared" si="59"/>
        <v>286.2467938406042</v>
      </c>
      <c r="P204" s="56">
        <f t="shared" si="60"/>
        <v>18.87563026628094</v>
      </c>
      <c r="Q204" s="62">
        <f t="shared" si="61"/>
        <v>2.4940522362682897E-2</v>
      </c>
      <c r="R204" s="33">
        <f t="shared" si="62"/>
        <v>1.4977666559422835E-5</v>
      </c>
      <c r="S204" s="45">
        <f>0.37*Model!$B$10*(Q204^2*(N204-K204)*I204/(R204*O204^2))^0.33333*(N204-K204)</f>
        <v>430026.79831859359</v>
      </c>
      <c r="T204" s="50">
        <f>Model!$B$32+(90-Model!$B$6)*SIN(RADIANS(-15*(E204+6)))</f>
        <v>28.117271313160181</v>
      </c>
      <c r="U204" s="45">
        <f t="shared" si="63"/>
        <v>28.117271313160181</v>
      </c>
      <c r="V204" s="50">
        <f t="shared" si="64"/>
        <v>2.1218908788190887</v>
      </c>
      <c r="W204" s="45">
        <f t="shared" si="65"/>
        <v>844.19823017749718</v>
      </c>
      <c r="X204" s="45">
        <f>0.3*W204*Model!$B$9</f>
        <v>76471.395346258578</v>
      </c>
      <c r="Y204" s="33">
        <f>(S204-X204)/Model!$B$11</f>
        <v>7.5845844250205944E-3</v>
      </c>
      <c r="Z204" s="45">
        <f t="shared" si="66"/>
        <v>17.782937167000295</v>
      </c>
      <c r="AA204" s="56">
        <f>Y204/Model!$B$12*3600</f>
        <v>49.106611987004435</v>
      </c>
      <c r="AB204" s="50">
        <f t="shared" si="71"/>
        <v>851.14877487634521</v>
      </c>
      <c r="AC204" s="50">
        <f t="shared" si="72"/>
        <v>948.85122512365479</v>
      </c>
      <c r="AD204" s="15">
        <f>IF(AE204=0, Model!$B$19, 0 )</f>
        <v>0</v>
      </c>
      <c r="AE204" s="50">
        <f>IF(AE203+AB203-AB204&lt;Model!$B$19*Model!$B$18, AE203+AB203-AB204,  0)</f>
        <v>42.672930781267041</v>
      </c>
      <c r="AF204" s="15">
        <f t="shared" si="67"/>
        <v>10.100000000000009</v>
      </c>
      <c r="AG204" s="50">
        <f t="shared" si="68"/>
        <v>0</v>
      </c>
    </row>
    <row r="205" spans="2:33" x14ac:dyDescent="0.25">
      <c r="B205" s="13">
        <f t="shared" si="69"/>
        <v>10.150000000000009</v>
      </c>
      <c r="C205" s="13">
        <f>B205+Model!$B$4</f>
        <v>12.150000000000009</v>
      </c>
      <c r="D205" s="13">
        <f t="shared" si="70"/>
        <v>1</v>
      </c>
      <c r="E205" s="13">
        <f t="shared" si="55"/>
        <v>12.150000000000009</v>
      </c>
      <c r="F205" s="14">
        <f>IF(AB205&gt;0, VLOOKUP(B205,Model!$A$40:$B$60, 2), 0)</f>
        <v>300</v>
      </c>
      <c r="G205" s="13">
        <f>IF(AB205&gt;0, VLOOKUP(B205,Model!$A$39:$C$58, 3), 0)</f>
        <v>1</v>
      </c>
      <c r="H205" s="13">
        <f t="shared" si="56"/>
        <v>97</v>
      </c>
      <c r="I205" s="46">
        <f>Model!$B$21*EXP((-0.029*9.81*F205)/(8.31*(273+J205)))</f>
        <v>100357.4491247143</v>
      </c>
      <c r="J205" s="13">
        <f>IF(Model!$B$31="Summer",  IF(F205&lt;=2000,  Model!$B$20-Model!$B$35*F205/1000,  IF(F205&lt;Model!$B$36,  Model!$B$33-6.5*F205/1000,  Model!$B$38)),     IF(F205&lt;=2000,  Model!$B$20-Model!$B$35*F205/1000,  IF(F205&lt;Model!$B$36,  Model!$B$33-5.4*F205/1000,   Model!$B$38)))</f>
        <v>-19.088750000000001</v>
      </c>
      <c r="K205" s="13">
        <f t="shared" si="57"/>
        <v>253.91125</v>
      </c>
      <c r="L205" s="46">
        <f>IF(AB204-AA204*(B205-B204)&gt;0, L204-Y204*(B205-B204)*3600-AD205*Model!$B$16, 0)</f>
        <v>1102.8947723541178</v>
      </c>
      <c r="M205" s="57">
        <f t="shared" si="58"/>
        <v>45.482050335428653</v>
      </c>
      <c r="N205" s="57">
        <f>Model!$B$13*I205*K205/(Model!$B$13*I205-L205*287*K205)</f>
        <v>318.48205033542865</v>
      </c>
      <c r="O205" s="57">
        <f t="shared" si="59"/>
        <v>286.19665016771432</v>
      </c>
      <c r="P205" s="57">
        <f t="shared" si="60"/>
        <v>18.824638368897642</v>
      </c>
      <c r="Q205" s="63">
        <f t="shared" si="61"/>
        <v>2.4936962161907716E-2</v>
      </c>
      <c r="R205" s="17">
        <f t="shared" si="62"/>
        <v>1.4972451617442289E-5</v>
      </c>
      <c r="S205" s="46">
        <f>0.37*Model!$B$10*(Q205^2*(N205-K205)*I205/(R205*O205^2))^0.33333*(N205-K205)</f>
        <v>429196.98739177018</v>
      </c>
      <c r="T205" s="51">
        <f>Model!$B$32+(90-Model!$B$6)*SIN(RADIANS(-15*(E205+6)))</f>
        <v>28.102281207440981</v>
      </c>
      <c r="U205" s="46">
        <f t="shared" si="63"/>
        <v>28.102281207440981</v>
      </c>
      <c r="V205" s="51">
        <f t="shared" si="64"/>
        <v>2.1229303975937457</v>
      </c>
      <c r="W205" s="46">
        <f t="shared" si="65"/>
        <v>843.98605100719442</v>
      </c>
      <c r="X205" s="46">
        <f>0.3*W205*Model!$B$9</f>
        <v>76452.175171853509</v>
      </c>
      <c r="Y205" s="17">
        <f>(S205-X205)/Model!$B$11</f>
        <v>7.5671953710161255E-3</v>
      </c>
      <c r="Z205" s="46">
        <f t="shared" si="66"/>
        <v>17.81284058782736</v>
      </c>
      <c r="AA205" s="57">
        <f>Y205/Model!$B$12*3600</f>
        <v>48.994026052170412</v>
      </c>
      <c r="AB205" s="51">
        <f t="shared" si="71"/>
        <v>848.69344427699491</v>
      </c>
      <c r="AC205" s="51">
        <f t="shared" si="72"/>
        <v>951.30655572300509</v>
      </c>
      <c r="AD205" s="13">
        <f>IF(AE205=0, Model!$B$19, 0 )</f>
        <v>0</v>
      </c>
      <c r="AE205" s="51">
        <f>IF(AE204+AB204-AB205&lt;Model!$B$19*Model!$B$18, AE204+AB204-AB205,  0)</f>
        <v>45.128261380617346</v>
      </c>
      <c r="AF205" s="13">
        <f t="shared" si="67"/>
        <v>10.150000000000009</v>
      </c>
      <c r="AG205" s="50">
        <f t="shared" si="68"/>
        <v>0</v>
      </c>
    </row>
    <row r="206" spans="2:33" x14ac:dyDescent="0.25">
      <c r="B206" s="15">
        <f t="shared" si="69"/>
        <v>10.20000000000001</v>
      </c>
      <c r="C206" s="15">
        <f>B206+Model!$B$4</f>
        <v>12.20000000000001</v>
      </c>
      <c r="D206" s="15">
        <f t="shared" si="70"/>
        <v>1</v>
      </c>
      <c r="E206" s="15">
        <f t="shared" si="55"/>
        <v>12.20000000000001</v>
      </c>
      <c r="F206" s="16">
        <f>IF(AB206&gt;0, VLOOKUP(B206,Model!$A$40:$B$60, 2), 0)</f>
        <v>300</v>
      </c>
      <c r="G206" s="15">
        <f>IF(AB206&gt;0, VLOOKUP(B206,Model!$A$39:$C$58, 3), 0)</f>
        <v>1</v>
      </c>
      <c r="H206" s="15">
        <f t="shared" si="56"/>
        <v>97</v>
      </c>
      <c r="I206" s="45">
        <f>Model!$B$21*EXP((-0.029*9.81*F206)/(8.31*(273+J206)))</f>
        <v>100357.4491247143</v>
      </c>
      <c r="J206" s="15">
        <f>IF(Model!$B$31="Summer",  IF(F206&lt;=2000,  Model!$B$20-Model!$B$35*F206/1000,  IF(F206&lt;Model!$B$36,  Model!$B$33-6.5*F206/1000,  Model!$B$38)),     IF(F206&lt;=2000,  Model!$B$20-Model!$B$35*F206/1000,  IF(F206&lt;Model!$B$36,  Model!$B$33-5.4*F206/1000,   Model!$B$38)))</f>
        <v>-19.088750000000001</v>
      </c>
      <c r="K206" s="15">
        <f t="shared" si="57"/>
        <v>253.91125</v>
      </c>
      <c r="L206" s="45">
        <f>IF(AB205-AA205*(B206-B205)&gt;0, L205-Y205*(B206-B205)*3600-AD206*Model!$B$16, 0)</f>
        <v>1101.5326771873349</v>
      </c>
      <c r="M206" s="56">
        <f t="shared" si="58"/>
        <v>45.382055819514278</v>
      </c>
      <c r="N206" s="56">
        <f>Model!$B$13*I206*K206/(Model!$B$13*I206-L206*287*K206)</f>
        <v>318.38205581951428</v>
      </c>
      <c r="O206" s="56">
        <f t="shared" si="59"/>
        <v>286.14665290975711</v>
      </c>
      <c r="P206" s="56">
        <f t="shared" si="60"/>
        <v>18.773226583138435</v>
      </c>
      <c r="Q206" s="62">
        <f t="shared" si="61"/>
        <v>2.4933412356592754E-2</v>
      </c>
      <c r="R206" s="33">
        <f t="shared" si="62"/>
        <v>1.4967251902614738E-5</v>
      </c>
      <c r="S206" s="45">
        <f>0.37*Model!$B$10*(Q206^2*(N206-K206)*I206/(R206*O206^2))^0.33333*(N206-K206)</f>
        <v>428369.84213580086</v>
      </c>
      <c r="T206" s="50">
        <f>Model!$B$32+(90-Model!$B$6)*SIN(RADIANS(-15*(E206+6)))</f>
        <v>28.081298655425755</v>
      </c>
      <c r="U206" s="45">
        <f t="shared" si="63"/>
        <v>28.081298655425755</v>
      </c>
      <c r="V206" s="50">
        <f t="shared" si="64"/>
        <v>2.1243874307146271</v>
      </c>
      <c r="W206" s="45">
        <f t="shared" si="65"/>
        <v>843.68874154162779</v>
      </c>
      <c r="X206" s="45">
        <f>0.3*W206*Model!$B$9</f>
        <v>76425.243500038996</v>
      </c>
      <c r="Y206" s="33">
        <f>(S206-X206)/Model!$B$11</f>
        <v>7.5500289313689128E-3</v>
      </c>
      <c r="Z206" s="45">
        <f t="shared" si="66"/>
        <v>17.840948634243688</v>
      </c>
      <c r="AA206" s="56">
        <f>Y206/Model!$B$12*3600</f>
        <v>48.882881440453374</v>
      </c>
      <c r="AB206" s="50">
        <f t="shared" si="71"/>
        <v>846.24374297438635</v>
      </c>
      <c r="AC206" s="50">
        <f t="shared" si="72"/>
        <v>953.75625702561365</v>
      </c>
      <c r="AD206" s="15">
        <f>IF(AE206=0, Model!$B$19, 0 )</f>
        <v>0</v>
      </c>
      <c r="AE206" s="50">
        <f>IF(AE205+AB205-AB206&lt;Model!$B$19*Model!$B$18, AE205+AB205-AB206,  0)</f>
        <v>47.577962683225905</v>
      </c>
      <c r="AF206" s="15">
        <f t="shared" si="67"/>
        <v>10.20000000000001</v>
      </c>
      <c r="AG206" s="50">
        <f t="shared" si="68"/>
        <v>0</v>
      </c>
    </row>
    <row r="207" spans="2:33" x14ac:dyDescent="0.25">
      <c r="B207" s="13">
        <f t="shared" si="69"/>
        <v>10.250000000000011</v>
      </c>
      <c r="C207" s="13">
        <f>B207+Model!$B$4</f>
        <v>12.250000000000011</v>
      </c>
      <c r="D207" s="13">
        <f t="shared" si="70"/>
        <v>1</v>
      </c>
      <c r="E207" s="13">
        <f t="shared" si="55"/>
        <v>12.250000000000011</v>
      </c>
      <c r="F207" s="14">
        <f>IF(AB207&gt;0, VLOOKUP(B207,Model!$A$40:$B$60, 2), 0)</f>
        <v>300</v>
      </c>
      <c r="G207" s="13">
        <f>IF(AB207&gt;0, VLOOKUP(B207,Model!$A$39:$C$58, 3), 0)</f>
        <v>1</v>
      </c>
      <c r="H207" s="13">
        <f t="shared" si="56"/>
        <v>97</v>
      </c>
      <c r="I207" s="46">
        <f>Model!$B$21*EXP((-0.029*9.81*F207)/(8.31*(273+J207)))</f>
        <v>100357.4491247143</v>
      </c>
      <c r="J207" s="13">
        <f>IF(Model!$B$31="Summer",  IF(F207&lt;=2000,  Model!$B$20-Model!$B$35*F207/1000,  IF(F207&lt;Model!$B$36,  Model!$B$33-6.5*F207/1000,  Model!$B$38)),     IF(F207&lt;=2000,  Model!$B$20-Model!$B$35*F207/1000,  IF(F207&lt;Model!$B$36,  Model!$B$33-5.4*F207/1000,   Model!$B$38)))</f>
        <v>-19.088750000000001</v>
      </c>
      <c r="K207" s="13">
        <f t="shared" si="57"/>
        <v>253.91125</v>
      </c>
      <c r="L207" s="46">
        <f>IF(AB206-AA206*(B207-B206)&gt;0, L206-Y206*(B207-B206)*3600-AD207*Model!$B$16, 0)</f>
        <v>1100.1736719796884</v>
      </c>
      <c r="M207" s="57">
        <f t="shared" si="58"/>
        <v>45.282350702453925</v>
      </c>
      <c r="N207" s="57">
        <f>Model!$B$13*I207*K207/(Model!$B$13*I207-L207*287*K207)</f>
        <v>318.28235070245393</v>
      </c>
      <c r="O207" s="57">
        <f t="shared" si="59"/>
        <v>286.09680035122699</v>
      </c>
      <c r="P207" s="57">
        <f t="shared" si="60"/>
        <v>18.72139196150448</v>
      </c>
      <c r="Q207" s="63">
        <f t="shared" si="61"/>
        <v>2.4929872824937117E-2</v>
      </c>
      <c r="R207" s="17">
        <f t="shared" si="62"/>
        <v>1.4962067236527605E-5</v>
      </c>
      <c r="S207" s="46">
        <f>0.37*Model!$B$10*(Q207^2*(N207-K207)*I207/(R207*O207^2))^0.33333*(N207-K207)</f>
        <v>427545.33255994989</v>
      </c>
      <c r="T207" s="51">
        <f>Model!$B$32+(90-Model!$B$6)*SIN(RADIANS(-15*(E207+6)))</f>
        <v>28.054327252366797</v>
      </c>
      <c r="U207" s="46">
        <f t="shared" si="63"/>
        <v>28.054327252366797</v>
      </c>
      <c r="V207" s="51">
        <f t="shared" si="64"/>
        <v>2.1262636905408145</v>
      </c>
      <c r="W207" s="46">
        <f t="shared" si="65"/>
        <v>843.30604260438599</v>
      </c>
      <c r="X207" s="46">
        <f>0.3*W207*Model!$B$9</f>
        <v>76390.576853412349</v>
      </c>
      <c r="Y207" s="17">
        <f>(S207-X207)/Model!$B$11</f>
        <v>7.5330849663528378E-3</v>
      </c>
      <c r="Z207" s="46">
        <f t="shared" si="66"/>
        <v>17.867246122421641</v>
      </c>
      <c r="AA207" s="57">
        <f>Y207/Model!$B$12*3600</f>
        <v>48.773177247192514</v>
      </c>
      <c r="AB207" s="51">
        <f t="shared" si="71"/>
        <v>843.79959890236364</v>
      </c>
      <c r="AC207" s="51">
        <f t="shared" si="72"/>
        <v>956.20040109763636</v>
      </c>
      <c r="AD207" s="13">
        <f>IF(AE207=0, Model!$B$19, 0 )</f>
        <v>0</v>
      </c>
      <c r="AE207" s="51">
        <f>IF(AE206+AB206-AB207&lt;Model!$B$19*Model!$B$18, AE206+AB206-AB207,  0)</f>
        <v>50.022106755248615</v>
      </c>
      <c r="AF207" s="13">
        <f t="shared" si="67"/>
        <v>10.250000000000011</v>
      </c>
      <c r="AG207" s="50">
        <f t="shared" si="68"/>
        <v>0</v>
      </c>
    </row>
    <row r="208" spans="2:33" x14ac:dyDescent="0.25">
      <c r="B208" s="15">
        <f t="shared" si="69"/>
        <v>10.300000000000011</v>
      </c>
      <c r="C208" s="15">
        <f>B208+Model!$B$4</f>
        <v>12.300000000000011</v>
      </c>
      <c r="D208" s="15">
        <f t="shared" si="70"/>
        <v>1</v>
      </c>
      <c r="E208" s="15">
        <f t="shared" si="55"/>
        <v>12.300000000000011</v>
      </c>
      <c r="F208" s="16">
        <f>IF(AB208&gt;0, VLOOKUP(B208,Model!$A$40:$B$60, 2), 0)</f>
        <v>300</v>
      </c>
      <c r="G208" s="15">
        <f>IF(AB208&gt;0, VLOOKUP(B208,Model!$A$39:$C$58, 3), 0)</f>
        <v>1</v>
      </c>
      <c r="H208" s="15">
        <f t="shared" si="56"/>
        <v>97</v>
      </c>
      <c r="I208" s="45">
        <f>Model!$B$21*EXP((-0.029*9.81*F208)/(8.31*(273+J208)))</f>
        <v>100357.4491247143</v>
      </c>
      <c r="J208" s="15">
        <f>IF(Model!$B$31="Summer",  IF(F208&lt;=2000,  Model!$B$20-Model!$B$35*F208/1000,  IF(F208&lt;Model!$B$36,  Model!$B$33-6.5*F208/1000,  Model!$B$38)),     IF(F208&lt;=2000,  Model!$B$20-Model!$B$35*F208/1000,  IF(F208&lt;Model!$B$36,  Model!$B$33-5.4*F208/1000,   Model!$B$38)))</f>
        <v>-19.088750000000001</v>
      </c>
      <c r="K208" s="15">
        <f t="shared" si="57"/>
        <v>253.91125</v>
      </c>
      <c r="L208" s="45">
        <f>IF(AB207-AA207*(B208-B207)&gt;0, L207-Y207*(B208-B207)*3600-AD208*Model!$B$16, 0)</f>
        <v>1098.8177166857449</v>
      </c>
      <c r="M208" s="56">
        <f t="shared" si="58"/>
        <v>45.182931564304283</v>
      </c>
      <c r="N208" s="56">
        <f>Model!$B$13*I208*K208/(Model!$B$13*I208-L208*287*K208)</f>
        <v>318.18293156430428</v>
      </c>
      <c r="O208" s="56">
        <f t="shared" si="59"/>
        <v>286.04709078215217</v>
      </c>
      <c r="P208" s="56">
        <f t="shared" si="60"/>
        <v>18.669131066181382</v>
      </c>
      <c r="Q208" s="62">
        <f t="shared" si="61"/>
        <v>2.4926343445532805E-2</v>
      </c>
      <c r="R208" s="33">
        <f t="shared" si="62"/>
        <v>1.4956897441343824E-5</v>
      </c>
      <c r="S208" s="45">
        <f>0.37*Model!$B$10*(Q208^2*(N208-K208)*I208/(R208*O208^2))^0.33333*(N208-K208)</f>
        <v>426723.42879702133</v>
      </c>
      <c r="T208" s="50">
        <f>Model!$B$32+(90-Model!$B$6)*SIN(RADIANS(-15*(E208+6)))</f>
        <v>28.021371619675151</v>
      </c>
      <c r="U208" s="45">
        <f t="shared" si="63"/>
        <v>28.021371619675151</v>
      </c>
      <c r="V208" s="50">
        <f t="shared" si="64"/>
        <v>2.12856138659826</v>
      </c>
      <c r="W208" s="45">
        <f t="shared" si="65"/>
        <v>842.83762018205277</v>
      </c>
      <c r="X208" s="45">
        <f>0.3*W208*Model!$B$9</f>
        <v>76348.144975487463</v>
      </c>
      <c r="Y208" s="33">
        <f>(S208-X208)/Model!$B$11</f>
        <v>7.5163634843190795E-3</v>
      </c>
      <c r="Z208" s="45">
        <f t="shared" si="66"/>
        <v>17.891716231921222</v>
      </c>
      <c r="AA208" s="56">
        <f>Y208/Model!$B$12*3600</f>
        <v>48.664913526457781</v>
      </c>
      <c r="AB208" s="50">
        <f t="shared" si="71"/>
        <v>841.36094004000392</v>
      </c>
      <c r="AC208" s="50">
        <f t="shared" si="72"/>
        <v>958.63905995999608</v>
      </c>
      <c r="AD208" s="15">
        <f>IF(AE208=0, Model!$B$19, 0 )</f>
        <v>0</v>
      </c>
      <c r="AE208" s="50">
        <f>IF(AE207+AB207-AB208&lt;Model!$B$19*Model!$B$18, AE207+AB207-AB208,  0)</f>
        <v>52.460765617608331</v>
      </c>
      <c r="AF208" s="15">
        <f t="shared" si="67"/>
        <v>10.300000000000011</v>
      </c>
      <c r="AG208" s="50">
        <f t="shared" si="68"/>
        <v>0</v>
      </c>
    </row>
    <row r="209" spans="2:33" x14ac:dyDescent="0.25">
      <c r="B209" s="13">
        <f t="shared" si="69"/>
        <v>10.350000000000012</v>
      </c>
      <c r="C209" s="13">
        <f>B209+Model!$B$4</f>
        <v>12.350000000000012</v>
      </c>
      <c r="D209" s="13">
        <f t="shared" si="70"/>
        <v>1</v>
      </c>
      <c r="E209" s="13">
        <f t="shared" si="55"/>
        <v>12.350000000000012</v>
      </c>
      <c r="F209" s="14">
        <f>IF(AB209&gt;0, VLOOKUP(B209,Model!$A$40:$B$60, 2), 0)</f>
        <v>300</v>
      </c>
      <c r="G209" s="13">
        <f>IF(AB209&gt;0, VLOOKUP(B209,Model!$A$39:$C$58, 3), 0)</f>
        <v>1</v>
      </c>
      <c r="H209" s="13">
        <f t="shared" si="56"/>
        <v>97</v>
      </c>
      <c r="I209" s="46">
        <f>Model!$B$21*EXP((-0.029*9.81*F209)/(8.31*(273+J209)))</f>
        <v>100357.4491247143</v>
      </c>
      <c r="J209" s="13">
        <f>IF(Model!$B$31="Summer",  IF(F209&lt;=2000,  Model!$B$20-Model!$B$35*F209/1000,  IF(F209&lt;Model!$B$36,  Model!$B$33-6.5*F209/1000,  Model!$B$38)),     IF(F209&lt;=2000,  Model!$B$20-Model!$B$35*F209/1000,  IF(F209&lt;Model!$B$36,  Model!$B$33-5.4*F209/1000,   Model!$B$38)))</f>
        <v>-19.088750000000001</v>
      </c>
      <c r="K209" s="13">
        <f t="shared" si="57"/>
        <v>253.91125</v>
      </c>
      <c r="L209" s="46">
        <f>IF(AB208-AA208*(B209-B208)&gt;0, L208-Y208*(B209-B208)*3600-AD209*Model!$B$16, 0)</f>
        <v>1097.4647712585675</v>
      </c>
      <c r="M209" s="57">
        <f t="shared" si="58"/>
        <v>45.083794994165999</v>
      </c>
      <c r="N209" s="57">
        <f>Model!$B$13*I209*K209/(Model!$B$13*I209-L209*287*K209)</f>
        <v>318.083794994166</v>
      </c>
      <c r="O209" s="57">
        <f t="shared" si="59"/>
        <v>285.99752249708297</v>
      </c>
      <c r="P209" s="57">
        <f t="shared" si="60"/>
        <v>18.616439964963352</v>
      </c>
      <c r="Q209" s="63">
        <f t="shared" si="61"/>
        <v>2.4922824097292892E-2</v>
      </c>
      <c r="R209" s="17">
        <f t="shared" si="62"/>
        <v>1.4951742339696627E-5</v>
      </c>
      <c r="S209" s="46">
        <f>0.37*Model!$B$10*(Q209^2*(N209-K209)*I209/(R209*O209^2))^0.33333*(N209-K209)</f>
        <v>425904.10108645767</v>
      </c>
      <c r="T209" s="51">
        <f>Model!$B$32+(90-Model!$B$6)*SIN(RADIANS(-15*(E209+6)))</f>
        <v>27.982437404128824</v>
      </c>
      <c r="U209" s="46">
        <f t="shared" si="63"/>
        <v>27.982437404128824</v>
      </c>
      <c r="V209" s="51">
        <f t="shared" si="64"/>
        <v>2.1312832315767953</v>
      </c>
      <c r="W209" s="46">
        <f t="shared" si="65"/>
        <v>842.28306483087192</v>
      </c>
      <c r="X209" s="46">
        <f>0.3*W209*Model!$B$9</f>
        <v>76297.910776947843</v>
      </c>
      <c r="Y209" s="17">
        <f>(S209-X209)/Model!$B$11</f>
        <v>7.4998646424865346E-3</v>
      </c>
      <c r="Z209" s="46">
        <f t="shared" si="66"/>
        <v>17.914340477660609</v>
      </c>
      <c r="AA209" s="57">
        <f>Y209/Model!$B$12*3600</f>
        <v>48.558091296167483</v>
      </c>
      <c r="AB209" s="51">
        <f t="shared" si="71"/>
        <v>838.92769436368098</v>
      </c>
      <c r="AC209" s="51">
        <f t="shared" si="72"/>
        <v>961.07230563631902</v>
      </c>
      <c r="AD209" s="13">
        <f>IF(AE209=0, Model!$B$19, 0 )</f>
        <v>0</v>
      </c>
      <c r="AE209" s="51">
        <f>IF(AE208+AB208-AB209&lt;Model!$B$19*Model!$B$18, AE208+AB208-AB209,  0)</f>
        <v>54.894011293931271</v>
      </c>
      <c r="AF209" s="13">
        <f t="shared" si="67"/>
        <v>10.350000000000012</v>
      </c>
      <c r="AG209" s="50">
        <f t="shared" si="68"/>
        <v>0</v>
      </c>
    </row>
    <row r="210" spans="2:33" x14ac:dyDescent="0.25">
      <c r="B210" s="15">
        <f t="shared" si="69"/>
        <v>10.400000000000013</v>
      </c>
      <c r="C210" s="15">
        <f>B210+Model!$B$4</f>
        <v>12.400000000000013</v>
      </c>
      <c r="D210" s="15">
        <f t="shared" si="70"/>
        <v>1</v>
      </c>
      <c r="E210" s="15">
        <f t="shared" si="55"/>
        <v>12.400000000000013</v>
      </c>
      <c r="F210" s="16">
        <f>IF(AB210&gt;0, VLOOKUP(B210,Model!$A$40:$B$60, 2), 0)</f>
        <v>300</v>
      </c>
      <c r="G210" s="15">
        <f>IF(AB210&gt;0, VLOOKUP(B210,Model!$A$39:$C$58, 3), 0)</f>
        <v>1</v>
      </c>
      <c r="H210" s="15">
        <f t="shared" si="56"/>
        <v>97</v>
      </c>
      <c r="I210" s="45">
        <f>Model!$B$21*EXP((-0.029*9.81*F210)/(8.31*(273+J210)))</f>
        <v>100357.4491247143</v>
      </c>
      <c r="J210" s="15">
        <f>IF(Model!$B$31="Summer",  IF(F210&lt;=2000,  Model!$B$20-Model!$B$35*F210/1000,  IF(F210&lt;Model!$B$36,  Model!$B$33-6.5*F210/1000,  Model!$B$38)),     IF(F210&lt;=2000,  Model!$B$20-Model!$B$35*F210/1000,  IF(F210&lt;Model!$B$36,  Model!$B$33-5.4*F210/1000,   Model!$B$38)))</f>
        <v>-19.088750000000001</v>
      </c>
      <c r="K210" s="15">
        <f t="shared" si="57"/>
        <v>253.91125</v>
      </c>
      <c r="L210" s="45">
        <f>IF(AB209-AA209*(B210-B209)&gt;0, L209-Y209*(B210-B209)*3600-AD210*Model!$B$16, 0)</f>
        <v>1096.1147956229199</v>
      </c>
      <c r="M210" s="56">
        <f t="shared" si="58"/>
        <v>44.9849375881588</v>
      </c>
      <c r="N210" s="56">
        <f>Model!$B$13*I210*K210/(Model!$B$13*I210-L210*287*K210)</f>
        <v>317.9849375881588</v>
      </c>
      <c r="O210" s="56">
        <f t="shared" si="59"/>
        <v>285.9480937940794</v>
      </c>
      <c r="P210" s="56">
        <f t="shared" si="60"/>
        <v>18.563314226285215</v>
      </c>
      <c r="Q210" s="62">
        <f t="shared" si="61"/>
        <v>2.4919314659379639E-2</v>
      </c>
      <c r="R210" s="33">
        <f t="shared" si="62"/>
        <v>1.4946601754584257E-5</v>
      </c>
      <c r="S210" s="45">
        <f>0.37*Model!$B$10*(Q210^2*(N210-K210)*I210/(R210*O210^2))^0.33333*(N210-K210)</f>
        <v>425087.31975746591</v>
      </c>
      <c r="T210" s="50">
        <f>Model!$B$32+(90-Model!$B$6)*SIN(RADIANS(-15*(E210+6)))</f>
        <v>27.937531276905233</v>
      </c>
      <c r="U210" s="45">
        <f t="shared" si="63"/>
        <v>27.937531276905233</v>
      </c>
      <c r="V210" s="50">
        <f t="shared" si="64"/>
        <v>2.134432448722559</v>
      </c>
      <c r="W210" s="45">
        <f t="shared" si="65"/>
        <v>841.64189094777782</v>
      </c>
      <c r="X210" s="45">
        <f>0.3*W210*Model!$B$9</f>
        <v>76239.830269613114</v>
      </c>
      <c r="Y210" s="33">
        <f>(S210-X210)/Model!$B$11</f>
        <v>7.4835887479964124E-3</v>
      </c>
      <c r="Z210" s="45">
        <f t="shared" si="66"/>
        <v>17.935098678810707</v>
      </c>
      <c r="AA210" s="56">
        <f>Y210/Model!$B$12*3600</f>
        <v>48.452712544916302</v>
      </c>
      <c r="AB210" s="50">
        <f t="shared" si="71"/>
        <v>836.4997897988726</v>
      </c>
      <c r="AC210" s="50">
        <f t="shared" si="72"/>
        <v>963.5002102011274</v>
      </c>
      <c r="AD210" s="15">
        <f>IF(AE210=0, Model!$B$19, 0 )</f>
        <v>0</v>
      </c>
      <c r="AE210" s="50">
        <f>IF(AE209+AB209-AB210&lt;Model!$B$19*Model!$B$18, AE209+AB209-AB210,  0)</f>
        <v>57.321915858739658</v>
      </c>
      <c r="AF210" s="15">
        <f t="shared" si="67"/>
        <v>10.400000000000013</v>
      </c>
      <c r="AG210" s="50">
        <f t="shared" si="68"/>
        <v>0</v>
      </c>
    </row>
    <row r="211" spans="2:33" x14ac:dyDescent="0.25">
      <c r="B211" s="13">
        <f t="shared" si="69"/>
        <v>10.450000000000014</v>
      </c>
      <c r="C211" s="13">
        <f>B211+Model!$B$4</f>
        <v>12.450000000000014</v>
      </c>
      <c r="D211" s="13">
        <f t="shared" si="70"/>
        <v>1</v>
      </c>
      <c r="E211" s="13">
        <f t="shared" si="55"/>
        <v>12.450000000000014</v>
      </c>
      <c r="F211" s="14">
        <f>IF(AB211&gt;0, VLOOKUP(B211,Model!$A$40:$B$60, 2), 0)</f>
        <v>300</v>
      </c>
      <c r="G211" s="13">
        <f>IF(AB211&gt;0, VLOOKUP(B211,Model!$A$39:$C$58, 3), 0)</f>
        <v>1</v>
      </c>
      <c r="H211" s="13">
        <f t="shared" si="56"/>
        <v>97</v>
      </c>
      <c r="I211" s="46">
        <f>Model!$B$21*EXP((-0.029*9.81*F211)/(8.31*(273+J211)))</f>
        <v>100357.4491247143</v>
      </c>
      <c r="J211" s="13">
        <f>IF(Model!$B$31="Summer",  IF(F211&lt;=2000,  Model!$B$20-Model!$B$35*F211/1000,  IF(F211&lt;Model!$B$36,  Model!$B$33-6.5*F211/1000,  Model!$B$38)),     IF(F211&lt;=2000,  Model!$B$20-Model!$B$35*F211/1000,  IF(F211&lt;Model!$B$36,  Model!$B$33-5.4*F211/1000,   Model!$B$38)))</f>
        <v>-19.088750000000001</v>
      </c>
      <c r="K211" s="13">
        <f t="shared" si="57"/>
        <v>253.91125</v>
      </c>
      <c r="L211" s="46">
        <f>IF(AB210-AA210*(B211-B210)&gt;0, L210-Y210*(B211-B210)*3600-AD211*Model!$B$16, 0)</f>
        <v>1094.7677496482806</v>
      </c>
      <c r="M211" s="57">
        <f t="shared" si="58"/>
        <v>44.886355947389404</v>
      </c>
      <c r="N211" s="57">
        <f>Model!$B$13*I211*K211/(Model!$B$13*I211-L211*287*K211)</f>
        <v>317.8863559473894</v>
      </c>
      <c r="O211" s="57">
        <f t="shared" si="59"/>
        <v>285.89880297369473</v>
      </c>
      <c r="P211" s="57">
        <f t="shared" si="60"/>
        <v>18.509748913346556</v>
      </c>
      <c r="Q211" s="63">
        <f t="shared" si="61"/>
        <v>2.4915815011132325E-2</v>
      </c>
      <c r="R211" s="17">
        <f t="shared" si="62"/>
        <v>1.4941475509264251E-5</v>
      </c>
      <c r="S211" s="46">
        <f>0.37*Model!$B$10*(Q211^2*(N211-K211)*I211/(R211*O211^2))^0.33333*(N211-K211)</f>
        <v>424273.05521211366</v>
      </c>
      <c r="T211" s="51">
        <f>Model!$B$32+(90-Model!$B$6)*SIN(RADIANS(-15*(E211+6)))</f>
        <v>27.886660932438083</v>
      </c>
      <c r="U211" s="46">
        <f t="shared" si="63"/>
        <v>27.886660932438083</v>
      </c>
      <c r="V211" s="51">
        <f t="shared" si="64"/>
        <v>2.1380127806642792</v>
      </c>
      <c r="W211" s="46">
        <f t="shared" si="65"/>
        <v>840.91353590350525</v>
      </c>
      <c r="X211" s="46">
        <f>0.3*W211*Model!$B$9</f>
        <v>76173.852487912125</v>
      </c>
      <c r="Y211" s="17">
        <f>(S211-X211)/Model!$B$11</f>
        <v>7.4675362592341856E-3</v>
      </c>
      <c r="Z211" s="46">
        <f t="shared" si="66"/>
        <v>17.953968924524162</v>
      </c>
      <c r="AA211" s="57">
        <f>Y211/Model!$B$12*3600</f>
        <v>48.348780240534275</v>
      </c>
      <c r="AB211" s="51">
        <f t="shared" si="71"/>
        <v>834.07715417162672</v>
      </c>
      <c r="AC211" s="51">
        <f t="shared" si="72"/>
        <v>965.92284582837328</v>
      </c>
      <c r="AD211" s="13">
        <f>IF(AE211=0, Model!$B$19, 0 )</f>
        <v>0</v>
      </c>
      <c r="AE211" s="51">
        <f>IF(AE210+AB210-AB211&lt;Model!$B$19*Model!$B$18, AE210+AB210-AB211,  0)</f>
        <v>59.744551485985539</v>
      </c>
      <c r="AF211" s="13">
        <f t="shared" si="67"/>
        <v>10.450000000000014</v>
      </c>
      <c r="AG211" s="50">
        <f t="shared" si="68"/>
        <v>0</v>
      </c>
    </row>
    <row r="212" spans="2:33" x14ac:dyDescent="0.25">
      <c r="B212" s="15">
        <f t="shared" si="69"/>
        <v>10.500000000000014</v>
      </c>
      <c r="C212" s="15">
        <f>B212+Model!$B$4</f>
        <v>12.500000000000014</v>
      </c>
      <c r="D212" s="15">
        <f t="shared" si="70"/>
        <v>1</v>
      </c>
      <c r="E212" s="15">
        <f t="shared" si="55"/>
        <v>12.500000000000014</v>
      </c>
      <c r="F212" s="16">
        <f>IF(AB212&gt;0, VLOOKUP(B212,Model!$A$40:$B$60, 2), 0)</f>
        <v>300</v>
      </c>
      <c r="G212" s="15">
        <f>IF(AB212&gt;0, VLOOKUP(B212,Model!$A$39:$C$58, 3), 0)</f>
        <v>1</v>
      </c>
      <c r="H212" s="15">
        <f t="shared" si="56"/>
        <v>97</v>
      </c>
      <c r="I212" s="45">
        <f>Model!$B$21*EXP((-0.029*9.81*F212)/(8.31*(273+J212)))</f>
        <v>100357.4491247143</v>
      </c>
      <c r="J212" s="15">
        <f>IF(Model!$B$31="Summer",  IF(F212&lt;=2000,  Model!$B$20-Model!$B$35*F212/1000,  IF(F212&lt;Model!$B$36,  Model!$B$33-6.5*F212/1000,  Model!$B$38)),     IF(F212&lt;=2000,  Model!$B$20-Model!$B$35*F212/1000,  IF(F212&lt;Model!$B$36,  Model!$B$33-5.4*F212/1000,   Model!$B$38)))</f>
        <v>-19.088750000000001</v>
      </c>
      <c r="K212" s="15">
        <f t="shared" si="57"/>
        <v>253.91125</v>
      </c>
      <c r="L212" s="45">
        <f>IF(AB211-AA211*(B212-B211)&gt;0, L211-Y211*(B212-B211)*3600-AD212*Model!$B$16, 0)</f>
        <v>1093.4235931216185</v>
      </c>
      <c r="M212" s="56">
        <f t="shared" si="58"/>
        <v>44.788046675911573</v>
      </c>
      <c r="N212" s="56">
        <f>Model!$B$13*I212*K212/(Model!$B$13*I212-L212*287*K212)</f>
        <v>317.78804667591157</v>
      </c>
      <c r="O212" s="56">
        <f t="shared" si="59"/>
        <v>285.84964833795578</v>
      </c>
      <c r="P212" s="56">
        <f t="shared" si="60"/>
        <v>18.455738577312488</v>
      </c>
      <c r="Q212" s="62">
        <f t="shared" si="61"/>
        <v>2.4912325031994861E-2</v>
      </c>
      <c r="R212" s="33">
        <f t="shared" si="62"/>
        <v>1.4936363427147401E-5</v>
      </c>
      <c r="S212" s="45">
        <f>0.37*Model!$B$10*(Q212^2*(N212-K212)*I212/(R212*O212^2))^0.33333*(N212-K212)</f>
        <v>423461.2779083905</v>
      </c>
      <c r="T212" s="50">
        <f>Model!$B$32+(90-Model!$B$6)*SIN(RADIANS(-15*(E212+6)))</f>
        <v>27.829835087099021</v>
      </c>
      <c r="U212" s="45">
        <f t="shared" si="63"/>
        <v>27.829835087099021</v>
      </c>
      <c r="V212" s="50">
        <f t="shared" si="64"/>
        <v>2.1420284997195935</v>
      </c>
      <c r="W212" s="45">
        <f t="shared" si="65"/>
        <v>840.09735903504884</v>
      </c>
      <c r="X212" s="45">
        <f>0.3*W212*Model!$B$9</f>
        <v>76099.919397615216</v>
      </c>
      <c r="Y212" s="33">
        <f>(S212-X212)/Model!$B$11</f>
        <v>7.4517077874241182E-3</v>
      </c>
      <c r="Z212" s="45">
        <f t="shared" si="66"/>
        <v>17.970927536396442</v>
      </c>
      <c r="AA212" s="56">
        <f>Y212/Model!$B$12*3600</f>
        <v>48.24629834041064</v>
      </c>
      <c r="AB212" s="50">
        <f t="shared" si="71"/>
        <v>831.65971515959995</v>
      </c>
      <c r="AC212" s="50">
        <f t="shared" si="72"/>
        <v>968.34028484040005</v>
      </c>
      <c r="AD212" s="15">
        <f>IF(AE212=0, Model!$B$19, 0 )</f>
        <v>0</v>
      </c>
      <c r="AE212" s="50">
        <f>IF(AE211+AB211-AB212&lt;Model!$B$19*Model!$B$18, AE211+AB211-AB212,  0)</f>
        <v>62.161990498012301</v>
      </c>
      <c r="AF212" s="15">
        <f t="shared" si="67"/>
        <v>10.500000000000014</v>
      </c>
      <c r="AG212" s="50">
        <f t="shared" si="68"/>
        <v>0</v>
      </c>
    </row>
    <row r="213" spans="2:33" x14ac:dyDescent="0.25">
      <c r="B213" s="13">
        <f t="shared" si="69"/>
        <v>10.550000000000015</v>
      </c>
      <c r="C213" s="13">
        <f>B213+Model!$B$4</f>
        <v>12.550000000000015</v>
      </c>
      <c r="D213" s="13">
        <f t="shared" si="70"/>
        <v>1</v>
      </c>
      <c r="E213" s="13">
        <f t="shared" si="55"/>
        <v>12.550000000000015</v>
      </c>
      <c r="F213" s="14">
        <f>IF(AB213&gt;0, VLOOKUP(B213,Model!$A$40:$B$60, 2), 0)</f>
        <v>300</v>
      </c>
      <c r="G213" s="13">
        <f>IF(AB213&gt;0, VLOOKUP(B213,Model!$A$39:$C$58, 3), 0)</f>
        <v>1</v>
      </c>
      <c r="H213" s="13">
        <f t="shared" si="56"/>
        <v>97</v>
      </c>
      <c r="I213" s="46">
        <f>Model!$B$21*EXP((-0.029*9.81*F213)/(8.31*(273+J213)))</f>
        <v>100357.4491247143</v>
      </c>
      <c r="J213" s="13">
        <f>IF(Model!$B$31="Summer",  IF(F213&lt;=2000,  Model!$B$20-Model!$B$35*F213/1000,  IF(F213&lt;Model!$B$36,  Model!$B$33-6.5*F213/1000,  Model!$B$38)),     IF(F213&lt;=2000,  Model!$B$20-Model!$B$35*F213/1000,  IF(F213&lt;Model!$B$36,  Model!$B$33-5.4*F213/1000,   Model!$B$38)))</f>
        <v>-19.088750000000001</v>
      </c>
      <c r="K213" s="13">
        <f t="shared" si="57"/>
        <v>253.91125</v>
      </c>
      <c r="L213" s="46">
        <f>IF(AB212-AA212*(B213-B212)&gt;0, L212-Y212*(B213-B212)*3600-AD213*Model!$B$16, 0)</f>
        <v>1092.0822857198821</v>
      </c>
      <c r="M213" s="57">
        <f t="shared" si="58"/>
        <v>44.690006378672081</v>
      </c>
      <c r="N213" s="57">
        <f>Model!$B$13*I213*K213/(Model!$B$13*I213-L213*287*K213)</f>
        <v>317.69000637867208</v>
      </c>
      <c r="O213" s="57">
        <f t="shared" si="59"/>
        <v>285.80062818933607</v>
      </c>
      <c r="P213" s="57">
        <f t="shared" si="60"/>
        <v>18.401277249569699</v>
      </c>
      <c r="Q213" s="63">
        <f t="shared" si="61"/>
        <v>2.490884460144286E-2</v>
      </c>
      <c r="R213" s="17">
        <f t="shared" si="62"/>
        <v>1.493126533169095E-5</v>
      </c>
      <c r="S213" s="46">
        <f>0.37*Model!$B$10*(Q213^2*(N213-K213)*I213/(R213*O213^2))^0.33333*(N213-K213)</f>
        <v>422651.95834318426</v>
      </c>
      <c r="T213" s="51">
        <f>Model!$B$32+(90-Model!$B$6)*SIN(RADIANS(-15*(E213+6)))</f>
        <v>27.767063477704113</v>
      </c>
      <c r="U213" s="46">
        <f t="shared" si="63"/>
        <v>27.767063477704113</v>
      </c>
      <c r="V213" s="51">
        <f t="shared" si="64"/>
        <v>2.1464844197357178</v>
      </c>
      <c r="W213" s="46">
        <f t="shared" si="65"/>
        <v>839.19264049429489</v>
      </c>
      <c r="X213" s="46">
        <f>0.3*W213*Model!$B$9</f>
        <v>76017.965791537965</v>
      </c>
      <c r="Y213" s="17">
        <f>(S213-X213)/Model!$B$11</f>
        <v>7.4361040985014759E-3</v>
      </c>
      <c r="Z213" s="46">
        <f t="shared" si="66"/>
        <v>17.985949027547868</v>
      </c>
      <c r="AA213" s="57">
        <f>Y213/Model!$B$12*3600</f>
        <v>48.145271803615515</v>
      </c>
      <c r="AB213" s="51">
        <f t="shared" si="71"/>
        <v>829.24740024257937</v>
      </c>
      <c r="AC213" s="51">
        <f t="shared" si="72"/>
        <v>970.75259975742063</v>
      </c>
      <c r="AD213" s="13">
        <f>IF(AE213=0, Model!$B$19, 0 )</f>
        <v>0</v>
      </c>
      <c r="AE213" s="51">
        <f>IF(AE212+AB212-AB213&lt;Model!$B$19*Model!$B$18, AE212+AB212-AB213,  0)</f>
        <v>64.574305415032882</v>
      </c>
      <c r="AF213" s="13">
        <f t="shared" si="67"/>
        <v>10.550000000000015</v>
      </c>
      <c r="AG213" s="50">
        <f t="shared" si="68"/>
        <v>0</v>
      </c>
    </row>
    <row r="214" spans="2:33" x14ac:dyDescent="0.25">
      <c r="B214" s="15">
        <f t="shared" si="69"/>
        <v>10.600000000000016</v>
      </c>
      <c r="C214" s="15">
        <f>B214+Model!$B$4</f>
        <v>12.600000000000016</v>
      </c>
      <c r="D214" s="15">
        <f t="shared" si="70"/>
        <v>1</v>
      </c>
      <c r="E214" s="15">
        <f t="shared" si="55"/>
        <v>12.600000000000016</v>
      </c>
      <c r="F214" s="16">
        <f>IF(AB214&gt;0, VLOOKUP(B214,Model!$A$40:$B$60, 2), 0)</f>
        <v>300</v>
      </c>
      <c r="G214" s="15">
        <f>IF(AB214&gt;0, VLOOKUP(B214,Model!$A$39:$C$58, 3), 0)</f>
        <v>1</v>
      </c>
      <c r="H214" s="15">
        <f t="shared" si="56"/>
        <v>97</v>
      </c>
      <c r="I214" s="45">
        <f>Model!$B$21*EXP((-0.029*9.81*F214)/(8.31*(273+J214)))</f>
        <v>100357.4491247143</v>
      </c>
      <c r="J214" s="15">
        <f>IF(Model!$B$31="Summer",  IF(F214&lt;=2000,  Model!$B$20-Model!$B$35*F214/1000,  IF(F214&lt;Model!$B$36,  Model!$B$33-6.5*F214/1000,  Model!$B$38)),     IF(F214&lt;=2000,  Model!$B$20-Model!$B$35*F214/1000,  IF(F214&lt;Model!$B$36,  Model!$B$33-5.4*F214/1000,   Model!$B$38)))</f>
        <v>-19.088750000000001</v>
      </c>
      <c r="K214" s="15">
        <f t="shared" si="57"/>
        <v>253.91125</v>
      </c>
      <c r="L214" s="45">
        <f>IF(AB213-AA213*(B214-B213)&gt;0, L213-Y213*(B214-B213)*3600-AD214*Model!$B$16, 0)</f>
        <v>1090.7437869821517</v>
      </c>
      <c r="M214" s="56">
        <f t="shared" si="58"/>
        <v>44.592231659440927</v>
      </c>
      <c r="N214" s="56">
        <f>Model!$B$13*I214*K214/(Model!$B$13*I214-L214*287*K214)</f>
        <v>317.59223165944093</v>
      </c>
      <c r="O214" s="56">
        <f t="shared" si="59"/>
        <v>285.75174082972046</v>
      </c>
      <c r="P214" s="56">
        <f t="shared" si="60"/>
        <v>18.346358433015762</v>
      </c>
      <c r="Q214" s="62">
        <f t="shared" si="61"/>
        <v>2.4905373598910152E-2</v>
      </c>
      <c r="R214" s="33">
        <f t="shared" si="62"/>
        <v>1.4926181046290927E-5</v>
      </c>
      <c r="S214" s="45">
        <f>0.37*Model!$B$10*(Q214^2*(N214-K214)*I214/(R214*O214^2))^0.33333*(N214-K214)</f>
        <v>421845.06703515904</v>
      </c>
      <c r="T214" s="50">
        <f>Model!$B$32+(90-Model!$B$6)*SIN(RADIANS(-15*(E214+6)))</f>
        <v>27.698356859845475</v>
      </c>
      <c r="U214" s="45">
        <f t="shared" si="63"/>
        <v>27.698356859845475</v>
      </c>
      <c r="V214" s="50">
        <f t="shared" si="64"/>
        <v>2.1513859095273515</v>
      </c>
      <c r="W214" s="45">
        <f t="shared" si="65"/>
        <v>838.19857994918709</v>
      </c>
      <c r="X214" s="45">
        <f>0.3*W214*Model!$B$9</f>
        <v>75927.919171886708</v>
      </c>
      <c r="Y214" s="33">
        <f>(S214-X214)/Model!$B$11</f>
        <v>7.42072611526917E-3</v>
      </c>
      <c r="Z214" s="45">
        <f t="shared" si="66"/>
        <v>17.999006058202507</v>
      </c>
      <c r="AA214" s="56">
        <f>Y214/Model!$B$12*3600</f>
        <v>48.045706604863113</v>
      </c>
      <c r="AB214" s="50">
        <f t="shared" si="71"/>
        <v>826.84013665239854</v>
      </c>
      <c r="AC214" s="50">
        <f t="shared" si="72"/>
        <v>973.15986334760146</v>
      </c>
      <c r="AD214" s="15">
        <f>IF(AE214=0, Model!$B$19, 0 )</f>
        <v>0</v>
      </c>
      <c r="AE214" s="50">
        <f>IF(AE213+AB213-AB214&lt;Model!$B$19*Model!$B$18, AE213+AB213-AB214,  0)</f>
        <v>66.981569005213714</v>
      </c>
      <c r="AF214" s="15">
        <f t="shared" si="67"/>
        <v>10.600000000000016</v>
      </c>
      <c r="AG214" s="50">
        <f t="shared" si="68"/>
        <v>0</v>
      </c>
    </row>
    <row r="215" spans="2:33" x14ac:dyDescent="0.25">
      <c r="B215" s="13">
        <f t="shared" si="69"/>
        <v>10.650000000000016</v>
      </c>
      <c r="C215" s="13">
        <f>B215+Model!$B$4</f>
        <v>12.650000000000016</v>
      </c>
      <c r="D215" s="13">
        <f t="shared" si="70"/>
        <v>1</v>
      </c>
      <c r="E215" s="13">
        <f t="shared" si="55"/>
        <v>12.650000000000016</v>
      </c>
      <c r="F215" s="14">
        <f>IF(AB215&gt;0, VLOOKUP(B215,Model!$A$40:$B$60, 2), 0)</f>
        <v>300</v>
      </c>
      <c r="G215" s="13">
        <f>IF(AB215&gt;0, VLOOKUP(B215,Model!$A$39:$C$58, 3), 0)</f>
        <v>1</v>
      </c>
      <c r="H215" s="13">
        <f t="shared" si="56"/>
        <v>97</v>
      </c>
      <c r="I215" s="46">
        <f>Model!$B$21*EXP((-0.029*9.81*F215)/(8.31*(273+J215)))</f>
        <v>100357.4491247143</v>
      </c>
      <c r="J215" s="13">
        <f>IF(Model!$B$31="Summer",  IF(F215&lt;=2000,  Model!$B$20-Model!$B$35*F215/1000,  IF(F215&lt;Model!$B$36,  Model!$B$33-6.5*F215/1000,  Model!$B$38)),     IF(F215&lt;=2000,  Model!$B$20-Model!$B$35*F215/1000,  IF(F215&lt;Model!$B$36,  Model!$B$33-5.4*F215/1000,   Model!$B$38)))</f>
        <v>-19.088750000000001</v>
      </c>
      <c r="K215" s="13">
        <f t="shared" si="57"/>
        <v>253.91125</v>
      </c>
      <c r="L215" s="46">
        <f>IF(AB214-AA214*(B215-B214)&gt;0, L214-Y214*(B215-B214)*3600-AD215*Model!$B$16, 0)</f>
        <v>1089.4080562814033</v>
      </c>
      <c r="M215" s="57">
        <f t="shared" si="58"/>
        <v>44.494719118721036</v>
      </c>
      <c r="N215" s="57">
        <f>Model!$B$13*I215*K215/(Model!$B$13*I215-L215*287*K215)</f>
        <v>317.49471911872104</v>
      </c>
      <c r="O215" s="57">
        <f t="shared" si="59"/>
        <v>285.70298455936052</v>
      </c>
      <c r="P215" s="57">
        <f t="shared" si="60"/>
        <v>18.290975092355097</v>
      </c>
      <c r="Q215" s="63">
        <f t="shared" si="61"/>
        <v>2.4901911903714598E-2</v>
      </c>
      <c r="R215" s="17">
        <f t="shared" si="62"/>
        <v>1.4921110394173491E-5</v>
      </c>
      <c r="S215" s="46">
        <f>0.37*Model!$B$10*(Q215^2*(N215-K215)*I215/(R215*O215^2))^0.33333*(N215-K215)</f>
        <v>421040.57450749417</v>
      </c>
      <c r="T215" s="51">
        <f>Model!$B$32+(90-Model!$B$6)*SIN(RADIANS(-15*(E215+6)))</f>
        <v>27.62372700604837</v>
      </c>
      <c r="U215" s="46">
        <f t="shared" si="63"/>
        <v>27.62372700604837</v>
      </c>
      <c r="V215" s="51">
        <f t="shared" si="64"/>
        <v>2.1567389079838279</v>
      </c>
      <c r="W215" s="46">
        <f t="shared" si="65"/>
        <v>837.11429513331734</v>
      </c>
      <c r="X215" s="46">
        <f>0.3*W215*Model!$B$9</f>
        <v>75829.699618873798</v>
      </c>
      <c r="Y215" s="17">
        <f>(S215-X215)/Model!$B$11</f>
        <v>7.4055749198459796E-3</v>
      </c>
      <c r="Z215" s="46">
        <f t="shared" si="66"/>
        <v>18.010069387629553</v>
      </c>
      <c r="AA215" s="57">
        <f>Y215/Model!$B$12*3600</f>
        <v>47.947609750362894</v>
      </c>
      <c r="AB215" s="51">
        <f t="shared" si="71"/>
        <v>824.43785132215532</v>
      </c>
      <c r="AC215" s="51">
        <f t="shared" si="72"/>
        <v>975.56214867784468</v>
      </c>
      <c r="AD215" s="13">
        <f>IF(AE215=0, Model!$B$19, 0 )</f>
        <v>0</v>
      </c>
      <c r="AE215" s="51">
        <f>IF(AE214+AB214-AB215&lt;Model!$B$19*Model!$B$18, AE214+AB214-AB215,  0)</f>
        <v>69.383854335456931</v>
      </c>
      <c r="AF215" s="13">
        <f t="shared" si="67"/>
        <v>10.650000000000016</v>
      </c>
      <c r="AG215" s="50">
        <f t="shared" si="68"/>
        <v>0</v>
      </c>
    </row>
    <row r="216" spans="2:33" x14ac:dyDescent="0.25">
      <c r="B216" s="15">
        <f t="shared" si="69"/>
        <v>10.700000000000017</v>
      </c>
      <c r="C216" s="15">
        <f>B216+Model!$B$4</f>
        <v>12.700000000000017</v>
      </c>
      <c r="D216" s="15">
        <f t="shared" si="70"/>
        <v>1</v>
      </c>
      <c r="E216" s="15">
        <f t="shared" si="55"/>
        <v>12.700000000000017</v>
      </c>
      <c r="F216" s="16">
        <f>IF(AB216&gt;0, VLOOKUP(B216,Model!$A$40:$B$60, 2), 0)</f>
        <v>300</v>
      </c>
      <c r="G216" s="15">
        <f>IF(AB216&gt;0, VLOOKUP(B216,Model!$A$39:$C$58, 3), 0)</f>
        <v>1</v>
      </c>
      <c r="H216" s="15">
        <f t="shared" si="56"/>
        <v>97</v>
      </c>
      <c r="I216" s="45">
        <f>Model!$B$21*EXP((-0.029*9.81*F216)/(8.31*(273+J216)))</f>
        <v>100357.4491247143</v>
      </c>
      <c r="J216" s="15">
        <f>IF(Model!$B$31="Summer",  IF(F216&lt;=2000,  Model!$B$20-Model!$B$35*F216/1000,  IF(F216&lt;Model!$B$36,  Model!$B$33-6.5*F216/1000,  Model!$B$38)),     IF(F216&lt;=2000,  Model!$B$20-Model!$B$35*F216/1000,  IF(F216&lt;Model!$B$36,  Model!$B$33-5.4*F216/1000,   Model!$B$38)))</f>
        <v>-19.088750000000001</v>
      </c>
      <c r="K216" s="15">
        <f t="shared" si="57"/>
        <v>253.91125</v>
      </c>
      <c r="L216" s="45">
        <f>IF(AB215-AA215*(B216-B215)&gt;0, L215-Y215*(B216-B215)*3600-AD216*Model!$B$16, 0)</f>
        <v>1088.075052795831</v>
      </c>
      <c r="M216" s="56">
        <f t="shared" si="58"/>
        <v>44.397465351633741</v>
      </c>
      <c r="N216" s="56">
        <f>Model!$B$13*I216*K216/(Model!$B$13*I216-L216*287*K216)</f>
        <v>317.39746535163374</v>
      </c>
      <c r="O216" s="56">
        <f t="shared" si="59"/>
        <v>285.65435767581687</v>
      </c>
      <c r="P216" s="56">
        <f t="shared" si="60"/>
        <v>18.235119643372318</v>
      </c>
      <c r="Q216" s="62">
        <f t="shared" si="61"/>
        <v>2.4898459394982999E-2</v>
      </c>
      <c r="R216" s="33">
        <f t="shared" si="62"/>
        <v>1.4916053198284954E-5</v>
      </c>
      <c r="S216" s="45">
        <f>0.37*Model!$B$10*(Q216^2*(N216-K216)*I216/(R216*O216^2))^0.33333*(N216-K216)</f>
        <v>420238.45127045462</v>
      </c>
      <c r="T216" s="50">
        <f>Model!$B$32+(90-Model!$B$6)*SIN(RADIANS(-15*(E216+6)))</f>
        <v>27.543186703754067</v>
      </c>
      <c r="U216" s="45">
        <f t="shared" si="63"/>
        <v>27.543186703754067</v>
      </c>
      <c r="V216" s="50">
        <f t="shared" si="64"/>
        <v>2.162549940927263</v>
      </c>
      <c r="W216" s="45">
        <f t="shared" si="65"/>
        <v>835.93882023933577</v>
      </c>
      <c r="X216" s="45">
        <f>0.3*W216*Model!$B$9</f>
        <v>75723.219645185192</v>
      </c>
      <c r="Y216" s="33">
        <f>(S216-X216)/Model!$B$11</f>
        <v>7.3906517564146608E-3</v>
      </c>
      <c r="Z216" s="45">
        <f t="shared" si="66"/>
        <v>18.019107822299603</v>
      </c>
      <c r="AA216" s="56">
        <f>Y216/Model!$B$12*3600</f>
        <v>47.850989295612216</v>
      </c>
      <c r="AB216" s="50">
        <f t="shared" si="71"/>
        <v>822.04047083463718</v>
      </c>
      <c r="AC216" s="50">
        <f t="shared" si="72"/>
        <v>977.95952916536282</v>
      </c>
      <c r="AD216" s="15">
        <f>IF(AE216=0, Model!$B$19, 0 )</f>
        <v>0</v>
      </c>
      <c r="AE216" s="50">
        <f>IF(AE215+AB215-AB216&lt;Model!$B$19*Model!$B$18, AE215+AB215-AB216,  0)</f>
        <v>71.78123482297508</v>
      </c>
      <c r="AF216" s="15">
        <f t="shared" si="67"/>
        <v>10.700000000000017</v>
      </c>
      <c r="AG216" s="50">
        <f t="shared" si="68"/>
        <v>0</v>
      </c>
    </row>
    <row r="217" spans="2:33" x14ac:dyDescent="0.25">
      <c r="B217" s="13">
        <f t="shared" si="69"/>
        <v>10.750000000000018</v>
      </c>
      <c r="C217" s="13">
        <f>B217+Model!$B$4</f>
        <v>12.750000000000018</v>
      </c>
      <c r="D217" s="13">
        <f t="shared" si="70"/>
        <v>1</v>
      </c>
      <c r="E217" s="13">
        <f t="shared" si="55"/>
        <v>12.750000000000018</v>
      </c>
      <c r="F217" s="14">
        <f>IF(AB217&gt;0, VLOOKUP(B217,Model!$A$40:$B$60, 2), 0)</f>
        <v>300</v>
      </c>
      <c r="G217" s="13">
        <f>IF(AB217&gt;0, VLOOKUP(B217,Model!$A$39:$C$58, 3), 0)</f>
        <v>1</v>
      </c>
      <c r="H217" s="13">
        <f t="shared" si="56"/>
        <v>97</v>
      </c>
      <c r="I217" s="46">
        <f>Model!$B$21*EXP((-0.029*9.81*F217)/(8.31*(273+J217)))</f>
        <v>100357.4491247143</v>
      </c>
      <c r="J217" s="13">
        <f>IF(Model!$B$31="Summer",  IF(F217&lt;=2000,  Model!$B$20-Model!$B$35*F217/1000,  IF(F217&lt;Model!$B$36,  Model!$B$33-6.5*F217/1000,  Model!$B$38)),     IF(F217&lt;=2000,  Model!$B$20-Model!$B$35*F217/1000,  IF(F217&lt;Model!$B$36,  Model!$B$33-5.4*F217/1000,   Model!$B$38)))</f>
        <v>-19.088750000000001</v>
      </c>
      <c r="K217" s="13">
        <f t="shared" si="57"/>
        <v>253.91125</v>
      </c>
      <c r="L217" s="46">
        <f>IF(AB216-AA216*(B217-B216)&gt;0, L216-Y216*(B217-B216)*3600-AD217*Model!$B$16, 0)</f>
        <v>1086.7447354796764</v>
      </c>
      <c r="M217" s="57">
        <f t="shared" si="58"/>
        <v>44.300466945776861</v>
      </c>
      <c r="N217" s="57">
        <f>Model!$B$13*I217*K217/(Model!$B$13*I217-L217*287*K217)</f>
        <v>317.30046694577686</v>
      </c>
      <c r="O217" s="57">
        <f t="shared" si="59"/>
        <v>285.60585847288843</v>
      </c>
      <c r="P217" s="57">
        <f t="shared" si="60"/>
        <v>18.17878394115067</v>
      </c>
      <c r="Q217" s="63">
        <f t="shared" si="61"/>
        <v>2.4895015951575079E-2</v>
      </c>
      <c r="R217" s="17">
        <f t="shared" si="62"/>
        <v>1.4911009281180396E-5</v>
      </c>
      <c r="S217" s="46">
        <f>0.37*Model!$B$10*(Q217^2*(N217-K217)*I217/(R217*O217^2))^0.33333*(N217-K217)</f>
        <v>419438.66780376772</v>
      </c>
      <c r="T217" s="51">
        <f>Model!$B$32+(90-Model!$B$6)*SIN(RADIANS(-15*(E217+6)))</f>
        <v>27.456749753128712</v>
      </c>
      <c r="U217" s="46">
        <f t="shared" si="63"/>
        <v>27.456749753128712</v>
      </c>
      <c r="V217" s="51">
        <f t="shared" si="64"/>
        <v>2.1688261398139335</v>
      </c>
      <c r="W217" s="46">
        <f t="shared" si="65"/>
        <v>834.67110415106583</v>
      </c>
      <c r="X217" s="46">
        <f>0.3*W217*Model!$B$9</f>
        <v>75608.38403583724</v>
      </c>
      <c r="Y217" s="17">
        <f>(S217-X217)/Model!$B$11</f>
        <v>7.3759580342793191E-3</v>
      </c>
      <c r="Z217" s="46">
        <f t="shared" si="66"/>
        <v>18.026088160095494</v>
      </c>
      <c r="AA217" s="57">
        <f>Y217/Model!$B$12*3600</f>
        <v>47.755854365191404</v>
      </c>
      <c r="AB217" s="51">
        <f t="shared" si="71"/>
        <v>819.64792136985648</v>
      </c>
      <c r="AC217" s="51">
        <f t="shared" si="72"/>
        <v>980.35207863014352</v>
      </c>
      <c r="AD217" s="13">
        <f>IF(AE217=0, Model!$B$19, 0 )</f>
        <v>0</v>
      </c>
      <c r="AE217" s="51">
        <f>IF(AE216+AB216-AB217&lt;Model!$B$19*Model!$B$18, AE216+AB216-AB217,  0)</f>
        <v>74.17378428775578</v>
      </c>
      <c r="AF217" s="13">
        <f t="shared" si="67"/>
        <v>10.750000000000018</v>
      </c>
      <c r="AG217" s="50">
        <f t="shared" si="68"/>
        <v>0</v>
      </c>
    </row>
    <row r="218" spans="2:33" x14ac:dyDescent="0.25">
      <c r="B218" s="15">
        <f t="shared" si="69"/>
        <v>10.800000000000018</v>
      </c>
      <c r="C218" s="15">
        <f>B218+Model!$B$4</f>
        <v>12.800000000000018</v>
      </c>
      <c r="D218" s="15">
        <f t="shared" si="70"/>
        <v>1</v>
      </c>
      <c r="E218" s="15">
        <f t="shared" si="55"/>
        <v>12.800000000000018</v>
      </c>
      <c r="F218" s="16">
        <f>IF(AB218&gt;0, VLOOKUP(B218,Model!$A$40:$B$60, 2), 0)</f>
        <v>300</v>
      </c>
      <c r="G218" s="15">
        <f>IF(AB218&gt;0, VLOOKUP(B218,Model!$A$39:$C$58, 3), 0)</f>
        <v>1</v>
      </c>
      <c r="H218" s="15">
        <f t="shared" si="56"/>
        <v>97</v>
      </c>
      <c r="I218" s="45">
        <f>Model!$B$21*EXP((-0.029*9.81*F218)/(8.31*(273+J218)))</f>
        <v>100357.4491247143</v>
      </c>
      <c r="J218" s="15">
        <f>IF(Model!$B$31="Summer",  IF(F218&lt;=2000,  Model!$B$20-Model!$B$35*F218/1000,  IF(F218&lt;Model!$B$36,  Model!$B$33-6.5*F218/1000,  Model!$B$38)),     IF(F218&lt;=2000,  Model!$B$20-Model!$B$35*F218/1000,  IF(F218&lt;Model!$B$36,  Model!$B$33-5.4*F218/1000,   Model!$B$38)))</f>
        <v>-19.088750000000001</v>
      </c>
      <c r="K218" s="15">
        <f t="shared" si="57"/>
        <v>253.91125</v>
      </c>
      <c r="L218" s="45">
        <f>IF(AB217-AA217*(B218-B217)&gt;0, L217-Y217*(B218-B217)*3600-AD218*Model!$B$16, 0)</f>
        <v>1085.4170630335061</v>
      </c>
      <c r="M218" s="56">
        <f t="shared" si="58"/>
        <v>44.203720479050446</v>
      </c>
      <c r="N218" s="56">
        <f>Model!$B$13*I218*K218/(Model!$B$13*I218-L218*287*K218)</f>
        <v>317.20372047905045</v>
      </c>
      <c r="O218" s="56">
        <f t="shared" si="59"/>
        <v>285.55748523952525</v>
      </c>
      <c r="P218" s="56">
        <f t="shared" si="60"/>
        <v>18.121959267198996</v>
      </c>
      <c r="Q218" s="62">
        <f t="shared" si="61"/>
        <v>2.4891581452006293E-2</v>
      </c>
      <c r="R218" s="33">
        <f t="shared" si="62"/>
        <v>1.4905978464910624E-5</v>
      </c>
      <c r="S218" s="45">
        <f>0.37*Model!$B$10*(Q218^2*(N218-K218)*I218/(R218*O218^2))^0.33333*(N218-K218)</f>
        <v>418641.19453876629</v>
      </c>
      <c r="T218" s="50">
        <f>Model!$B$32+(90-Model!$B$6)*SIN(RADIANS(-15*(E218+6)))</f>
        <v>27.36443096469884</v>
      </c>
      <c r="U218" s="45">
        <f t="shared" si="63"/>
        <v>27.36443096469884</v>
      </c>
      <c r="V218" s="50">
        <f t="shared" si="64"/>
        <v>2.1755752623823468</v>
      </c>
      <c r="W218" s="45">
        <f t="shared" si="65"/>
        <v>833.31000850869214</v>
      </c>
      <c r="X218" s="45">
        <f>0.3*W218*Model!$B$9</f>
        <v>75485.089672912378</v>
      </c>
      <c r="Y218" s="33">
        <f>(S218-X218)/Model!$B$11</f>
        <v>7.3614953312421735E-3</v>
      </c>
      <c r="Z218" s="45">
        <f t="shared" si="66"/>
        <v>18.030975130404286</v>
      </c>
      <c r="AA218" s="56">
        <f>Y218/Model!$B$12*3600</f>
        <v>47.662215174626724</v>
      </c>
      <c r="AB218" s="50">
        <f t="shared" si="71"/>
        <v>817.26012865159692</v>
      </c>
      <c r="AC218" s="50">
        <f t="shared" si="72"/>
        <v>982.73987134840308</v>
      </c>
      <c r="AD218" s="15">
        <f>IF(AE218=0, Model!$B$19, 0 )</f>
        <v>0</v>
      </c>
      <c r="AE218" s="50">
        <f>IF(AE217+AB217-AB218&lt;Model!$B$19*Model!$B$18, AE217+AB217-AB218,  0)</f>
        <v>76.561577006015341</v>
      </c>
      <c r="AF218" s="15">
        <f t="shared" si="67"/>
        <v>10.800000000000018</v>
      </c>
      <c r="AG218" s="50">
        <f t="shared" si="68"/>
        <v>0</v>
      </c>
    </row>
    <row r="219" spans="2:33" x14ac:dyDescent="0.25">
      <c r="B219" s="13">
        <f t="shared" si="69"/>
        <v>10.850000000000019</v>
      </c>
      <c r="C219" s="13">
        <f>B219+Model!$B$4</f>
        <v>12.850000000000019</v>
      </c>
      <c r="D219" s="13">
        <f t="shared" si="70"/>
        <v>1</v>
      </c>
      <c r="E219" s="13">
        <f t="shared" si="55"/>
        <v>12.850000000000019</v>
      </c>
      <c r="F219" s="14">
        <f>IF(AB219&gt;0, VLOOKUP(B219,Model!$A$40:$B$60, 2), 0)</f>
        <v>300</v>
      </c>
      <c r="G219" s="13">
        <f>IF(AB219&gt;0, VLOOKUP(B219,Model!$A$39:$C$58, 3), 0)</f>
        <v>1</v>
      </c>
      <c r="H219" s="13">
        <f t="shared" si="56"/>
        <v>97</v>
      </c>
      <c r="I219" s="46">
        <f>Model!$B$21*EXP((-0.029*9.81*F219)/(8.31*(273+J219)))</f>
        <v>100357.4491247143</v>
      </c>
      <c r="J219" s="13">
        <f>IF(Model!$B$31="Summer",  IF(F219&lt;=2000,  Model!$B$20-Model!$B$35*F219/1000,  IF(F219&lt;Model!$B$36,  Model!$B$33-6.5*F219/1000,  Model!$B$38)),     IF(F219&lt;=2000,  Model!$B$20-Model!$B$35*F219/1000,  IF(F219&lt;Model!$B$36,  Model!$B$33-5.4*F219/1000,   Model!$B$38)))</f>
        <v>-19.088750000000001</v>
      </c>
      <c r="K219" s="13">
        <f t="shared" si="57"/>
        <v>253.91125</v>
      </c>
      <c r="L219" s="46">
        <f>IF(AB218-AA218*(B219-B218)&gt;0, L218-Y218*(B219-B218)*3600-AD219*Model!$B$16, 0)</f>
        <v>1084.0919938738825</v>
      </c>
      <c r="M219" s="57">
        <f t="shared" si="58"/>
        <v>44.107222517446758</v>
      </c>
      <c r="N219" s="57">
        <f>Model!$B$13*I219*K219/(Model!$B$13*I219-L219*287*K219)</f>
        <v>317.10722251744676</v>
      </c>
      <c r="O219" s="57">
        <f t="shared" si="59"/>
        <v>285.50923625872338</v>
      </c>
      <c r="P219" s="57">
        <f t="shared" si="60"/>
        <v>18.064636315447991</v>
      </c>
      <c r="Q219" s="63">
        <f t="shared" si="61"/>
        <v>2.4888155774369359E-2</v>
      </c>
      <c r="R219" s="17">
        <f t="shared" si="62"/>
        <v>1.4900960570907229E-5</v>
      </c>
      <c r="S219" s="46">
        <f>0.37*Model!$B$10*(Q219^2*(N219-K219)*I219/(R219*O219^2))^0.33333*(N219-K219)</f>
        <v>417846.00184026751</v>
      </c>
      <c r="T219" s="51">
        <f>Model!$B$32+(90-Model!$B$6)*SIN(RADIANS(-15*(E219+6)))</f>
        <v>27.266246156813587</v>
      </c>
      <c r="U219" s="46">
        <f t="shared" si="63"/>
        <v>27.266246156813587</v>
      </c>
      <c r="V219" s="51">
        <f t="shared" si="64"/>
        <v>2.1828057153637439</v>
      </c>
      <c r="W219" s="46">
        <f t="shared" si="65"/>
        <v>831.85430560082568</v>
      </c>
      <c r="X219" s="46">
        <f>0.3*W219*Model!$B$9</f>
        <v>75353.225344612671</v>
      </c>
      <c r="Y219" s="17">
        <f>(S219-X219)/Model!$B$11</f>
        <v>7.3472653973110551E-3</v>
      </c>
      <c r="Z219" s="46">
        <f t="shared" si="66"/>
        <v>18.033731329902352</v>
      </c>
      <c r="AA219" s="57">
        <f>Y219/Model!$B$12*3600</f>
        <v>47.570083054394679</v>
      </c>
      <c r="AB219" s="51">
        <f t="shared" si="71"/>
        <v>814.87701789286552</v>
      </c>
      <c r="AC219" s="51">
        <f t="shared" si="72"/>
        <v>985.12298210713448</v>
      </c>
      <c r="AD219" s="13">
        <f>IF(AE219=0, Model!$B$19, 0 )</f>
        <v>0</v>
      </c>
      <c r="AE219" s="51">
        <f>IF(AE218+AB218-AB219&lt;Model!$B$19*Model!$B$18, AE218+AB218-AB219,  0)</f>
        <v>78.944687764746732</v>
      </c>
      <c r="AF219" s="13">
        <f t="shared" si="67"/>
        <v>10.850000000000019</v>
      </c>
      <c r="AG219" s="50">
        <f t="shared" si="68"/>
        <v>0</v>
      </c>
    </row>
    <row r="220" spans="2:33" x14ac:dyDescent="0.25">
      <c r="B220" s="15">
        <f t="shared" si="69"/>
        <v>10.90000000000002</v>
      </c>
      <c r="C220" s="15">
        <f>B220+Model!$B$4</f>
        <v>12.90000000000002</v>
      </c>
      <c r="D220" s="15">
        <f t="shared" si="70"/>
        <v>1</v>
      </c>
      <c r="E220" s="15">
        <f t="shared" si="55"/>
        <v>12.90000000000002</v>
      </c>
      <c r="F220" s="16">
        <f>IF(AB220&gt;0, VLOOKUP(B220,Model!$A$40:$B$60, 2), 0)</f>
        <v>300</v>
      </c>
      <c r="G220" s="15">
        <f>IF(AB220&gt;0, VLOOKUP(B220,Model!$A$39:$C$58, 3), 0)</f>
        <v>1</v>
      </c>
      <c r="H220" s="15">
        <f t="shared" si="56"/>
        <v>97</v>
      </c>
      <c r="I220" s="45">
        <f>Model!$B$21*EXP((-0.029*9.81*F220)/(8.31*(273+J220)))</f>
        <v>100357.4491247143</v>
      </c>
      <c r="J220" s="15">
        <f>IF(Model!$B$31="Summer",  IF(F220&lt;=2000,  Model!$B$20-Model!$B$35*F220/1000,  IF(F220&lt;Model!$B$36,  Model!$B$33-6.5*F220/1000,  Model!$B$38)),     IF(F220&lt;=2000,  Model!$B$20-Model!$B$35*F220/1000,  IF(F220&lt;Model!$B$36,  Model!$B$33-5.4*F220/1000,   Model!$B$38)))</f>
        <v>-19.088750000000001</v>
      </c>
      <c r="K220" s="15">
        <f t="shared" si="57"/>
        <v>253.91125</v>
      </c>
      <c r="L220" s="45">
        <f>IF(AB219-AA219*(B220-B219)&gt;0, L219-Y219*(B220-B219)*3600-AD220*Model!$B$16, 0)</f>
        <v>1082.7694861023665</v>
      </c>
      <c r="M220" s="56">
        <f t="shared" si="58"/>
        <v>44.010969612800295</v>
      </c>
      <c r="N220" s="56">
        <f>Model!$B$13*I220*K220/(Model!$B$13*I220-L220*287*K220)</f>
        <v>317.0109696128003</v>
      </c>
      <c r="O220" s="56">
        <f t="shared" si="59"/>
        <v>285.46110980640015</v>
      </c>
      <c r="P220" s="56">
        <f t="shared" si="60"/>
        <v>18.006805177072319</v>
      </c>
      <c r="Q220" s="62">
        <f t="shared" si="61"/>
        <v>2.488473879625441E-2</v>
      </c>
      <c r="R220" s="33">
        <f t="shared" si="62"/>
        <v>1.4895955419865614E-5</v>
      </c>
      <c r="S220" s="45">
        <f>0.37*Model!$B$10*(Q220^2*(N220-K220)*I220/(R220*O220^2))^0.33333*(N220-K220)</f>
        <v>417053.05998815794</v>
      </c>
      <c r="T220" s="50">
        <f>Model!$B$32+(90-Model!$B$6)*SIN(RADIANS(-15*(E220+6)))</f>
        <v>27.162212152934323</v>
      </c>
      <c r="U220" s="45">
        <f t="shared" si="63"/>
        <v>27.162212152934323</v>
      </c>
      <c r="V220" s="50">
        <f t="shared" si="64"/>
        <v>2.1905265793839783</v>
      </c>
      <c r="W220" s="45">
        <f t="shared" si="65"/>
        <v>830.30267607669009</v>
      </c>
      <c r="X220" s="45">
        <f>0.3*W220*Model!$B$9</f>
        <v>75212.671538018985</v>
      </c>
      <c r="Y220" s="33">
        <f>(S220-X220)/Model!$B$11</f>
        <v>7.333270158750166E-3</v>
      </c>
      <c r="Z220" s="45">
        <f t="shared" si="66"/>
        <v>18.034317153830408</v>
      </c>
      <c r="AA220" s="56">
        <f>Y220/Model!$B$12*3600</f>
        <v>47.479470476148734</v>
      </c>
      <c r="AB220" s="50">
        <f t="shared" si="71"/>
        <v>812.49851374014577</v>
      </c>
      <c r="AC220" s="50">
        <f t="shared" si="72"/>
        <v>987.50148625985423</v>
      </c>
      <c r="AD220" s="15">
        <f>IF(AE220=0, Model!$B$19, 0 )</f>
        <v>0</v>
      </c>
      <c r="AE220" s="50">
        <f>IF(AE219+AB219-AB220&lt;Model!$B$19*Model!$B$18, AE219+AB219-AB220,  0)</f>
        <v>81.323191917466488</v>
      </c>
      <c r="AF220" s="15">
        <f t="shared" si="67"/>
        <v>10.90000000000002</v>
      </c>
      <c r="AG220" s="50">
        <f t="shared" si="68"/>
        <v>0</v>
      </c>
    </row>
    <row r="221" spans="2:33" x14ac:dyDescent="0.25">
      <c r="B221" s="13">
        <f t="shared" si="69"/>
        <v>10.950000000000021</v>
      </c>
      <c r="C221" s="13">
        <f>B221+Model!$B$4</f>
        <v>12.950000000000021</v>
      </c>
      <c r="D221" s="13">
        <f t="shared" si="70"/>
        <v>1</v>
      </c>
      <c r="E221" s="13">
        <f t="shared" si="55"/>
        <v>12.950000000000021</v>
      </c>
      <c r="F221" s="14">
        <f>IF(AB221&gt;0, VLOOKUP(B221,Model!$A$40:$B$60, 2), 0)</f>
        <v>300</v>
      </c>
      <c r="G221" s="13">
        <f>IF(AB221&gt;0, VLOOKUP(B221,Model!$A$39:$C$58, 3), 0)</f>
        <v>1</v>
      </c>
      <c r="H221" s="13">
        <f t="shared" si="56"/>
        <v>97</v>
      </c>
      <c r="I221" s="46">
        <f>Model!$B$21*EXP((-0.029*9.81*F221)/(8.31*(273+J221)))</f>
        <v>100357.4491247143</v>
      </c>
      <c r="J221" s="13">
        <f>IF(Model!$B$31="Summer",  IF(F221&lt;=2000,  Model!$B$20-Model!$B$35*F221/1000,  IF(F221&lt;Model!$B$36,  Model!$B$33-6.5*F221/1000,  Model!$B$38)),     IF(F221&lt;=2000,  Model!$B$20-Model!$B$35*F221/1000,  IF(F221&lt;Model!$B$36,  Model!$B$33-5.4*F221/1000,   Model!$B$38)))</f>
        <v>-19.088750000000001</v>
      </c>
      <c r="K221" s="13">
        <f t="shared" si="57"/>
        <v>253.91125</v>
      </c>
      <c r="L221" s="46">
        <f>IF(AB220-AA220*(B221-B220)&gt;0, L220-Y220*(B221-B220)*3600-AD221*Model!$B$16, 0)</f>
        <v>1081.4494974737916</v>
      </c>
      <c r="M221" s="57">
        <f t="shared" si="58"/>
        <v>43.914958300492913</v>
      </c>
      <c r="N221" s="57">
        <f>Model!$B$13*I221*K221/(Model!$B$13*I221-L221*287*K221)</f>
        <v>316.91495830049291</v>
      </c>
      <c r="O221" s="57">
        <f t="shared" si="59"/>
        <v>285.41310415024645</v>
      </c>
      <c r="P221" s="57">
        <f t="shared" si="60"/>
        <v>17.948455324091057</v>
      </c>
      <c r="Q221" s="63">
        <f t="shared" si="61"/>
        <v>2.48813303946675E-2</v>
      </c>
      <c r="R221" s="17">
        <f t="shared" si="62"/>
        <v>1.4890962831625629E-5</v>
      </c>
      <c r="S221" s="46">
        <f>0.37*Model!$B$10*(Q221^2*(N221-K221)*I221/(R221*O221^2))^0.33333*(N221-K221)</f>
        <v>416262.339158641</v>
      </c>
      <c r="T221" s="51">
        <f>Model!$B$32+(90-Model!$B$6)*SIN(RADIANS(-15*(E221+6)))</f>
        <v>27.052346778752039</v>
      </c>
      <c r="U221" s="46">
        <f t="shared" si="63"/>
        <v>27.052346778752039</v>
      </c>
      <c r="V221" s="51">
        <f t="shared" si="64"/>
        <v>2.1987476362002116</v>
      </c>
      <c r="W221" s="46">
        <f t="shared" si="65"/>
        <v>828.65370647106874</v>
      </c>
      <c r="X221" s="46">
        <f>0.3*W221*Model!$B$9</f>
        <v>75063.300214889197</v>
      </c>
      <c r="Y221" s="17">
        <f>(S221-X221)/Model!$B$11</f>
        <v>7.3195117224874361E-3</v>
      </c>
      <c r="Z221" s="46">
        <f t="shared" si="66"/>
        <v>18.032690722540227</v>
      </c>
      <c r="AA221" s="57">
        <f>Y221/Model!$B$12*3600</f>
        <v>47.390391081254926</v>
      </c>
      <c r="AB221" s="51">
        <f t="shared" si="71"/>
        <v>810.12454021633835</v>
      </c>
      <c r="AC221" s="51">
        <f t="shared" si="72"/>
        <v>989.87545978366165</v>
      </c>
      <c r="AD221" s="13">
        <f>IF(AE221=0, Model!$B$19, 0 )</f>
        <v>0</v>
      </c>
      <c r="AE221" s="51">
        <f>IF(AE220+AB220-AB221&lt;Model!$B$19*Model!$B$18, AE220+AB220-AB221,  0)</f>
        <v>83.69716544127391</v>
      </c>
      <c r="AF221" s="13">
        <f t="shared" si="67"/>
        <v>10.950000000000021</v>
      </c>
      <c r="AG221" s="50">
        <f t="shared" si="68"/>
        <v>0</v>
      </c>
    </row>
    <row r="222" spans="2:33" x14ac:dyDescent="0.25">
      <c r="B222" s="15">
        <f t="shared" si="69"/>
        <v>11.000000000000021</v>
      </c>
      <c r="C222" s="15">
        <f>B222+Model!$B$4</f>
        <v>13.000000000000021</v>
      </c>
      <c r="D222" s="15">
        <f t="shared" si="70"/>
        <v>1</v>
      </c>
      <c r="E222" s="15">
        <f t="shared" si="55"/>
        <v>13.000000000000021</v>
      </c>
      <c r="F222" s="16">
        <f>IF(AB222&gt;0, VLOOKUP(B222,Model!$A$40:$B$60, 2), 0)</f>
        <v>300</v>
      </c>
      <c r="G222" s="15">
        <f>IF(AB222&gt;0, VLOOKUP(B222,Model!$A$39:$C$58, 3), 0)</f>
        <v>1</v>
      </c>
      <c r="H222" s="15">
        <f t="shared" si="56"/>
        <v>97</v>
      </c>
      <c r="I222" s="45">
        <f>Model!$B$21*EXP((-0.029*9.81*F222)/(8.31*(273+J222)))</f>
        <v>100357.4491247143</v>
      </c>
      <c r="J222" s="15">
        <f>IF(Model!$B$31="Summer",  IF(F222&lt;=2000,  Model!$B$20-Model!$B$35*F222/1000,  IF(F222&lt;Model!$B$36,  Model!$B$33-6.5*F222/1000,  Model!$B$38)),     IF(F222&lt;=2000,  Model!$B$20-Model!$B$35*F222/1000,  IF(F222&lt;Model!$B$36,  Model!$B$33-5.4*F222/1000,   Model!$B$38)))</f>
        <v>-19.088750000000001</v>
      </c>
      <c r="K222" s="15">
        <f t="shared" si="57"/>
        <v>253.91125</v>
      </c>
      <c r="L222" s="45">
        <f>IF(AB221-AA221*(B222-B221)&gt;0, L221-Y221*(B222-B221)*3600-AD222*Model!$B$16, 0)</f>
        <v>1080.1319853637438</v>
      </c>
      <c r="M222" s="56">
        <f t="shared" si="58"/>
        <v>43.81918509710988</v>
      </c>
      <c r="N222" s="56">
        <f>Model!$B$13*I222*K222/(Model!$B$13*I222-L222*287*K222)</f>
        <v>316.81918509710988</v>
      </c>
      <c r="O222" s="56">
        <f t="shared" si="59"/>
        <v>285.36521754855494</v>
      </c>
      <c r="P222" s="56">
        <f t="shared" si="60"/>
        <v>17.889575591695397</v>
      </c>
      <c r="Q222" s="62">
        <f t="shared" si="61"/>
        <v>2.48779304459474E-2</v>
      </c>
      <c r="R222" s="33">
        <f t="shared" si="62"/>
        <v>1.4885982625049713E-5</v>
      </c>
      <c r="S222" s="45">
        <f>0.37*Model!$B$10*(Q222^2*(N222-K222)*I222/(R222*O222^2))^0.33333*(N222-K222)</f>
        <v>415473.80940511503</v>
      </c>
      <c r="T222" s="50">
        <f>Model!$B$32+(90-Model!$B$6)*SIN(RADIANS(-15*(E222+6)))</f>
        <v>26.936668859133015</v>
      </c>
      <c r="U222" s="45">
        <f t="shared" si="63"/>
        <v>26.936668859133015</v>
      </c>
      <c r="V222" s="50">
        <f t="shared" si="64"/>
        <v>2.207479398431671</v>
      </c>
      <c r="W222" s="45">
        <f t="shared" si="65"/>
        <v>826.90588653403825</v>
      </c>
      <c r="X222" s="45">
        <f>0.3*W222*Model!$B$9</f>
        <v>74904.974569773083</v>
      </c>
      <c r="Y222" s="33">
        <f>(S222-X222)/Model!$B$11</f>
        <v>7.3059923808933168E-3</v>
      </c>
      <c r="Z222" s="45">
        <f t="shared" si="66"/>
        <v>18.028807803077591</v>
      </c>
      <c r="AA222" s="56">
        <f>Y222/Model!$B$12*3600</f>
        <v>47.302859711732282</v>
      </c>
      <c r="AB222" s="50">
        <f t="shared" si="71"/>
        <v>807.75502066227557</v>
      </c>
      <c r="AC222" s="50">
        <f t="shared" si="72"/>
        <v>992.24497933772443</v>
      </c>
      <c r="AD222" s="15">
        <f>IF(AE222=0, Model!$B$19, 0 )</f>
        <v>0</v>
      </c>
      <c r="AE222" s="50">
        <f>IF(AE221+AB221-AB222&lt;Model!$B$19*Model!$B$18, AE221+AB221-AB222,  0)</f>
        <v>86.066684995336686</v>
      </c>
      <c r="AF222" s="15">
        <f t="shared" si="67"/>
        <v>11.000000000000021</v>
      </c>
      <c r="AG222" s="50">
        <f t="shared" si="68"/>
        <v>0</v>
      </c>
    </row>
    <row r="223" spans="2:33" x14ac:dyDescent="0.25">
      <c r="B223" s="13">
        <f t="shared" si="69"/>
        <v>11.050000000000022</v>
      </c>
      <c r="C223" s="13">
        <f>B223+Model!$B$4</f>
        <v>13.050000000000022</v>
      </c>
      <c r="D223" s="13">
        <f t="shared" si="70"/>
        <v>1</v>
      </c>
      <c r="E223" s="13">
        <f t="shared" si="55"/>
        <v>13.050000000000022</v>
      </c>
      <c r="F223" s="14">
        <f>IF(AB223&gt;0, VLOOKUP(B223,Model!$A$40:$B$60, 2), 0)</f>
        <v>300</v>
      </c>
      <c r="G223" s="13">
        <f>IF(AB223&gt;0, VLOOKUP(B223,Model!$A$39:$C$58, 3), 0)</f>
        <v>1</v>
      </c>
      <c r="H223" s="13">
        <f t="shared" si="56"/>
        <v>97</v>
      </c>
      <c r="I223" s="46">
        <f>Model!$B$21*EXP((-0.029*9.81*F223)/(8.31*(273+J223)))</f>
        <v>100357.4491247143</v>
      </c>
      <c r="J223" s="13">
        <f>IF(Model!$B$31="Summer",  IF(F223&lt;=2000,  Model!$B$20-Model!$B$35*F223/1000,  IF(F223&lt;Model!$B$36,  Model!$B$33-6.5*F223/1000,  Model!$B$38)),     IF(F223&lt;=2000,  Model!$B$20-Model!$B$35*F223/1000,  IF(F223&lt;Model!$B$36,  Model!$B$33-5.4*F223/1000,   Model!$B$38)))</f>
        <v>-19.088750000000001</v>
      </c>
      <c r="K223" s="13">
        <f t="shared" si="57"/>
        <v>253.91125</v>
      </c>
      <c r="L223" s="46">
        <f>IF(AB222-AA222*(B223-B222)&gt;0, L222-Y222*(B223-B222)*3600-AD223*Model!$B$16, 0)</f>
        <v>1078.816906735183</v>
      </c>
      <c r="M223" s="57">
        <f t="shared" si="58"/>
        <v>43.723646498043024</v>
      </c>
      <c r="N223" s="57">
        <f>Model!$B$13*I223*K223/(Model!$B$13*I223-L223*287*K223)</f>
        <v>316.72364649804302</v>
      </c>
      <c r="O223" s="57">
        <f t="shared" si="59"/>
        <v>285.31744824902148</v>
      </c>
      <c r="P223" s="57">
        <f t="shared" si="60"/>
        <v>17.830154159248433</v>
      </c>
      <c r="Q223" s="63">
        <f t="shared" si="61"/>
        <v>2.4874538825680526E-2</v>
      </c>
      <c r="R223" s="17">
        <f t="shared" si="62"/>
        <v>1.4881014617898233E-5</v>
      </c>
      <c r="S223" s="46">
        <f>0.37*Model!$B$10*(Q223^2*(N223-K223)*I223/(R223*O223^2))^0.33333*(N223-K223)</f>
        <v>414687.44063865161</v>
      </c>
      <c r="T223" s="51">
        <f>Model!$B$32+(90-Model!$B$6)*SIN(RADIANS(-15*(E223+6)))</f>
        <v>26.815198214893279</v>
      </c>
      <c r="U223" s="46">
        <f t="shared" si="63"/>
        <v>26.815198214893279</v>
      </c>
      <c r="V223" s="51">
        <f t="shared" si="64"/>
        <v>2.2167331419610607</v>
      </c>
      <c r="W223" s="46">
        <f t="shared" si="65"/>
        <v>825.05760635684953</v>
      </c>
      <c r="X223" s="46">
        <f>0.3*W223*Model!$B$9</f>
        <v>74737.548769661269</v>
      </c>
      <c r="Y223" s="17">
        <f>(S223-X223)/Model!$B$11</f>
        <v>7.2927146169471267E-3</v>
      </c>
      <c r="Z223" s="46">
        <f t="shared" si="66"/>
        <v>18.022621725548163</v>
      </c>
      <c r="AA223" s="57">
        <f>Y223/Model!$B$12*3600</f>
        <v>47.216892443702449</v>
      </c>
      <c r="AB223" s="51">
        <f t="shared" si="71"/>
        <v>805.38987767668891</v>
      </c>
      <c r="AC223" s="51">
        <f t="shared" si="72"/>
        <v>994.61012232331109</v>
      </c>
      <c r="AD223" s="13">
        <f>IF(AE223=0, Model!$B$19, 0 )</f>
        <v>0</v>
      </c>
      <c r="AE223" s="51">
        <f>IF(AE222+AB222-AB223&lt;Model!$B$19*Model!$B$18, AE222+AB222-AB223,  0)</f>
        <v>88.431827980923345</v>
      </c>
      <c r="AF223" s="13">
        <f t="shared" si="67"/>
        <v>11.050000000000022</v>
      </c>
      <c r="AG223" s="50">
        <f t="shared" si="68"/>
        <v>0</v>
      </c>
    </row>
    <row r="224" spans="2:33" x14ac:dyDescent="0.25">
      <c r="B224" s="15">
        <f t="shared" si="69"/>
        <v>11.100000000000023</v>
      </c>
      <c r="C224" s="15">
        <f>B224+Model!$B$4</f>
        <v>13.100000000000023</v>
      </c>
      <c r="D224" s="15">
        <f t="shared" si="70"/>
        <v>1</v>
      </c>
      <c r="E224" s="15">
        <f t="shared" si="55"/>
        <v>13.100000000000023</v>
      </c>
      <c r="F224" s="16">
        <f>IF(AB224&gt;0, VLOOKUP(B224,Model!$A$40:$B$60, 2), 0)</f>
        <v>300</v>
      </c>
      <c r="G224" s="15">
        <f>IF(AB224&gt;0, VLOOKUP(B224,Model!$A$39:$C$58, 3), 0)</f>
        <v>1</v>
      </c>
      <c r="H224" s="15">
        <f t="shared" si="56"/>
        <v>97</v>
      </c>
      <c r="I224" s="45">
        <f>Model!$B$21*EXP((-0.029*9.81*F224)/(8.31*(273+J224)))</f>
        <v>100357.4491247143</v>
      </c>
      <c r="J224" s="15">
        <f>IF(Model!$B$31="Summer",  IF(F224&lt;=2000,  Model!$B$20-Model!$B$35*F224/1000,  IF(F224&lt;Model!$B$36,  Model!$B$33-6.5*F224/1000,  Model!$B$38)),     IF(F224&lt;=2000,  Model!$B$20-Model!$B$35*F224/1000,  IF(F224&lt;Model!$B$36,  Model!$B$33-5.4*F224/1000,   Model!$B$38)))</f>
        <v>-19.088750000000001</v>
      </c>
      <c r="K224" s="15">
        <f t="shared" si="57"/>
        <v>253.91125</v>
      </c>
      <c r="L224" s="45">
        <f>IF(AB223-AA223*(B224-B223)&gt;0, L223-Y223*(B224-B223)*3600-AD224*Model!$B$16, 0)</f>
        <v>1077.5042181041324</v>
      </c>
      <c r="M224" s="56">
        <f t="shared" si="58"/>
        <v>43.628338975034012</v>
      </c>
      <c r="N224" s="56">
        <f>Model!$B$13*I224*K224/(Model!$B$13*I224-L224*287*K224)</f>
        <v>316.62833897503401</v>
      </c>
      <c r="O224" s="56">
        <f t="shared" si="59"/>
        <v>285.269794487517</v>
      </c>
      <c r="P224" s="56">
        <f t="shared" si="60"/>
        <v>17.770178529896</v>
      </c>
      <c r="Q224" s="62">
        <f t="shared" si="61"/>
        <v>2.4871155408613708E-2</v>
      </c>
      <c r="R224" s="33">
        <f t="shared" si="62"/>
        <v>1.4876058626701768E-5</v>
      </c>
      <c r="S224" s="45">
        <f>0.37*Model!$B$10*(Q224^2*(N224-K224)*I224/(R224*O224^2))^0.33333*(N224-K224)</f>
        <v>413903.20260801684</v>
      </c>
      <c r="T224" s="50">
        <f>Model!$B$32+(90-Model!$B$6)*SIN(RADIANS(-15*(E224+6)))</f>
        <v>26.687955659402377</v>
      </c>
      <c r="U224" s="45">
        <f t="shared" si="63"/>
        <v>26.687955659402377</v>
      </c>
      <c r="V224" s="50">
        <f t="shared" si="64"/>
        <v>2.226520941202291</v>
      </c>
      <c r="W224" s="45">
        <f t="shared" si="65"/>
        <v>823.10715328464937</v>
      </c>
      <c r="X224" s="45">
        <f>0.3*W224*Model!$B$9</f>
        <v>74560.867674325185</v>
      </c>
      <c r="Y224" s="33">
        <f>(S224-X224)/Model!$B$11</f>
        <v>7.2796811098078231E-3</v>
      </c>
      <c r="Z224" s="45">
        <f t="shared" si="66"/>
        <v>18.014083293996002</v>
      </c>
      <c r="AA224" s="56">
        <f>Y224/Model!$B$12*3600</f>
        <v>47.132506623457871</v>
      </c>
      <c r="AB224" s="50">
        <f t="shared" si="71"/>
        <v>803.02903305450377</v>
      </c>
      <c r="AC224" s="50">
        <f t="shared" si="72"/>
        <v>996.97096694549623</v>
      </c>
      <c r="AD224" s="15">
        <f>IF(AE224=0, Model!$B$19, 0 )</f>
        <v>0</v>
      </c>
      <c r="AE224" s="50">
        <f>IF(AE223+AB223-AB224&lt;Model!$B$19*Model!$B$18, AE223+AB223-AB224,  0)</f>
        <v>90.792672603108485</v>
      </c>
      <c r="AF224" s="15">
        <f t="shared" si="67"/>
        <v>11.100000000000023</v>
      </c>
      <c r="AG224" s="50">
        <f t="shared" si="68"/>
        <v>0</v>
      </c>
    </row>
    <row r="225" spans="2:33" x14ac:dyDescent="0.25">
      <c r="B225" s="13">
        <f t="shared" si="69"/>
        <v>11.150000000000023</v>
      </c>
      <c r="C225" s="13">
        <f>B225+Model!$B$4</f>
        <v>13.150000000000023</v>
      </c>
      <c r="D225" s="13">
        <f t="shared" si="70"/>
        <v>1</v>
      </c>
      <c r="E225" s="13">
        <f t="shared" si="55"/>
        <v>13.150000000000023</v>
      </c>
      <c r="F225" s="14">
        <f>IF(AB225&gt;0, VLOOKUP(B225,Model!$A$40:$B$60, 2), 0)</f>
        <v>300</v>
      </c>
      <c r="G225" s="13">
        <f>IF(AB225&gt;0, VLOOKUP(B225,Model!$A$39:$C$58, 3), 0)</f>
        <v>1</v>
      </c>
      <c r="H225" s="13">
        <f t="shared" si="56"/>
        <v>97</v>
      </c>
      <c r="I225" s="46">
        <f>Model!$B$21*EXP((-0.029*9.81*F225)/(8.31*(273+J225)))</f>
        <v>100357.4491247143</v>
      </c>
      <c r="J225" s="13">
        <f>IF(Model!$B$31="Summer",  IF(F225&lt;=2000,  Model!$B$20-Model!$B$35*F225/1000,  IF(F225&lt;Model!$B$36,  Model!$B$33-6.5*F225/1000,  Model!$B$38)),     IF(F225&lt;=2000,  Model!$B$20-Model!$B$35*F225/1000,  IF(F225&lt;Model!$B$36,  Model!$B$33-5.4*F225/1000,   Model!$B$38)))</f>
        <v>-19.088750000000001</v>
      </c>
      <c r="K225" s="13">
        <f t="shared" si="57"/>
        <v>253.91125</v>
      </c>
      <c r="L225" s="46">
        <f>IF(AB224-AA224*(B225-B224)&gt;0, L224-Y224*(B225-B224)*3600-AD225*Model!$B$16, 0)</f>
        <v>1076.193875504367</v>
      </c>
      <c r="M225" s="57">
        <f t="shared" si="58"/>
        <v>43.533258973655222</v>
      </c>
      <c r="N225" s="57">
        <f>Model!$B$13*I225*K225/(Model!$B$13*I225-L225*287*K225)</f>
        <v>316.53325897365522</v>
      </c>
      <c r="O225" s="57">
        <f t="shared" si="59"/>
        <v>285.22225448682764</v>
      </c>
      <c r="P225" s="57">
        <f t="shared" si="60"/>
        <v>17.709635508725274</v>
      </c>
      <c r="Q225" s="63">
        <f t="shared" si="61"/>
        <v>2.4867780068564764E-2</v>
      </c>
      <c r="R225" s="17">
        <f t="shared" si="62"/>
        <v>1.4871114466630073E-5</v>
      </c>
      <c r="S225" s="46">
        <f>0.37*Model!$B$10*(Q225^2*(N225-K225)*I225/(R225*O225^2))^0.33333*(N225-K225)</f>
        <v>413121.06487921509</v>
      </c>
      <c r="T225" s="51">
        <f>Model!$B$32+(90-Model!$B$6)*SIN(RADIANS(-15*(E225+6)))</f>
        <v>26.554962995017149</v>
      </c>
      <c r="U225" s="46">
        <f t="shared" si="63"/>
        <v>26.554962995017149</v>
      </c>
      <c r="V225" s="51">
        <f t="shared" si="64"/>
        <v>2.2368557074511912</v>
      </c>
      <c r="W225" s="46">
        <f t="shared" si="65"/>
        <v>821.05270860601865</v>
      </c>
      <c r="X225" s="46">
        <f>0.3*W225*Model!$B$9</f>
        <v>74374.766536440118</v>
      </c>
      <c r="Y225" s="17">
        <f>(S225-X225)/Model!$B$11</f>
        <v>7.2668947408082154E-3</v>
      </c>
      <c r="Z225" s="46">
        <f t="shared" si="66"/>
        <v>18.003140691502914</v>
      </c>
      <c r="AA225" s="57">
        <f>Y225/Model!$B$12*3600</f>
        <v>47.049720906271439</v>
      </c>
      <c r="AB225" s="51">
        <f t="shared" si="71"/>
        <v>800.67240772333082</v>
      </c>
      <c r="AC225" s="51">
        <f t="shared" si="72"/>
        <v>999.32759227666918</v>
      </c>
      <c r="AD225" s="13">
        <f>IF(AE225=0, Model!$B$19, 0 )</f>
        <v>0</v>
      </c>
      <c r="AE225" s="51">
        <f>IF(AE224+AB224-AB225&lt;Model!$B$19*Model!$B$18, AE224+AB224-AB225,  0)</f>
        <v>93.149297934281435</v>
      </c>
      <c r="AF225" s="13">
        <f t="shared" si="67"/>
        <v>11.150000000000023</v>
      </c>
      <c r="AG225" s="50">
        <f t="shared" si="68"/>
        <v>0</v>
      </c>
    </row>
    <row r="226" spans="2:33" x14ac:dyDescent="0.25">
      <c r="B226" s="15">
        <f t="shared" si="69"/>
        <v>11.200000000000024</v>
      </c>
      <c r="C226" s="15">
        <f>B226+Model!$B$4</f>
        <v>13.200000000000024</v>
      </c>
      <c r="D226" s="15">
        <f t="shared" si="70"/>
        <v>1</v>
      </c>
      <c r="E226" s="15">
        <f t="shared" si="55"/>
        <v>13.200000000000024</v>
      </c>
      <c r="F226" s="16">
        <f>IF(AB226&gt;0, VLOOKUP(B226,Model!$A$40:$B$60, 2), 0)</f>
        <v>300</v>
      </c>
      <c r="G226" s="15">
        <f>IF(AB226&gt;0, VLOOKUP(B226,Model!$A$39:$C$58, 3), 0)</f>
        <v>1</v>
      </c>
      <c r="H226" s="15">
        <f t="shared" si="56"/>
        <v>97</v>
      </c>
      <c r="I226" s="45">
        <f>Model!$B$21*EXP((-0.029*9.81*F226)/(8.31*(273+J226)))</f>
        <v>100357.4491247143</v>
      </c>
      <c r="J226" s="15">
        <f>IF(Model!$B$31="Summer",  IF(F226&lt;=2000,  Model!$B$20-Model!$B$35*F226/1000,  IF(F226&lt;Model!$B$36,  Model!$B$33-6.5*F226/1000,  Model!$B$38)),     IF(F226&lt;=2000,  Model!$B$20-Model!$B$35*F226/1000,  IF(F226&lt;Model!$B$36,  Model!$B$33-5.4*F226/1000,   Model!$B$38)))</f>
        <v>-19.088750000000001</v>
      </c>
      <c r="K226" s="15">
        <f t="shared" si="57"/>
        <v>253.91125</v>
      </c>
      <c r="L226" s="45">
        <f>IF(AB225-AA225*(B226-B225)&gt;0, L225-Y225*(B226-B225)*3600-AD226*Model!$B$16, 0)</f>
        <v>1074.8858344510215</v>
      </c>
      <c r="M226" s="56">
        <f t="shared" si="58"/>
        <v>43.438402910720868</v>
      </c>
      <c r="N226" s="56">
        <f>Model!$B$13*I226*K226/(Model!$B$13*I226-L226*287*K226)</f>
        <v>316.43840291072087</v>
      </c>
      <c r="O226" s="56">
        <f t="shared" si="59"/>
        <v>285.1748264553604</v>
      </c>
      <c r="P226" s="56">
        <f t="shared" si="60"/>
        <v>17.648511179400558</v>
      </c>
      <c r="Q226" s="62">
        <f t="shared" si="61"/>
        <v>2.4864412678330589E-2</v>
      </c>
      <c r="R226" s="33">
        <f t="shared" si="62"/>
        <v>1.486618195135748E-5</v>
      </c>
      <c r="S226" s="45">
        <f>0.37*Model!$B$10*(Q226^2*(N226-K226)*I226/(R226*O226^2))^0.33333*(N226-K226)</f>
        <v>412340.99681449862</v>
      </c>
      <c r="T226" s="50">
        <f>Model!$B$32+(90-Model!$B$6)*SIN(RADIANS(-15*(E226+6)))</f>
        <v>26.41624300934599</v>
      </c>
      <c r="U226" s="45">
        <f t="shared" si="63"/>
        <v>26.41624300934599</v>
      </c>
      <c r="V226" s="50">
        <f t="shared" si="64"/>
        <v>2.2477512305591261</v>
      </c>
      <c r="W226" s="45">
        <f t="shared" si="65"/>
        <v>818.89234400855594</v>
      </c>
      <c r="X226" s="45">
        <f>0.3*W226*Model!$B$9</f>
        <v>74179.070680515506</v>
      </c>
      <c r="Y226" s="33">
        <f>(S226-X226)/Model!$B$11</f>
        <v>7.254358599892376E-3</v>
      </c>
      <c r="Z226" s="45">
        <f t="shared" si="66"/>
        <v>17.989739379198017</v>
      </c>
      <c r="AA226" s="56">
        <f>Y226/Model!$B$12*3600</f>
        <v>46.968555298075721</v>
      </c>
      <c r="AB226" s="50">
        <f t="shared" si="71"/>
        <v>798.31992167801718</v>
      </c>
      <c r="AC226" s="50">
        <f t="shared" si="72"/>
        <v>1001.6800783219828</v>
      </c>
      <c r="AD226" s="15">
        <f>IF(AE226=0, Model!$B$19, 0 )</f>
        <v>0</v>
      </c>
      <c r="AE226" s="50">
        <f>IF(AE225+AB225-AB226&lt;Model!$B$19*Model!$B$18, AE225+AB225-AB226,  0)</f>
        <v>95.501783979595075</v>
      </c>
      <c r="AF226" s="15">
        <f t="shared" si="67"/>
        <v>11.200000000000024</v>
      </c>
      <c r="AG226" s="50">
        <f t="shared" si="68"/>
        <v>0</v>
      </c>
    </row>
    <row r="227" spans="2:33" x14ac:dyDescent="0.25">
      <c r="B227" s="13">
        <f t="shared" si="69"/>
        <v>11.250000000000025</v>
      </c>
      <c r="C227" s="13">
        <f>B227+Model!$B$4</f>
        <v>13.250000000000025</v>
      </c>
      <c r="D227" s="13">
        <f t="shared" si="70"/>
        <v>1</v>
      </c>
      <c r="E227" s="13">
        <f t="shared" ref="E227:E290" si="73">C227-24*(D227-1)</f>
        <v>13.250000000000025</v>
      </c>
      <c r="F227" s="14">
        <f>IF(AB227&gt;0, VLOOKUP(B227,Model!$A$40:$B$60, 2), 0)</f>
        <v>300</v>
      </c>
      <c r="G227" s="13">
        <f>IF(AB227&gt;0, VLOOKUP(B227,Model!$A$39:$C$58, 3), 0)</f>
        <v>1</v>
      </c>
      <c r="H227" s="13">
        <f t="shared" si="56"/>
        <v>97</v>
      </c>
      <c r="I227" s="46">
        <f>Model!$B$21*EXP((-0.029*9.81*F227)/(8.31*(273+J227)))</f>
        <v>100357.4491247143</v>
      </c>
      <c r="J227" s="13">
        <f>IF(Model!$B$31="Summer",  IF(F227&lt;=2000,  Model!$B$20-Model!$B$35*F227/1000,  IF(F227&lt;Model!$B$36,  Model!$B$33-6.5*F227/1000,  Model!$B$38)),     IF(F227&lt;=2000,  Model!$B$20-Model!$B$35*F227/1000,  IF(F227&lt;Model!$B$36,  Model!$B$33-5.4*F227/1000,   Model!$B$38)))</f>
        <v>-19.088750000000001</v>
      </c>
      <c r="K227" s="13">
        <f t="shared" si="57"/>
        <v>253.91125</v>
      </c>
      <c r="L227" s="46">
        <f>IF(AB226-AA226*(B227-B226)&gt;0, L226-Y226*(B227-B226)*3600-AD227*Model!$B$16, 0)</f>
        <v>1073.5800499030408</v>
      </c>
      <c r="M227" s="57">
        <f t="shared" si="58"/>
        <v>43.343767171623824</v>
      </c>
      <c r="N227" s="57">
        <f>Model!$B$13*I227*K227/(Model!$B$13*I227-L227*287*K227)</f>
        <v>316.34376717162382</v>
      </c>
      <c r="O227" s="57">
        <f t="shared" si="59"/>
        <v>285.12750858581194</v>
      </c>
      <c r="P227" s="57">
        <f t="shared" si="60"/>
        <v>17.586790879202283</v>
      </c>
      <c r="Q227" s="63">
        <f t="shared" si="61"/>
        <v>2.4861053109592648E-2</v>
      </c>
      <c r="R227" s="17">
        <f t="shared" si="62"/>
        <v>1.486126089292444E-5</v>
      </c>
      <c r="S227" s="46">
        <f>0.37*Model!$B$10*(Q227^2*(N227-K227)*I227/(R227*O227^2))^0.33333*(N227-K227)</f>
        <v>411562.96755080257</v>
      </c>
      <c r="T227" s="51">
        <f>Model!$B$32+(90-Model!$B$6)*SIN(RADIANS(-15*(E227+6)))</f>
        <v>26.271819471344301</v>
      </c>
      <c r="U227" s="46">
        <f t="shared" si="63"/>
        <v>26.271819471344301</v>
      </c>
      <c r="V227" s="51">
        <f t="shared" si="64"/>
        <v>2.2592222241951085</v>
      </c>
      <c r="W227" s="46">
        <f t="shared" si="65"/>
        <v>816.62401778896333</v>
      </c>
      <c r="X227" s="46">
        <f>0.3*W227*Model!$B$9</f>
        <v>73973.595159586883</v>
      </c>
      <c r="Y227" s="17">
        <f>(S227-X227)/Model!$B$11</f>
        <v>7.2420759925177665E-3</v>
      </c>
      <c r="Z227" s="46">
        <f t="shared" si="66"/>
        <v>17.973821988844445</v>
      </c>
      <c r="AA227" s="57">
        <f>Y227/Model!$B$12*3600</f>
        <v>46.889031200151003</v>
      </c>
      <c r="AB227" s="51">
        <f t="shared" si="71"/>
        <v>795.97149391311336</v>
      </c>
      <c r="AC227" s="51">
        <f t="shared" si="72"/>
        <v>1004.0285060868866</v>
      </c>
      <c r="AD227" s="13">
        <f>IF(AE227=0, Model!$B$19, 0 )</f>
        <v>0</v>
      </c>
      <c r="AE227" s="51">
        <f>IF(AE226+AB226-AB227&lt;Model!$B$19*Model!$B$18, AE226+AB226-AB227,  0)</f>
        <v>97.850211744498893</v>
      </c>
      <c r="AF227" s="13">
        <f t="shared" si="67"/>
        <v>11.250000000000025</v>
      </c>
      <c r="AG227" s="50">
        <f t="shared" si="68"/>
        <v>0</v>
      </c>
    </row>
    <row r="228" spans="2:33" x14ac:dyDescent="0.25">
      <c r="B228" s="15">
        <f t="shared" si="69"/>
        <v>11.300000000000026</v>
      </c>
      <c r="C228" s="15">
        <f>B228+Model!$B$4</f>
        <v>13.300000000000026</v>
      </c>
      <c r="D228" s="15">
        <f t="shared" si="70"/>
        <v>1</v>
      </c>
      <c r="E228" s="15">
        <f t="shared" si="73"/>
        <v>13.300000000000026</v>
      </c>
      <c r="F228" s="16">
        <f>IF(AB228&gt;0, VLOOKUP(B228,Model!$A$40:$B$60, 2), 0)</f>
        <v>300</v>
      </c>
      <c r="G228" s="15">
        <f>IF(AB228&gt;0, VLOOKUP(B228,Model!$A$39:$C$58, 3), 0)</f>
        <v>1</v>
      </c>
      <c r="H228" s="15">
        <f t="shared" si="56"/>
        <v>97</v>
      </c>
      <c r="I228" s="45">
        <f>Model!$B$21*EXP((-0.029*9.81*F228)/(8.31*(273+J228)))</f>
        <v>100357.4491247143</v>
      </c>
      <c r="J228" s="15">
        <f>IF(Model!$B$31="Summer",  IF(F228&lt;=2000,  Model!$B$20-Model!$B$35*F228/1000,  IF(F228&lt;Model!$B$36,  Model!$B$33-6.5*F228/1000,  Model!$B$38)),     IF(F228&lt;=2000,  Model!$B$20-Model!$B$35*F228/1000,  IF(F228&lt;Model!$B$36,  Model!$B$33-5.4*F228/1000,   Model!$B$38)))</f>
        <v>-19.088750000000001</v>
      </c>
      <c r="K228" s="15">
        <f t="shared" si="57"/>
        <v>253.91125</v>
      </c>
      <c r="L228" s="45">
        <f>IF(AB227-AA227*(B228-B227)&gt;0, L227-Y227*(B228-B227)*3600-AD228*Model!$B$16, 0)</f>
        <v>1072.2764762243876</v>
      </c>
      <c r="M228" s="56">
        <f t="shared" si="58"/>
        <v>43.249348107592937</v>
      </c>
      <c r="N228" s="56">
        <f>Model!$B$13*I228*K228/(Model!$B$13*I228-L228*287*K228)</f>
        <v>316.24934810759294</v>
      </c>
      <c r="O228" s="56">
        <f t="shared" si="59"/>
        <v>285.08029905379647</v>
      </c>
      <c r="P228" s="56">
        <f t="shared" si="60"/>
        <v>17.524459172389555</v>
      </c>
      <c r="Q228" s="62">
        <f t="shared" si="61"/>
        <v>2.4857701232819551E-2</v>
      </c>
      <c r="R228" s="33">
        <f t="shared" si="62"/>
        <v>1.4856351101594831E-5</v>
      </c>
      <c r="S228" s="45">
        <f>0.37*Model!$B$10*(Q228^2*(N228-K228)*I228/(R228*O228^2))^0.33333*(N228-K228)</f>
        <v>410786.94597757043</v>
      </c>
      <c r="T228" s="50">
        <f>Model!$B$32+(90-Model!$B$6)*SIN(RADIANS(-15*(E228+6)))</f>
        <v>26.121717127241837</v>
      </c>
      <c r="U228" s="45">
        <f t="shared" si="63"/>
        <v>26.121717127241837</v>
      </c>
      <c r="V228" s="50">
        <f t="shared" si="64"/>
        <v>2.2712843749905463</v>
      </c>
      <c r="W228" s="45">
        <f t="shared" si="65"/>
        <v>814.24557080527984</v>
      </c>
      <c r="X228" s="45">
        <f>0.3*W228*Model!$B$9</f>
        <v>73758.144388550398</v>
      </c>
      <c r="Y228" s="33">
        <f>(S228-X228)/Model!$B$11</f>
        <v>7.230050447045373E-3</v>
      </c>
      <c r="Z228" s="45">
        <f t="shared" si="66"/>
        <v>17.955328208647046</v>
      </c>
      <c r="AA228" s="56">
        <f>Y228/Model!$B$12*3600</f>
        <v>46.811171456972879</v>
      </c>
      <c r="AB228" s="50">
        <f t="shared" si="71"/>
        <v>793.62704235310582</v>
      </c>
      <c r="AC228" s="50">
        <f t="shared" si="72"/>
        <v>1006.3729576468942</v>
      </c>
      <c r="AD228" s="15">
        <f>IF(AE228=0, Model!$B$19, 0 )</f>
        <v>0</v>
      </c>
      <c r="AE228" s="50">
        <f>IF(AE227+AB227-AB228&lt;Model!$B$19*Model!$B$18, AE227+AB227-AB228,  0)</f>
        <v>100.19466330450643</v>
      </c>
      <c r="AF228" s="15">
        <f t="shared" si="67"/>
        <v>11.300000000000026</v>
      </c>
      <c r="AG228" s="50">
        <f t="shared" si="68"/>
        <v>0</v>
      </c>
    </row>
    <row r="229" spans="2:33" x14ac:dyDescent="0.25">
      <c r="B229" s="13">
        <f t="shared" si="69"/>
        <v>11.350000000000026</v>
      </c>
      <c r="C229" s="13">
        <f>B229+Model!$B$4</f>
        <v>13.350000000000026</v>
      </c>
      <c r="D229" s="13">
        <f t="shared" si="70"/>
        <v>1</v>
      </c>
      <c r="E229" s="13">
        <f t="shared" si="73"/>
        <v>13.350000000000026</v>
      </c>
      <c r="F229" s="14">
        <f>IF(AB229&gt;0, VLOOKUP(B229,Model!$A$40:$B$60, 2), 0)</f>
        <v>300</v>
      </c>
      <c r="G229" s="13">
        <f>IF(AB229&gt;0, VLOOKUP(B229,Model!$A$39:$C$58, 3), 0)</f>
        <v>1</v>
      </c>
      <c r="H229" s="13">
        <f t="shared" si="56"/>
        <v>97</v>
      </c>
      <c r="I229" s="46">
        <f>Model!$B$21*EXP((-0.029*9.81*F229)/(8.31*(273+J229)))</f>
        <v>100357.4491247143</v>
      </c>
      <c r="J229" s="13">
        <f>IF(Model!$B$31="Summer",  IF(F229&lt;=2000,  Model!$B$20-Model!$B$35*F229/1000,  IF(F229&lt;Model!$B$36,  Model!$B$33-6.5*F229/1000,  Model!$B$38)),     IF(F229&lt;=2000,  Model!$B$20-Model!$B$35*F229/1000,  IF(F229&lt;Model!$B$36,  Model!$B$33-5.4*F229/1000,   Model!$B$38)))</f>
        <v>-19.088750000000001</v>
      </c>
      <c r="K229" s="13">
        <f t="shared" si="57"/>
        <v>253.91125</v>
      </c>
      <c r="L229" s="46">
        <f>IF(AB228-AA228*(B229-B228)&gt;0, L228-Y228*(B229-B228)*3600-AD229*Model!$B$16, 0)</f>
        <v>1070.9750671439194</v>
      </c>
      <c r="M229" s="57">
        <f t="shared" si="58"/>
        <v>43.155142032862898</v>
      </c>
      <c r="N229" s="57">
        <f>Model!$B$13*I229*K229/(Model!$B$13*I229-L229*287*K229)</f>
        <v>316.1551420328629</v>
      </c>
      <c r="O229" s="57">
        <f t="shared" si="59"/>
        <v>285.03319601643148</v>
      </c>
      <c r="P229" s="57">
        <f t="shared" si="60"/>
        <v>17.461499821799983</v>
      </c>
      <c r="Q229" s="63">
        <f t="shared" si="61"/>
        <v>2.4854356917166635E-2</v>
      </c>
      <c r="R229" s="17">
        <f t="shared" si="62"/>
        <v>1.4851452385708872E-5</v>
      </c>
      <c r="S229" s="46">
        <f>0.37*Model!$B$10*(Q229^2*(N229-K229)*I229/(R229*O229^2))^0.33333*(N229-K229)</f>
        <v>410012.90071389778</v>
      </c>
      <c r="T229" s="51">
        <f>Model!$B$32+(90-Model!$B$6)*SIN(RADIANS(-15*(E229+6)))</f>
        <v>25.965961696302536</v>
      </c>
      <c r="U229" s="46">
        <f t="shared" si="63"/>
        <v>25.965961696302536</v>
      </c>
      <c r="V229" s="51">
        <f t="shared" si="64"/>
        <v>2.2839543958924664</v>
      </c>
      <c r="W229" s="46">
        <f t="shared" si="65"/>
        <v>811.75472215805485</v>
      </c>
      <c r="X229" s="46">
        <f>0.3*W229*Model!$B$9</f>
        <v>73532.511752943494</v>
      </c>
      <c r="Y229" s="17">
        <f>(S229-X229)/Model!$B$11</f>
        <v>7.218285722641945E-3</v>
      </c>
      <c r="Z229" s="46">
        <f t="shared" si="66"/>
        <v>17.934194661902509</v>
      </c>
      <c r="AA229" s="57">
        <f>Y229/Model!$B$12*3600</f>
        <v>46.735000407375573</v>
      </c>
      <c r="AB229" s="51">
        <f t="shared" si="71"/>
        <v>791.28648378025719</v>
      </c>
      <c r="AC229" s="51">
        <f t="shared" si="72"/>
        <v>1008.7135162197428</v>
      </c>
      <c r="AD229" s="13">
        <f>IF(AE229=0, Model!$B$19, 0 )</f>
        <v>0</v>
      </c>
      <c r="AE229" s="51">
        <f>IF(AE228+AB228-AB229&lt;Model!$B$19*Model!$B$18, AE228+AB228-AB229,  0)</f>
        <v>102.53522187735507</v>
      </c>
      <c r="AF229" s="13">
        <f t="shared" si="67"/>
        <v>11.350000000000026</v>
      </c>
      <c r="AG229" s="50">
        <f t="shared" si="68"/>
        <v>0</v>
      </c>
    </row>
    <row r="230" spans="2:33" x14ac:dyDescent="0.25">
      <c r="B230" s="15">
        <f t="shared" si="69"/>
        <v>11.400000000000027</v>
      </c>
      <c r="C230" s="15">
        <f>B230+Model!$B$4</f>
        <v>13.400000000000027</v>
      </c>
      <c r="D230" s="15">
        <f t="shared" si="70"/>
        <v>1</v>
      </c>
      <c r="E230" s="15">
        <f t="shared" si="73"/>
        <v>13.400000000000027</v>
      </c>
      <c r="F230" s="16">
        <f>IF(AB230&gt;0, VLOOKUP(B230,Model!$A$40:$B$60, 2), 0)</f>
        <v>300</v>
      </c>
      <c r="G230" s="15">
        <f>IF(AB230&gt;0, VLOOKUP(B230,Model!$A$39:$C$58, 3), 0)</f>
        <v>1</v>
      </c>
      <c r="H230" s="15">
        <f t="shared" si="56"/>
        <v>97</v>
      </c>
      <c r="I230" s="45">
        <f>Model!$B$21*EXP((-0.029*9.81*F230)/(8.31*(273+J230)))</f>
        <v>100357.4491247143</v>
      </c>
      <c r="J230" s="15">
        <f>IF(Model!$B$31="Summer",  IF(F230&lt;=2000,  Model!$B$20-Model!$B$35*F230/1000,  IF(F230&lt;Model!$B$36,  Model!$B$33-6.5*F230/1000,  Model!$B$38)),     IF(F230&lt;=2000,  Model!$B$20-Model!$B$35*F230/1000,  IF(F230&lt;Model!$B$36,  Model!$B$33-5.4*F230/1000,   Model!$B$38)))</f>
        <v>-19.088750000000001</v>
      </c>
      <c r="K230" s="15">
        <f t="shared" si="57"/>
        <v>253.91125</v>
      </c>
      <c r="L230" s="45">
        <f>IF(AB229-AA229*(B230-B229)&gt;0, L229-Y229*(B230-B229)*3600-AD230*Model!$B$16, 0)</f>
        <v>1069.6757757138439</v>
      </c>
      <c r="M230" s="56">
        <f t="shared" si="58"/>
        <v>43.061145221752497</v>
      </c>
      <c r="N230" s="56">
        <f>Model!$B$13*I230*K230/(Model!$B$13*I230-L230*287*K230)</f>
        <v>316.0611452217525</v>
      </c>
      <c r="O230" s="56">
        <f t="shared" si="59"/>
        <v>284.98619761087627</v>
      </c>
      <c r="P230" s="56">
        <f t="shared" si="60"/>
        <v>17.397895758596615</v>
      </c>
      <c r="Q230" s="62">
        <f t="shared" si="61"/>
        <v>2.4851020030372217E-2</v>
      </c>
      <c r="R230" s="33">
        <f t="shared" si="62"/>
        <v>1.4846564551531132E-5</v>
      </c>
      <c r="S230" s="45">
        <f>0.37*Model!$B$10*(Q230^2*(N230-K230)*I230/(R230*O230^2))^0.33333*(N230-K230)</f>
        <v>409240.8000849688</v>
      </c>
      <c r="T230" s="50">
        <f>Model!$B$32+(90-Model!$B$6)*SIN(RADIANS(-15*(E230+6)))</f>
        <v>25.804579866417647</v>
      </c>
      <c r="U230" s="45">
        <f t="shared" si="63"/>
        <v>25.804579866417647</v>
      </c>
      <c r="V230" s="50">
        <f t="shared" si="64"/>
        <v>2.2972500840863503</v>
      </c>
      <c r="W230" s="45">
        <f t="shared" si="65"/>
        <v>809.14906458638711</v>
      </c>
      <c r="X230" s="45">
        <f>0.3*W230*Model!$B$9</f>
        <v>73296.47919189668</v>
      </c>
      <c r="Y230" s="33">
        <f>(S230-X230)/Model!$B$11</f>
        <v>7.2067858177211654E-3</v>
      </c>
      <c r="Z230" s="45">
        <f t="shared" si="66"/>
        <v>17.910354778086269</v>
      </c>
      <c r="AA230" s="56">
        <f>Y230/Model!$B$12*3600</f>
        <v>46.66054393920453</v>
      </c>
      <c r="AB230" s="50">
        <f t="shared" si="71"/>
        <v>788.94973375988832</v>
      </c>
      <c r="AC230" s="50">
        <f t="shared" si="72"/>
        <v>1011.0502662401117</v>
      </c>
      <c r="AD230" s="15">
        <f>IF(AE230=0, Model!$B$19, 0 )</f>
        <v>0</v>
      </c>
      <c r="AE230" s="50">
        <f>IF(AE229+AB229-AB230&lt;Model!$B$19*Model!$B$18, AE229+AB229-AB230,  0)</f>
        <v>104.87197189772394</v>
      </c>
      <c r="AF230" s="15">
        <f t="shared" si="67"/>
        <v>11.400000000000027</v>
      </c>
      <c r="AG230" s="50">
        <f t="shared" si="68"/>
        <v>0</v>
      </c>
    </row>
    <row r="231" spans="2:33" x14ac:dyDescent="0.25">
      <c r="B231" s="13">
        <f t="shared" si="69"/>
        <v>11.450000000000028</v>
      </c>
      <c r="C231" s="13">
        <f>B231+Model!$B$4</f>
        <v>13.450000000000028</v>
      </c>
      <c r="D231" s="13">
        <f t="shared" si="70"/>
        <v>1</v>
      </c>
      <c r="E231" s="13">
        <f t="shared" si="73"/>
        <v>13.450000000000028</v>
      </c>
      <c r="F231" s="14">
        <f>IF(AB231&gt;0, VLOOKUP(B231,Model!$A$40:$B$60, 2), 0)</f>
        <v>300</v>
      </c>
      <c r="G231" s="13">
        <f>IF(AB231&gt;0, VLOOKUP(B231,Model!$A$39:$C$58, 3), 0)</f>
        <v>1</v>
      </c>
      <c r="H231" s="13">
        <f t="shared" si="56"/>
        <v>97</v>
      </c>
      <c r="I231" s="46">
        <f>Model!$B$21*EXP((-0.029*9.81*F231)/(8.31*(273+J231)))</f>
        <v>100357.4491247143</v>
      </c>
      <c r="J231" s="13">
        <f>IF(Model!$B$31="Summer",  IF(F231&lt;=2000,  Model!$B$20-Model!$B$35*F231/1000,  IF(F231&lt;Model!$B$36,  Model!$B$33-6.5*F231/1000,  Model!$B$38)),     IF(F231&lt;=2000,  Model!$B$20-Model!$B$35*F231/1000,  IF(F231&lt;Model!$B$36,  Model!$B$33-5.4*F231/1000,   Model!$B$38)))</f>
        <v>-19.088750000000001</v>
      </c>
      <c r="K231" s="13">
        <f t="shared" si="57"/>
        <v>253.91125</v>
      </c>
      <c r="L231" s="46">
        <f>IF(AB230-AA230*(B231-B230)&gt;0, L230-Y230*(B231-B230)*3600-AD231*Model!$B$16, 0)</f>
        <v>1068.378554266654</v>
      </c>
      <c r="M231" s="57">
        <f t="shared" si="58"/>
        <v>42.967353905643222</v>
      </c>
      <c r="N231" s="57">
        <f>Model!$B$13*I231*K231/(Model!$B$13*I231-L231*287*K231)</f>
        <v>315.96735390564322</v>
      </c>
      <c r="O231" s="57">
        <f t="shared" si="59"/>
        <v>284.93930195282161</v>
      </c>
      <c r="P231" s="57">
        <f t="shared" si="60"/>
        <v>17.333629050064189</v>
      </c>
      <c r="Q231" s="63">
        <f t="shared" si="61"/>
        <v>2.4847690438650333E-2</v>
      </c>
      <c r="R231" s="17">
        <f t="shared" si="62"/>
        <v>1.4841687403093447E-5</v>
      </c>
      <c r="S231" s="46">
        <f>0.37*Model!$B$10*(Q231^2*(N231-K231)*I231/(R231*O231^2))^0.33333*(N231-K231)</f>
        <v>408470.61209771718</v>
      </c>
      <c r="T231" s="51">
        <f>Model!$B$32+(90-Model!$B$6)*SIN(RADIANS(-15*(E231+6)))</f>
        <v>25.637599289532929</v>
      </c>
      <c r="U231" s="46">
        <f t="shared" si="63"/>
        <v>25.637599289532929</v>
      </c>
      <c r="V231" s="51">
        <f t="shared" si="64"/>
        <v>2.3111903838891346</v>
      </c>
      <c r="W231" s="46">
        <f t="shared" si="65"/>
        <v>806.4260595638342</v>
      </c>
      <c r="X231" s="46">
        <f>0.3*W231*Model!$B$9</f>
        <v>73049.816753898311</v>
      </c>
      <c r="Y231" s="17">
        <f>(S231-X231)/Model!$B$11</f>
        <v>7.1955549789513859E-3</v>
      </c>
      <c r="Z231" s="46">
        <f t="shared" si="66"/>
        <v>17.883738655945908</v>
      </c>
      <c r="AA231" s="57">
        <f>Y231/Model!$B$12*3600</f>
        <v>46.587829547637227</v>
      </c>
      <c r="AB231" s="51">
        <f t="shared" si="71"/>
        <v>786.61670656292802</v>
      </c>
      <c r="AC231" s="51">
        <f t="shared" si="72"/>
        <v>1013.383293437072</v>
      </c>
      <c r="AD231" s="13">
        <f>IF(AE231=0, Model!$B$19, 0 )</f>
        <v>0</v>
      </c>
      <c r="AE231" s="51">
        <f>IF(AE230+AB230-AB231&lt;Model!$B$19*Model!$B$18, AE230+AB230-AB231,  0)</f>
        <v>107.20499909468424</v>
      </c>
      <c r="AF231" s="13">
        <f t="shared" si="67"/>
        <v>11.450000000000028</v>
      </c>
      <c r="AG231" s="50">
        <f t="shared" si="68"/>
        <v>0</v>
      </c>
    </row>
    <row r="232" spans="2:33" x14ac:dyDescent="0.25">
      <c r="B232" s="15">
        <f t="shared" si="69"/>
        <v>11.500000000000028</v>
      </c>
      <c r="C232" s="15">
        <f>B232+Model!$B$4</f>
        <v>13.500000000000028</v>
      </c>
      <c r="D232" s="15">
        <f t="shared" si="70"/>
        <v>1</v>
      </c>
      <c r="E232" s="15">
        <f t="shared" si="73"/>
        <v>13.500000000000028</v>
      </c>
      <c r="F232" s="16">
        <f>IF(AB232&gt;0, VLOOKUP(B232,Model!$A$40:$B$60, 2), 0)</f>
        <v>300</v>
      </c>
      <c r="G232" s="15">
        <f>IF(AB232&gt;0, VLOOKUP(B232,Model!$A$39:$C$58, 3), 0)</f>
        <v>1</v>
      </c>
      <c r="H232" s="15">
        <f t="shared" si="56"/>
        <v>97</v>
      </c>
      <c r="I232" s="45">
        <f>Model!$B$21*EXP((-0.029*9.81*F232)/(8.31*(273+J232)))</f>
        <v>100357.4491247143</v>
      </c>
      <c r="J232" s="15">
        <f>IF(Model!$B$31="Summer",  IF(F232&lt;=2000,  Model!$B$20-Model!$B$35*F232/1000,  IF(F232&lt;Model!$B$36,  Model!$B$33-6.5*F232/1000,  Model!$B$38)),     IF(F232&lt;=2000,  Model!$B$20-Model!$B$35*F232/1000,  IF(F232&lt;Model!$B$36,  Model!$B$33-5.4*F232/1000,   Model!$B$38)))</f>
        <v>-19.088750000000001</v>
      </c>
      <c r="K232" s="15">
        <f t="shared" si="57"/>
        <v>253.91125</v>
      </c>
      <c r="L232" s="45">
        <f>IF(AB231-AA231*(B232-B231)&gt;0, L231-Y231*(B232-B231)*3600-AD232*Model!$B$16, 0)</f>
        <v>1067.0833543704427</v>
      </c>
      <c r="M232" s="56">
        <f t="shared" si="58"/>
        <v>42.873764269851904</v>
      </c>
      <c r="N232" s="56">
        <f>Model!$B$13*I232*K232/(Model!$B$13*I232-L232*287*K232)</f>
        <v>315.8737642698519</v>
      </c>
      <c r="O232" s="56">
        <f t="shared" si="59"/>
        <v>284.89250713492595</v>
      </c>
      <c r="P232" s="56">
        <f t="shared" si="60"/>
        <v>17.268680865351513</v>
      </c>
      <c r="Q232" s="62">
        <f t="shared" si="61"/>
        <v>2.4844368006579742E-2</v>
      </c>
      <c r="R232" s="33">
        <f t="shared" si="62"/>
        <v>1.4836820742032298E-5</v>
      </c>
      <c r="S232" s="45">
        <f>0.37*Model!$B$10*(Q232^2*(N232-K232)*I232/(R232*O232^2))^0.33333*(N232-K232)</f>
        <v>407702.30441566376</v>
      </c>
      <c r="T232" s="50">
        <f>Model!$B$32+(90-Model!$B$6)*SIN(RADIANS(-15*(E232+6)))</f>
        <v>25.465048576910604</v>
      </c>
      <c r="U232" s="45">
        <f t="shared" si="63"/>
        <v>25.465048576910604</v>
      </c>
      <c r="V232" s="50">
        <f t="shared" si="64"/>
        <v>2.3257954550569653</v>
      </c>
      <c r="W232" s="45">
        <f t="shared" si="65"/>
        <v>803.58303207825827</v>
      </c>
      <c r="X232" s="45">
        <f>0.3*W232*Model!$B$9</f>
        <v>72792.282123928715</v>
      </c>
      <c r="Y232" s="33">
        <f>(S232-X232)/Model!$B$11</f>
        <v>7.184597710859917E-3</v>
      </c>
      <c r="Z232" s="45">
        <f t="shared" si="66"/>
        <v>17.854272918142492</v>
      </c>
      <c r="AA232" s="56">
        <f>Y232/Model!$B$12*3600</f>
        <v>46.516886397366484</v>
      </c>
      <c r="AB232" s="50">
        <f t="shared" si="71"/>
        <v>784.28731508554608</v>
      </c>
      <c r="AC232" s="50">
        <f t="shared" si="72"/>
        <v>1015.7126849144539</v>
      </c>
      <c r="AD232" s="15">
        <f>IF(AE232=0, Model!$B$19, 0 )</f>
        <v>0</v>
      </c>
      <c r="AE232" s="50">
        <f>IF(AE231+AB231-AB232&lt;Model!$B$19*Model!$B$18, AE231+AB231-AB232,  0)</f>
        <v>109.53439057206617</v>
      </c>
      <c r="AF232" s="15">
        <f t="shared" si="67"/>
        <v>11.500000000000028</v>
      </c>
      <c r="AG232" s="50">
        <f t="shared" si="68"/>
        <v>0</v>
      </c>
    </row>
    <row r="233" spans="2:33" x14ac:dyDescent="0.25">
      <c r="B233" s="13">
        <f t="shared" si="69"/>
        <v>11.550000000000029</v>
      </c>
      <c r="C233" s="13">
        <f>B233+Model!$B$4</f>
        <v>13.550000000000029</v>
      </c>
      <c r="D233" s="13">
        <f t="shared" si="70"/>
        <v>1</v>
      </c>
      <c r="E233" s="13">
        <f t="shared" si="73"/>
        <v>13.550000000000029</v>
      </c>
      <c r="F233" s="14">
        <f>IF(AB233&gt;0, VLOOKUP(B233,Model!$A$40:$B$60, 2), 0)</f>
        <v>300</v>
      </c>
      <c r="G233" s="13">
        <f>IF(AB233&gt;0, VLOOKUP(B233,Model!$A$39:$C$58, 3), 0)</f>
        <v>1</v>
      </c>
      <c r="H233" s="13">
        <f t="shared" si="56"/>
        <v>97</v>
      </c>
      <c r="I233" s="46">
        <f>Model!$B$21*EXP((-0.029*9.81*F233)/(8.31*(273+J233)))</f>
        <v>100357.4491247143</v>
      </c>
      <c r="J233" s="13">
        <f>IF(Model!$B$31="Summer",  IF(F233&lt;=2000,  Model!$B$20-Model!$B$35*F233/1000,  IF(F233&lt;Model!$B$36,  Model!$B$33-6.5*F233/1000,  Model!$B$38)),     IF(F233&lt;=2000,  Model!$B$20-Model!$B$35*F233/1000,  IF(F233&lt;Model!$B$36,  Model!$B$33-5.4*F233/1000,   Model!$B$38)))</f>
        <v>-19.088750000000001</v>
      </c>
      <c r="K233" s="13">
        <f t="shared" si="57"/>
        <v>253.91125</v>
      </c>
      <c r="L233" s="46">
        <f>IF(AB232-AA232*(B233-B232)&gt;0, L232-Y232*(B233-B232)*3600-AD233*Model!$B$16, 0)</f>
        <v>1065.790126782488</v>
      </c>
      <c r="M233" s="57">
        <f t="shared" si="58"/>
        <v>42.780372450389507</v>
      </c>
      <c r="N233" s="57">
        <f>Model!$B$13*I233*K233/(Model!$B$13*I233-L233*287*K233)</f>
        <v>315.78037245038951</v>
      </c>
      <c r="O233" s="57">
        <f t="shared" si="59"/>
        <v>284.84581122519478</v>
      </c>
      <c r="P233" s="57">
        <f t="shared" si="60"/>
        <v>17.203031439049809</v>
      </c>
      <c r="Q233" s="63">
        <f t="shared" si="61"/>
        <v>2.4841052596988829E-2</v>
      </c>
      <c r="R233" s="17">
        <f t="shared" si="62"/>
        <v>1.4831964367420256E-5</v>
      </c>
      <c r="S233" s="46">
        <f>0.37*Model!$B$10*(Q233^2*(N233-K233)*I233/(R233*O233^2))^0.33333*(N233-K233)</f>
        <v>406935.84433286509</v>
      </c>
      <c r="T233" s="51">
        <f>Model!$B$32+(90-Model!$B$6)*SIN(RADIANS(-15*(E233+6)))</f>
        <v>25.286957294227015</v>
      </c>
      <c r="U233" s="46">
        <f t="shared" si="63"/>
        <v>25.286957294227015</v>
      </c>
      <c r="V233" s="51">
        <f t="shared" si="64"/>
        <v>2.3410867470016035</v>
      </c>
      <c r="W233" s="46">
        <f t="shared" si="65"/>
        <v>800.61716507870881</v>
      </c>
      <c r="X233" s="46">
        <f>0.3*W233*Model!$B$9</f>
        <v>72523.620120433057</v>
      </c>
      <c r="Y233" s="17">
        <f>(S233-X233)/Model!$B$11</f>
        <v>7.1739187860652594E-3</v>
      </c>
      <c r="Z233" s="46">
        <f t="shared" si="66"/>
        <v>17.821880556953406</v>
      </c>
      <c r="AA233" s="57">
        <f>Y233/Model!$B$12*3600</f>
        <v>46.447745388849299</v>
      </c>
      <c r="AB233" s="51">
        <f t="shared" si="71"/>
        <v>781.96147076567775</v>
      </c>
      <c r="AC233" s="51">
        <f t="shared" si="72"/>
        <v>1018.0385292343223</v>
      </c>
      <c r="AD233" s="13">
        <f>IF(AE233=0, Model!$B$19, 0 )</f>
        <v>0</v>
      </c>
      <c r="AE233" s="51">
        <f>IF(AE232+AB232-AB233&lt;Model!$B$19*Model!$B$18, AE232+AB232-AB233,  0)</f>
        <v>111.86023489193451</v>
      </c>
      <c r="AF233" s="13">
        <f t="shared" si="67"/>
        <v>11.550000000000029</v>
      </c>
      <c r="AG233" s="50">
        <f t="shared" si="68"/>
        <v>0</v>
      </c>
    </row>
    <row r="234" spans="2:33" x14ac:dyDescent="0.25">
      <c r="B234" s="15">
        <f t="shared" si="69"/>
        <v>11.60000000000003</v>
      </c>
      <c r="C234" s="15">
        <f>B234+Model!$B$4</f>
        <v>13.60000000000003</v>
      </c>
      <c r="D234" s="15">
        <f t="shared" si="70"/>
        <v>1</v>
      </c>
      <c r="E234" s="15">
        <f t="shared" si="73"/>
        <v>13.60000000000003</v>
      </c>
      <c r="F234" s="16">
        <f>IF(AB234&gt;0, VLOOKUP(B234,Model!$A$40:$B$60, 2), 0)</f>
        <v>300</v>
      </c>
      <c r="G234" s="15">
        <f>IF(AB234&gt;0, VLOOKUP(B234,Model!$A$39:$C$58, 3), 0)</f>
        <v>1</v>
      </c>
      <c r="H234" s="15">
        <f t="shared" si="56"/>
        <v>97</v>
      </c>
      <c r="I234" s="45">
        <f>Model!$B$21*EXP((-0.029*9.81*F234)/(8.31*(273+J234)))</f>
        <v>100357.4491247143</v>
      </c>
      <c r="J234" s="15">
        <f>IF(Model!$B$31="Summer",  IF(F234&lt;=2000,  Model!$B$20-Model!$B$35*F234/1000,  IF(F234&lt;Model!$B$36,  Model!$B$33-6.5*F234/1000,  Model!$B$38)),     IF(F234&lt;=2000,  Model!$B$20-Model!$B$35*F234/1000,  IF(F234&lt;Model!$B$36,  Model!$B$33-5.4*F234/1000,   Model!$B$38)))</f>
        <v>-19.088750000000001</v>
      </c>
      <c r="K234" s="15">
        <f t="shared" si="57"/>
        <v>253.91125</v>
      </c>
      <c r="L234" s="45">
        <f>IF(AB233-AA233*(B234-B233)&gt;0, L233-Y233*(B234-B233)*3600-AD234*Model!$B$16, 0)</f>
        <v>1064.4988214009961</v>
      </c>
      <c r="M234" s="56">
        <f t="shared" si="58"/>
        <v>42.687174530599066</v>
      </c>
      <c r="N234" s="56">
        <f>Model!$B$13*I234*K234/(Model!$B$13*I234-L234*287*K234)</f>
        <v>315.68717453059907</v>
      </c>
      <c r="O234" s="56">
        <f t="shared" si="59"/>
        <v>284.7992122652995</v>
      </c>
      <c r="P234" s="56">
        <f t="shared" si="60"/>
        <v>17.136660032490923</v>
      </c>
      <c r="Q234" s="62">
        <f t="shared" si="61"/>
        <v>2.4837744070836266E-2</v>
      </c>
      <c r="R234" s="33">
        <f t="shared" si="62"/>
        <v>1.4827118075591148E-5</v>
      </c>
      <c r="S234" s="45">
        <f>0.37*Model!$B$10*(Q234^2*(N234-K234)*I234/(R234*O234^2))^0.33333*(N234-K234)</f>
        <v>406171.19874692248</v>
      </c>
      <c r="T234" s="50">
        <f>Model!$B$32+(90-Model!$B$6)*SIN(RADIANS(-15*(E234+6)))</f>
        <v>25.103355956506601</v>
      </c>
      <c r="U234" s="45">
        <f t="shared" si="63"/>
        <v>25.103355956506601</v>
      </c>
      <c r="V234" s="50">
        <f t="shared" si="64"/>
        <v>2.3570870794647298</v>
      </c>
      <c r="W234" s="45">
        <f t="shared" si="65"/>
        <v>797.52549357144039</v>
      </c>
      <c r="X234" s="45">
        <f>0.3*W234*Model!$B$9</f>
        <v>72243.562160511283</v>
      </c>
      <c r="Y234" s="33">
        <f>(S234-X234)/Model!$B$11</f>
        <v>7.1635232561710008E-3</v>
      </c>
      <c r="Z234" s="45">
        <f t="shared" si="66"/>
        <v>17.786480770519841</v>
      </c>
      <c r="AA234" s="56">
        <f>Y234/Model!$B$12*3600</f>
        <v>46.38043922883972</v>
      </c>
      <c r="AB234" s="50">
        <f t="shared" si="71"/>
        <v>779.63908349623523</v>
      </c>
      <c r="AC234" s="50">
        <f t="shared" si="72"/>
        <v>1020.3609165037648</v>
      </c>
      <c r="AD234" s="15">
        <f>IF(AE234=0, Model!$B$19, 0 )</f>
        <v>0</v>
      </c>
      <c r="AE234" s="50">
        <f>IF(AE233+AB233-AB234&lt;Model!$B$19*Model!$B$18, AE233+AB233-AB234,  0)</f>
        <v>114.18262216137703</v>
      </c>
      <c r="AF234" s="15">
        <f t="shared" si="67"/>
        <v>11.60000000000003</v>
      </c>
      <c r="AG234" s="50">
        <f t="shared" si="68"/>
        <v>0</v>
      </c>
    </row>
    <row r="235" spans="2:33" x14ac:dyDescent="0.25">
      <c r="B235" s="13">
        <f t="shared" si="69"/>
        <v>11.650000000000031</v>
      </c>
      <c r="C235" s="13">
        <f>B235+Model!$B$4</f>
        <v>13.650000000000031</v>
      </c>
      <c r="D235" s="13">
        <f t="shared" si="70"/>
        <v>1</v>
      </c>
      <c r="E235" s="13">
        <f t="shared" si="73"/>
        <v>13.650000000000031</v>
      </c>
      <c r="F235" s="14">
        <f>IF(AB235&gt;0, VLOOKUP(B235,Model!$A$40:$B$60, 2), 0)</f>
        <v>300</v>
      </c>
      <c r="G235" s="13">
        <f>IF(AB235&gt;0, VLOOKUP(B235,Model!$A$39:$C$58, 3), 0)</f>
        <v>1</v>
      </c>
      <c r="H235" s="13">
        <f t="shared" si="56"/>
        <v>97</v>
      </c>
      <c r="I235" s="46">
        <f>Model!$B$21*EXP((-0.029*9.81*F235)/(8.31*(273+J235)))</f>
        <v>100357.4491247143</v>
      </c>
      <c r="J235" s="13">
        <f>IF(Model!$B$31="Summer",  IF(F235&lt;=2000,  Model!$B$20-Model!$B$35*F235/1000,  IF(F235&lt;Model!$B$36,  Model!$B$33-6.5*F235/1000,  Model!$B$38)),     IF(F235&lt;=2000,  Model!$B$20-Model!$B$35*F235/1000,  IF(F235&lt;Model!$B$36,  Model!$B$33-5.4*F235/1000,   Model!$B$38)))</f>
        <v>-19.088750000000001</v>
      </c>
      <c r="K235" s="13">
        <f t="shared" si="57"/>
        <v>253.91125</v>
      </c>
      <c r="L235" s="46">
        <f>IF(AB234-AA234*(B235-B234)&gt;0, L234-Y234*(B235-B234)*3600-AD235*Model!$B$16, 0)</f>
        <v>1063.2093872148853</v>
      </c>
      <c r="M235" s="57">
        <f t="shared" si="58"/>
        <v>42.594166537664137</v>
      </c>
      <c r="N235" s="57">
        <f>Model!$B$13*I235*K235/(Model!$B$13*I235-L235*287*K235)</f>
        <v>315.59416653766414</v>
      </c>
      <c r="O235" s="57">
        <f t="shared" si="59"/>
        <v>284.75270826883207</v>
      </c>
      <c r="P235" s="57">
        <f t="shared" si="60"/>
        <v>17.06954489264167</v>
      </c>
      <c r="Q235" s="63">
        <f t="shared" si="61"/>
        <v>2.4834442287087078E-2</v>
      </c>
      <c r="R235" s="17">
        <f t="shared" si="62"/>
        <v>1.4822281659958533E-5</v>
      </c>
      <c r="S235" s="46">
        <f>0.37*Model!$B$10*(Q235^2*(N235-K235)*I235/(R235*O235^2))^0.33333*(N235-K235)</f>
        <v>405408.33413097583</v>
      </c>
      <c r="T235" s="51">
        <f>Model!$B$32+(90-Model!$B$6)*SIN(RADIANS(-15*(E235+6)))</f>
        <v>24.914276022893411</v>
      </c>
      <c r="U235" s="46">
        <f t="shared" si="63"/>
        <v>24.914276022893411</v>
      </c>
      <c r="V235" s="51">
        <f t="shared" si="64"/>
        <v>2.3738207302615231</v>
      </c>
      <c r="W235" s="46">
        <f t="shared" si="65"/>
        <v>794.30489834617288</v>
      </c>
      <c r="X235" s="46">
        <f>0.3*W235*Model!$B$9</f>
        <v>71951.825691613543</v>
      </c>
      <c r="Y235" s="17">
        <f>(S235-X235)/Model!$B$11</f>
        <v>7.1534164633564792E-3</v>
      </c>
      <c r="Z235" s="46">
        <f t="shared" si="66"/>
        <v>17.747988789092819</v>
      </c>
      <c r="AA235" s="57">
        <f>Y235/Model!$B$12*3600</f>
        <v>46.315002505432901</v>
      </c>
      <c r="AB235" s="51">
        <f t="shared" si="71"/>
        <v>777.32006153479324</v>
      </c>
      <c r="AC235" s="51">
        <f t="shared" si="72"/>
        <v>1022.6799384652068</v>
      </c>
      <c r="AD235" s="13">
        <f>IF(AE235=0, Model!$B$19, 0 )</f>
        <v>0</v>
      </c>
      <c r="AE235" s="51">
        <f>IF(AE234+AB234-AB235&lt;Model!$B$19*Model!$B$18, AE234+AB234-AB235,  0)</f>
        <v>116.50164412281902</v>
      </c>
      <c r="AF235" s="13">
        <f t="shared" si="67"/>
        <v>11.650000000000031</v>
      </c>
      <c r="AG235" s="50">
        <f t="shared" si="68"/>
        <v>0</v>
      </c>
    </row>
    <row r="236" spans="2:33" x14ac:dyDescent="0.25">
      <c r="B236" s="15">
        <f t="shared" si="69"/>
        <v>11.700000000000031</v>
      </c>
      <c r="C236" s="15">
        <f>B236+Model!$B$4</f>
        <v>13.700000000000031</v>
      </c>
      <c r="D236" s="15">
        <f t="shared" si="70"/>
        <v>1</v>
      </c>
      <c r="E236" s="15">
        <f t="shared" si="73"/>
        <v>13.700000000000031</v>
      </c>
      <c r="F236" s="16">
        <f>IF(AB236&gt;0, VLOOKUP(B236,Model!$A$40:$B$60, 2), 0)</f>
        <v>300</v>
      </c>
      <c r="G236" s="15">
        <f>IF(AB236&gt;0, VLOOKUP(B236,Model!$A$39:$C$58, 3), 0)</f>
        <v>1</v>
      </c>
      <c r="H236" s="15">
        <f t="shared" si="56"/>
        <v>97</v>
      </c>
      <c r="I236" s="45">
        <f>Model!$B$21*EXP((-0.029*9.81*F236)/(8.31*(273+J236)))</f>
        <v>100357.4491247143</v>
      </c>
      <c r="J236" s="15">
        <f>IF(Model!$B$31="Summer",  IF(F236&lt;=2000,  Model!$B$20-Model!$B$35*F236/1000,  IF(F236&lt;Model!$B$36,  Model!$B$33-6.5*F236/1000,  Model!$B$38)),     IF(F236&lt;=2000,  Model!$B$20-Model!$B$35*F236/1000,  IF(F236&lt;Model!$B$36,  Model!$B$33-5.4*F236/1000,   Model!$B$38)))</f>
        <v>-19.088750000000001</v>
      </c>
      <c r="K236" s="15">
        <f t="shared" si="57"/>
        <v>253.91125</v>
      </c>
      <c r="L236" s="45">
        <f>IF(AB235-AA235*(B236-B235)&gt;0, L235-Y235*(B236-B235)*3600-AD236*Model!$B$16, 0)</f>
        <v>1061.9217722514811</v>
      </c>
      <c r="M236" s="56">
        <f t="shared" si="58"/>
        <v>42.501344438979288</v>
      </c>
      <c r="N236" s="56">
        <f>Model!$B$13*I236*K236/(Model!$B$13*I236-L236*287*K236)</f>
        <v>315.50134443897929</v>
      </c>
      <c r="O236" s="56">
        <f t="shared" si="59"/>
        <v>284.70629721948967</v>
      </c>
      <c r="P236" s="56">
        <f t="shared" si="60"/>
        <v>17.00166320846413</v>
      </c>
      <c r="Q236" s="62">
        <f t="shared" si="61"/>
        <v>2.4831147102583766E-2</v>
      </c>
      <c r="R236" s="33">
        <f t="shared" si="62"/>
        <v>1.4817454910826925E-5</v>
      </c>
      <c r="S236" s="45">
        <f>0.37*Model!$B$10*(Q236^2*(N236-K236)*I236/(R236*O236^2))^0.33333*(N236-K236)</f>
        <v>404647.21650462307</v>
      </c>
      <c r="T236" s="50">
        <f>Model!$B$32+(90-Model!$B$6)*SIN(RADIANS(-15*(E236+6)))</f>
        <v>24.719749891260683</v>
      </c>
      <c r="U236" s="45">
        <f t="shared" si="63"/>
        <v>24.719749891260683</v>
      </c>
      <c r="V236" s="50">
        <f t="shared" si="64"/>
        <v>2.3913135307749367</v>
      </c>
      <c r="W236" s="45">
        <f t="shared" si="65"/>
        <v>790.95209931266788</v>
      </c>
      <c r="X236" s="45">
        <f>0.3*W236*Model!$B$9</f>
        <v>71648.113587936416</v>
      </c>
      <c r="Y236" s="33">
        <f>(S236-X236)/Model!$B$11</f>
        <v>7.1436040527016343E-3</v>
      </c>
      <c r="Z236" s="45">
        <f t="shared" si="66"/>
        <v>17.706315690699391</v>
      </c>
      <c r="AA236" s="56">
        <f>Y236/Model!$B$12*3600</f>
        <v>46.251471767862746</v>
      </c>
      <c r="AB236" s="50">
        <f t="shared" si="71"/>
        <v>775.00431140952151</v>
      </c>
      <c r="AC236" s="50">
        <f t="shared" si="72"/>
        <v>1024.9956885904785</v>
      </c>
      <c r="AD236" s="15">
        <f>IF(AE236=0, Model!$B$19, 0 )</f>
        <v>0</v>
      </c>
      <c r="AE236" s="50">
        <f>IF(AE235+AB235-AB236&lt;Model!$B$19*Model!$B$18, AE235+AB235-AB236,  0)</f>
        <v>118.81739424809075</v>
      </c>
      <c r="AF236" s="15">
        <f t="shared" si="67"/>
        <v>11.700000000000031</v>
      </c>
      <c r="AG236" s="50">
        <f t="shared" si="68"/>
        <v>0</v>
      </c>
    </row>
    <row r="237" spans="2:33" x14ac:dyDescent="0.25">
      <c r="B237" s="13">
        <f t="shared" si="69"/>
        <v>11.750000000000032</v>
      </c>
      <c r="C237" s="13">
        <f>B237+Model!$B$4</f>
        <v>13.750000000000032</v>
      </c>
      <c r="D237" s="13">
        <f t="shared" si="70"/>
        <v>1</v>
      </c>
      <c r="E237" s="13">
        <f t="shared" si="73"/>
        <v>13.750000000000032</v>
      </c>
      <c r="F237" s="14">
        <f>IF(AB237&gt;0, VLOOKUP(B237,Model!$A$40:$B$60, 2), 0)</f>
        <v>300</v>
      </c>
      <c r="G237" s="13">
        <f>IF(AB237&gt;0, VLOOKUP(B237,Model!$A$39:$C$58, 3), 0)</f>
        <v>1</v>
      </c>
      <c r="H237" s="13">
        <f t="shared" si="56"/>
        <v>97</v>
      </c>
      <c r="I237" s="46">
        <f>Model!$B$21*EXP((-0.029*9.81*F237)/(8.31*(273+J237)))</f>
        <v>100357.4491247143</v>
      </c>
      <c r="J237" s="13">
        <f>IF(Model!$B$31="Summer",  IF(F237&lt;=2000,  Model!$B$20-Model!$B$35*F237/1000,  IF(F237&lt;Model!$B$36,  Model!$B$33-6.5*F237/1000,  Model!$B$38)),     IF(F237&lt;=2000,  Model!$B$20-Model!$B$35*F237/1000,  IF(F237&lt;Model!$B$36,  Model!$B$33-5.4*F237/1000,   Model!$B$38)))</f>
        <v>-19.088750000000001</v>
      </c>
      <c r="K237" s="13">
        <f t="shared" si="57"/>
        <v>253.91125</v>
      </c>
      <c r="L237" s="46">
        <f>IF(AB236-AA236*(B237-B236)&gt;0, L236-Y236*(B237-B236)*3600-AD237*Model!$B$16, 0)</f>
        <v>1060.6359235219948</v>
      </c>
      <c r="M237" s="57">
        <f t="shared" si="58"/>
        <v>42.408704138374503</v>
      </c>
      <c r="N237" s="57">
        <f>Model!$B$13*I237*K237/(Model!$B$13*I237-L237*287*K237)</f>
        <v>315.4087041383745</v>
      </c>
      <c r="O237" s="57">
        <f t="shared" si="59"/>
        <v>284.65997706918722</v>
      </c>
      <c r="P237" s="57">
        <f t="shared" si="60"/>
        <v>16.932991064605037</v>
      </c>
      <c r="Q237" s="63">
        <f t="shared" si="61"/>
        <v>2.4827858371912294E-2</v>
      </c>
      <c r="R237" s="17">
        <f t="shared" si="62"/>
        <v>1.481263761519547E-5</v>
      </c>
      <c r="S237" s="46">
        <f>0.37*Model!$B$10*(Q237^2*(N237-K237)*I237/(R237*O237^2))^0.33333*(N237-K237)</f>
        <v>403887.81140369456</v>
      </c>
      <c r="T237" s="51">
        <f>Model!$B$32+(90-Model!$B$6)*SIN(RADIANS(-15*(E237+6)))</f>
        <v>24.519810892659649</v>
      </c>
      <c r="U237" s="46">
        <f t="shared" si="63"/>
        <v>24.519810892659649</v>
      </c>
      <c r="V237" s="51">
        <f t="shared" si="64"/>
        <v>2.409592969960987</v>
      </c>
      <c r="W237" s="46">
        <f t="shared" si="65"/>
        <v>787.463648426698</v>
      </c>
      <c r="X237" s="46">
        <f>0.3*W237*Model!$B$9</f>
        <v>71332.113509624338</v>
      </c>
      <c r="Y237" s="17">
        <f>(S237-X237)/Model!$B$11</f>
        <v>7.1340919852852141E-3</v>
      </c>
      <c r="Z237" s="46">
        <f t="shared" si="66"/>
        <v>17.661368205619446</v>
      </c>
      <c r="AA237" s="57">
        <f>Y237/Model!$B$12*3600</f>
        <v>46.189885611306629</v>
      </c>
      <c r="AB237" s="51">
        <f t="shared" si="71"/>
        <v>772.6917378211283</v>
      </c>
      <c r="AC237" s="51">
        <f t="shared" si="72"/>
        <v>1027.3082621788717</v>
      </c>
      <c r="AD237" s="13">
        <f>IF(AE237=0, Model!$B$19, 0 )</f>
        <v>0</v>
      </c>
      <c r="AE237" s="51">
        <f>IF(AE236+AB236-AB237&lt;Model!$B$19*Model!$B$18, AE236+AB236-AB237,  0)</f>
        <v>121.12996783648396</v>
      </c>
      <c r="AF237" s="13">
        <f t="shared" si="67"/>
        <v>11.750000000000032</v>
      </c>
      <c r="AG237" s="50">
        <f t="shared" si="68"/>
        <v>0</v>
      </c>
    </row>
    <row r="238" spans="2:33" x14ac:dyDescent="0.25">
      <c r="B238" s="15">
        <f t="shared" si="69"/>
        <v>11.800000000000033</v>
      </c>
      <c r="C238" s="15">
        <f>B238+Model!$B$4</f>
        <v>13.800000000000033</v>
      </c>
      <c r="D238" s="15">
        <f t="shared" si="70"/>
        <v>1</v>
      </c>
      <c r="E238" s="15">
        <f t="shared" si="73"/>
        <v>13.800000000000033</v>
      </c>
      <c r="F238" s="16">
        <f>IF(AB238&gt;0, VLOOKUP(B238,Model!$A$40:$B$60, 2), 0)</f>
        <v>300</v>
      </c>
      <c r="G238" s="15">
        <f>IF(AB238&gt;0, VLOOKUP(B238,Model!$A$39:$C$58, 3), 0)</f>
        <v>1</v>
      </c>
      <c r="H238" s="15">
        <f t="shared" si="56"/>
        <v>97</v>
      </c>
      <c r="I238" s="45">
        <f>Model!$B$21*EXP((-0.029*9.81*F238)/(8.31*(273+J238)))</f>
        <v>100357.4491247143</v>
      </c>
      <c r="J238" s="15">
        <f>IF(Model!$B$31="Summer",  IF(F238&lt;=2000,  Model!$B$20-Model!$B$35*F238/1000,  IF(F238&lt;Model!$B$36,  Model!$B$33-6.5*F238/1000,  Model!$B$38)),     IF(F238&lt;=2000,  Model!$B$20-Model!$B$35*F238/1000,  IF(F238&lt;Model!$B$36,  Model!$B$33-5.4*F238/1000,   Model!$B$38)))</f>
        <v>-19.088750000000001</v>
      </c>
      <c r="K238" s="15">
        <f t="shared" si="57"/>
        <v>253.91125</v>
      </c>
      <c r="L238" s="45">
        <f>IF(AB237-AA237*(B238-B237)&gt;0, L237-Y237*(B238-B237)*3600-AD238*Model!$B$16, 0)</f>
        <v>1059.3517869646435</v>
      </c>
      <c r="M238" s="56">
        <f t="shared" si="58"/>
        <v>42.316241472182128</v>
      </c>
      <c r="N238" s="56">
        <f>Model!$B$13*I238*K238/(Model!$B$13*I238-L238*287*K238)</f>
        <v>315.31624147218213</v>
      </c>
      <c r="O238" s="56">
        <f t="shared" si="59"/>
        <v>284.61374573609106</v>
      </c>
      <c r="P238" s="56">
        <f t="shared" si="60"/>
        <v>16.863503392269049</v>
      </c>
      <c r="Q238" s="62">
        <f t="shared" si="61"/>
        <v>2.4824575947262464E-2</v>
      </c>
      <c r="R238" s="33">
        <f t="shared" si="62"/>
        <v>1.4807829556553469E-5</v>
      </c>
      <c r="S238" s="45">
        <f>0.37*Model!$B$10*(Q238^2*(N238-K238)*I238/(R238*O238^2))^0.33333*(N238-K238)</f>
        <v>403130.08384879591</v>
      </c>
      <c r="T238" s="50">
        <f>Model!$B$32+(90-Model!$B$6)*SIN(RADIANS(-15*(E238+6)))</f>
        <v>24.314493285608414</v>
      </c>
      <c r="U238" s="45">
        <f t="shared" si="63"/>
        <v>24.314493285608414</v>
      </c>
      <c r="V238" s="50">
        <f t="shared" si="64"/>
        <v>2.4286883077145798</v>
      </c>
      <c r="W238" s="45">
        <f t="shared" si="65"/>
        <v>783.83592218348429</v>
      </c>
      <c r="X238" s="45">
        <f>0.3*W238*Model!$B$9</f>
        <v>71003.497222790291</v>
      </c>
      <c r="Y238" s="33">
        <f>(S238-X238)/Model!$B$11</f>
        <v>7.1248865520970846E-3</v>
      </c>
      <c r="Z238" s="45">
        <f t="shared" si="66"/>
        <v>17.613048509032122</v>
      </c>
      <c r="AA238" s="56">
        <f>Y238/Model!$B$12*3600</f>
        <v>46.130284766961026</v>
      </c>
      <c r="AB238" s="50">
        <f t="shared" si="71"/>
        <v>770.38224354056297</v>
      </c>
      <c r="AC238" s="50">
        <f t="shared" si="72"/>
        <v>1029.617756459437</v>
      </c>
      <c r="AD238" s="15">
        <f>IF(AE238=0, Model!$B$19, 0 )</f>
        <v>0</v>
      </c>
      <c r="AE238" s="50">
        <f>IF(AE237+AB237-AB238&lt;Model!$B$19*Model!$B$18, AE237+AB237-AB238,  0)</f>
        <v>123.43946211704929</v>
      </c>
      <c r="AF238" s="15">
        <f t="shared" si="67"/>
        <v>11.800000000000033</v>
      </c>
      <c r="AG238" s="50">
        <f t="shared" si="68"/>
        <v>0</v>
      </c>
    </row>
    <row r="239" spans="2:33" x14ac:dyDescent="0.25">
      <c r="B239" s="13">
        <f t="shared" si="69"/>
        <v>11.850000000000033</v>
      </c>
      <c r="C239" s="13">
        <f>B239+Model!$B$4</f>
        <v>13.850000000000033</v>
      </c>
      <c r="D239" s="13">
        <f t="shared" si="70"/>
        <v>1</v>
      </c>
      <c r="E239" s="13">
        <f t="shared" si="73"/>
        <v>13.850000000000033</v>
      </c>
      <c r="F239" s="14">
        <f>IF(AB239&gt;0, VLOOKUP(B239,Model!$A$40:$B$60, 2), 0)</f>
        <v>300</v>
      </c>
      <c r="G239" s="13">
        <f>IF(AB239&gt;0, VLOOKUP(B239,Model!$A$39:$C$58, 3), 0)</f>
        <v>1</v>
      </c>
      <c r="H239" s="13">
        <f t="shared" si="56"/>
        <v>97</v>
      </c>
      <c r="I239" s="46">
        <f>Model!$B$21*EXP((-0.029*9.81*F239)/(8.31*(273+J239)))</f>
        <v>100357.4491247143</v>
      </c>
      <c r="J239" s="13">
        <f>IF(Model!$B$31="Summer",  IF(F239&lt;=2000,  Model!$B$20-Model!$B$35*F239/1000,  IF(F239&lt;Model!$B$36,  Model!$B$33-6.5*F239/1000,  Model!$B$38)),     IF(F239&lt;=2000,  Model!$B$20-Model!$B$35*F239/1000,  IF(F239&lt;Model!$B$36,  Model!$B$33-5.4*F239/1000,   Model!$B$38)))</f>
        <v>-19.088750000000001</v>
      </c>
      <c r="K239" s="13">
        <f>273+J239</f>
        <v>253.91125</v>
      </c>
      <c r="L239" s="46">
        <f>IF(AB238-AA238*(B239-B238)&gt;0, L238-Y238*(B239-B238)*3600-AD239*Model!$B$16, 0)</f>
        <v>1058.069307385266</v>
      </c>
      <c r="M239" s="57">
        <f t="shared" si="58"/>
        <v>42.223952205139369</v>
      </c>
      <c r="N239" s="57">
        <f>Model!$B$13*I239*K239/(Model!$B$13*I239-L239*287*K239)</f>
        <v>315.22395220513937</v>
      </c>
      <c r="O239" s="57">
        <f t="shared" si="59"/>
        <v>284.56760110256971</v>
      </c>
      <c r="P239" s="57">
        <f t="shared" si="60"/>
        <v>16.793173917126246</v>
      </c>
      <c r="Q239" s="63">
        <f>(O239-273)*7.1*0.00001+0.024</f>
        <v>2.4821299678282449E-2</v>
      </c>
      <c r="R239" s="17">
        <f>((O239-273)*0.104+13.6)*0.000001</f>
        <v>1.4803030514667248E-5</v>
      </c>
      <c r="S239" s="46">
        <f>0.37*Model!$B$10*(Q239^2*(N239-K239)*I239/(R239*O239^2))^0.33333*(N239-K239)</f>
        <v>402373.9983125634</v>
      </c>
      <c r="T239" s="51">
        <f>Model!$B$32+(90-Model!$B$6)*SIN(RADIANS(-15*(E239+6)))</f>
        <v>24.103832250221998</v>
      </c>
      <c r="U239" s="46">
        <f t="shared" si="63"/>
        <v>24.103832250221998</v>
      </c>
      <c r="V239" s="51">
        <f t="shared" si="64"/>
        <v>2.4486306985463155</v>
      </c>
      <c r="W239" s="46">
        <f t="shared" si="65"/>
        <v>780.06511365573317</v>
      </c>
      <c r="X239" s="46">
        <f>0.3*W239*Model!$B$9</f>
        <v>70661.919878284287</v>
      </c>
      <c r="Y239" s="17">
        <f>(S239-X239)/Model!$B$11</f>
        <v>7.1159943888078761E-3</v>
      </c>
      <c r="Z239" s="46">
        <f t="shared" si="66"/>
        <v>17.561254001157955</v>
      </c>
      <c r="AA239" s="57">
        <f>Y239/Model!$B$12*3600</f>
        <v>46.072712197668011</v>
      </c>
      <c r="AB239" s="51">
        <f t="shared" si="71"/>
        <v>768.07572930221488</v>
      </c>
      <c r="AC239" s="51">
        <f>AC238+AB238-AB239</f>
        <v>1031.9242706977852</v>
      </c>
      <c r="AD239" s="13">
        <f>IF(AE239=0, Model!$B$19, 0 )</f>
        <v>0</v>
      </c>
      <c r="AE239" s="51">
        <f>IF(AE238+AB238-AB239&lt;Model!$B$19*Model!$B$18, AE238+AB238-AB239,  0)</f>
        <v>125.74597635539737</v>
      </c>
      <c r="AF239" s="13">
        <f t="shared" si="67"/>
        <v>11.850000000000033</v>
      </c>
      <c r="AG239" s="50">
        <f t="shared" si="68"/>
        <v>0</v>
      </c>
    </row>
    <row r="240" spans="2:33" x14ac:dyDescent="0.25">
      <c r="B240" s="15">
        <f t="shared" si="69"/>
        <v>11.900000000000034</v>
      </c>
      <c r="C240" s="15">
        <f>B240+Model!$B$4</f>
        <v>13.900000000000034</v>
      </c>
      <c r="D240" s="15">
        <f t="shared" si="70"/>
        <v>1</v>
      </c>
      <c r="E240" s="15">
        <f t="shared" si="73"/>
        <v>13.900000000000034</v>
      </c>
      <c r="F240" s="16">
        <f>IF(AB240&gt;0, VLOOKUP(B240,Model!$A$40:$B$60, 2), 0)</f>
        <v>300</v>
      </c>
      <c r="G240" s="15">
        <f>IF(AB240&gt;0, VLOOKUP(B240,Model!$A$39:$C$58, 3), 0)</f>
        <v>1</v>
      </c>
      <c r="H240" s="15">
        <f t="shared" si="56"/>
        <v>97</v>
      </c>
      <c r="I240" s="45">
        <f>Model!$B$21*EXP((-0.029*9.81*F240)/(8.31*(273+J240)))</f>
        <v>100357.4491247143</v>
      </c>
      <c r="J240" s="15">
        <f>IF(Model!$B$31="Summer",  IF(F240&lt;=2000,  Model!$B$20-Model!$B$35*F240/1000,  IF(F240&lt;Model!$B$36,  Model!$B$33-6.5*F240/1000,  Model!$B$38)),     IF(F240&lt;=2000,  Model!$B$20-Model!$B$35*F240/1000,  IF(F240&lt;Model!$B$36,  Model!$B$33-5.4*F240/1000,   Model!$B$38)))</f>
        <v>-19.088750000000001</v>
      </c>
      <c r="K240" s="15">
        <f>273+J240</f>
        <v>253.91125</v>
      </c>
      <c r="L240" s="45">
        <f>IF(AB239-AA239*(B240-B239)&gt;0, L239-Y239*(B240-B239)*3600-AD240*Model!$B$16, 0)</f>
        <v>1056.7884283952806</v>
      </c>
      <c r="M240" s="56">
        <f t="shared" si="58"/>
        <v>42.131832026112875</v>
      </c>
      <c r="N240" s="56">
        <f>Model!$B$13*I240*K240/(Model!$B$13*I240-L240*287*K240)</f>
        <v>315.13183202611287</v>
      </c>
      <c r="O240" s="56">
        <f t="shared" si="59"/>
        <v>284.52154101305644</v>
      </c>
      <c r="P240" s="56">
        <f t="shared" si="60"/>
        <v>16.721975104094657</v>
      </c>
      <c r="Q240" s="62">
        <f>(O240-273)*7.1*0.00001+0.024</f>
        <v>2.4818029411927008E-2</v>
      </c>
      <c r="R240" s="33">
        <f>((O240-273)*0.104+13.6)*0.000001</f>
        <v>1.4798240265357868E-5</v>
      </c>
      <c r="S240" s="45">
        <f>0.37*Model!$B$10*(Q240^2*(N240-K240)*I240/(R240*O240^2))^0.33333*(N240-K240)</f>
        <v>401619.51868552482</v>
      </c>
      <c r="T240" s="50">
        <f>Model!$B$32+(90-Model!$B$6)*SIN(RADIANS(-15*(E240+6)))</f>
        <v>23.887863882184316</v>
      </c>
      <c r="U240" s="45">
        <f t="shared" si="63"/>
        <v>23.887863882184316</v>
      </c>
      <c r="V240" s="50">
        <f t="shared" si="64"/>
        <v>2.4694533266352297</v>
      </c>
      <c r="W240" s="45">
        <f t="shared" si="65"/>
        <v>776.14722405250143</v>
      </c>
      <c r="X240" s="45">
        <f>0.3*W240*Model!$B$9</f>
        <v>70307.019247056087</v>
      </c>
      <c r="Y240" s="33">
        <f>(S240-X240)/Model!$B$11</f>
        <v>7.1074224914398527E-3</v>
      </c>
      <c r="Z240" s="45">
        <f t="shared" si="66"/>
        <v>17.505877074193631</v>
      </c>
      <c r="AA240" s="56">
        <f>Y240/Model!$B$12*3600</f>
        <v>46.017213199376776</v>
      </c>
      <c r="AB240" s="50">
        <f t="shared" si="71"/>
        <v>765.7720936923314</v>
      </c>
      <c r="AC240" s="50">
        <f>AC239+AB239-AB240</f>
        <v>1034.2279063076685</v>
      </c>
      <c r="AD240" s="15">
        <f>IF(AE240=0, Model!$B$19, 0 )</f>
        <v>0</v>
      </c>
      <c r="AE240" s="50">
        <f>IF(AE239+AB239-AB240&lt;Model!$B$19*Model!$B$18, AE239+AB239-AB240,  0)</f>
        <v>128.04961196528086</v>
      </c>
      <c r="AF240" s="15">
        <f t="shared" si="67"/>
        <v>11.900000000000034</v>
      </c>
      <c r="AG240" s="50">
        <f t="shared" si="68"/>
        <v>0</v>
      </c>
    </row>
    <row r="241" spans="2:33" x14ac:dyDescent="0.25">
      <c r="B241" s="13">
        <f t="shared" si="69"/>
        <v>11.950000000000035</v>
      </c>
      <c r="C241" s="13">
        <f>B241+Model!$B$4</f>
        <v>13.950000000000035</v>
      </c>
      <c r="D241" s="13">
        <f t="shared" si="70"/>
        <v>1</v>
      </c>
      <c r="E241" s="13">
        <f t="shared" si="73"/>
        <v>13.950000000000035</v>
      </c>
      <c r="F241" s="14">
        <f>IF(AB241&gt;0, VLOOKUP(B241,Model!$A$40:$B$60, 2), 0)</f>
        <v>300</v>
      </c>
      <c r="G241" s="13">
        <f>IF(AB241&gt;0, VLOOKUP(B241,Model!$A$39:$C$58, 3), 0)</f>
        <v>1</v>
      </c>
      <c r="H241" s="13">
        <f t="shared" si="56"/>
        <v>97</v>
      </c>
      <c r="I241" s="46">
        <f>Model!$B$21*EXP((-0.029*9.81*F241)/(8.31*(273+J241)))</f>
        <v>100357.4491247143</v>
      </c>
      <c r="J241" s="13">
        <f>IF(Model!$B$31="Summer",  IF(F241&lt;=2000,  Model!$B$20-Model!$B$35*F241/1000,  IF(F241&lt;Model!$B$36,  Model!$B$33-6.5*F241/1000,  Model!$B$38)),     IF(F241&lt;=2000,  Model!$B$20-Model!$B$35*F241/1000,  IF(F241&lt;Model!$B$36,  Model!$B$33-5.4*F241/1000,   Model!$B$38)))</f>
        <v>-19.088750000000001</v>
      </c>
      <c r="K241" s="13">
        <f>273+J241</f>
        <v>253.91125</v>
      </c>
      <c r="L241" s="46">
        <f>IF(AB240-AA240*(B241-B240)&gt;0, L240-Y240*(B241-B240)*3600-AD241*Model!$B$16, 0)</f>
        <v>1055.5090923468213</v>
      </c>
      <c r="M241" s="57">
        <f t="shared" si="58"/>
        <v>42.039876543636638</v>
      </c>
      <c r="N241" s="57">
        <f>Model!$B$13*I241*K241/(Model!$B$13*I241-L241*287*K241)</f>
        <v>315.03987654363664</v>
      </c>
      <c r="O241" s="57">
        <f t="shared" si="59"/>
        <v>284.47556327181832</v>
      </c>
      <c r="P241" s="57">
        <f t="shared" si="60"/>
        <v>16.649878098834996</v>
      </c>
      <c r="Q241" s="63">
        <f>(O241-273)*7.1*0.00001+0.024</f>
        <v>2.48147649922991E-2</v>
      </c>
      <c r="R241" s="17">
        <f>((O241-273)*0.104+13.6)*0.000001</f>
        <v>1.4793458580269104E-5</v>
      </c>
      <c r="S241" s="46">
        <f>0.37*Model!$B$10*(Q241^2*(N241-K241)*I241/(R241*O241^2))^0.33333*(N241-K241)</f>
        <v>400866.60824049625</v>
      </c>
      <c r="T241" s="51">
        <f>Model!$B$32+(90-Model!$B$6)*SIN(RADIANS(-15*(E241+6)))</f>
        <v>23.666625186563422</v>
      </c>
      <c r="U241" s="46">
        <f t="shared" si="63"/>
        <v>23.666625186563422</v>
      </c>
      <c r="V241" s="51">
        <f t="shared" si="64"/>
        <v>2.4911915534523907</v>
      </c>
      <c r="W241" s="46">
        <f t="shared" si="65"/>
        <v>772.07805377433726</v>
      </c>
      <c r="X241" s="46">
        <f>0.3*W241*Model!$B$9</f>
        <v>69938.414909888364</v>
      </c>
      <c r="Y241" s="17">
        <f>(S241-X241)/Model!$B$11</f>
        <v>7.0991782329852598E-3</v>
      </c>
      <c r="Z241" s="46">
        <f t="shared" si="66"/>
        <v>17.44680486530558</v>
      </c>
      <c r="AA241" s="57">
        <f>Y241/Model!$B$12*3600</f>
        <v>45.963835508739599</v>
      </c>
      <c r="AB241" s="51">
        <f t="shared" si="71"/>
        <v>763.47123303236253</v>
      </c>
      <c r="AC241" s="51">
        <f>AC240+AB240-AB241</f>
        <v>1036.5287669676375</v>
      </c>
      <c r="AD241" s="13">
        <f>IF(AE241=0, Model!$B$19, 0 )</f>
        <v>0</v>
      </c>
      <c r="AE241" s="51">
        <f>IF(AE240+AB240-AB241&lt;Model!$B$19*Model!$B$18, AE240+AB240-AB241,  0)</f>
        <v>130.35047262524972</v>
      </c>
      <c r="AF241" s="13">
        <f t="shared" si="67"/>
        <v>11.950000000000035</v>
      </c>
      <c r="AG241" s="50">
        <f t="shared" si="68"/>
        <v>0</v>
      </c>
    </row>
    <row r="242" spans="2:33" x14ac:dyDescent="0.25">
      <c r="B242" s="15">
        <f t="shared" si="69"/>
        <v>12.000000000000036</v>
      </c>
      <c r="C242" s="15">
        <f>B242+Model!$B$4</f>
        <v>14.000000000000036</v>
      </c>
      <c r="D242" s="15">
        <f t="shared" si="70"/>
        <v>1</v>
      </c>
      <c r="E242" s="15">
        <f t="shared" si="73"/>
        <v>14.000000000000036</v>
      </c>
      <c r="F242" s="16">
        <f>IF(AB242&gt;0, VLOOKUP(B242,Model!$A$40:$B$60, 2), 0)</f>
        <v>300</v>
      </c>
      <c r="G242" s="15">
        <f>IF(AB242&gt;0, VLOOKUP(B242,Model!$A$39:$C$58, 3), 0)</f>
        <v>1</v>
      </c>
      <c r="H242" s="15">
        <f t="shared" si="56"/>
        <v>97</v>
      </c>
      <c r="I242" s="45">
        <f>Model!$B$21*EXP((-0.029*9.81*F242)/(8.31*(273+J242)))</f>
        <v>100357.4491247143</v>
      </c>
      <c r="J242" s="15">
        <f>IF(Model!$B$31="Summer",  IF(F242&lt;=2000,  Model!$B$20-Model!$B$35*F242/1000,  IF(F242&lt;Model!$B$36,  Model!$B$33-6.5*F242/1000,  Model!$B$38)),     IF(F242&lt;=2000,  Model!$B$20-Model!$B$35*F242/1000,  IF(F242&lt;Model!$B$36,  Model!$B$33-5.4*F242/1000,   Model!$B$38)))</f>
        <v>-19.088750000000001</v>
      </c>
      <c r="K242" s="15">
        <f>273+J242</f>
        <v>253.91125</v>
      </c>
      <c r="L242" s="45">
        <f>IF(AB241-AA241*(B242-B241)&gt;0, L241-Y241*(B242-B241)*3600-AD242*Model!$B$16, 0)</f>
        <v>1054.2312402648838</v>
      </c>
      <c r="M242" s="56">
        <f t="shared" si="58"/>
        <v>41.948081281251405</v>
      </c>
      <c r="N242" s="56">
        <f>Model!$B$13*I242*K242/(Model!$B$13*I242-L242*287*K242)</f>
        <v>314.9480812812514</v>
      </c>
      <c r="O242" s="56">
        <f t="shared" si="59"/>
        <v>284.42966564062567</v>
      </c>
      <c r="P242" s="56">
        <f t="shared" si="60"/>
        <v>16.57685266578795</v>
      </c>
      <c r="Q242" s="62">
        <f>(O242-273)*7.1*0.00001+0.024</f>
        <v>2.4811506260484423E-2</v>
      </c>
      <c r="R242" s="33">
        <f>((O242-273)*0.104+13.6)*0.000001</f>
        <v>1.478868522662507E-5</v>
      </c>
      <c r="S242" s="45">
        <f>0.37*Model!$B$10*(Q242^2*(N242-K242)*I242/(R242*O242^2))^0.33333*(N242-K242)</f>
        <v>400115.22959542577</v>
      </c>
      <c r="T242" s="50">
        <f>Model!$B$32+(90-Model!$B$6)*SIN(RADIANS(-15*(E242+6)))</f>
        <v>23.440154071470872</v>
      </c>
      <c r="U242" s="45">
        <f t="shared" si="63"/>
        <v>23.440154071470872</v>
      </c>
      <c r="V242" s="50">
        <f t="shared" si="64"/>
        <v>2.5138830792983775</v>
      </c>
      <c r="W242" s="45">
        <f t="shared" si="65"/>
        <v>767.85319293946861</v>
      </c>
      <c r="X242" s="45">
        <f>0.3*W242*Model!$B$9</f>
        <v>69555.707399214909</v>
      </c>
      <c r="Y242" s="33">
        <f>(S242-X242)/Model!$B$11</f>
        <v>7.0912693810192187E-3</v>
      </c>
      <c r="Z242" s="45">
        <f t="shared" si="66"/>
        <v>17.383918994921977</v>
      </c>
      <c r="AA242" s="56">
        <f>Y242/Model!$B$12*3600</f>
        <v>45.912629417147045</v>
      </c>
      <c r="AB242" s="50">
        <f t="shared" si="71"/>
        <v>761.17304125692556</v>
      </c>
      <c r="AC242" s="50">
        <f>AC241+AB241-AB242</f>
        <v>1038.8269587430746</v>
      </c>
      <c r="AD242" s="15">
        <f>IF(AE242=0, Model!$B$19, 0 )</f>
        <v>0</v>
      </c>
      <c r="AE242" s="50">
        <f>IF(AE241+AB241-AB242&lt;Model!$B$19*Model!$B$18, AE241+AB241-AB242,  0)</f>
        <v>132.6486644006867</v>
      </c>
      <c r="AF242" s="15">
        <f t="shared" si="67"/>
        <v>12.000000000000036</v>
      </c>
      <c r="AG242" s="50">
        <f t="shared" si="68"/>
        <v>0</v>
      </c>
    </row>
    <row r="243" spans="2:33" x14ac:dyDescent="0.25">
      <c r="B243" s="13">
        <f t="shared" si="69"/>
        <v>12.050000000000036</v>
      </c>
      <c r="C243" s="13">
        <f>B243+Model!$B$4</f>
        <v>14.050000000000036</v>
      </c>
      <c r="D243" s="13">
        <f t="shared" si="70"/>
        <v>1</v>
      </c>
      <c r="E243" s="13">
        <f t="shared" si="73"/>
        <v>14.050000000000036</v>
      </c>
      <c r="F243" s="14">
        <f>IF(AB243&gt;0, VLOOKUP(B243,Model!$A$40:$B$60, 2), 0)</f>
        <v>300</v>
      </c>
      <c r="G243" s="13">
        <f>IF(AB243&gt;0, VLOOKUP(B243,Model!$A$39:$C$58, 3), 0)</f>
        <v>1</v>
      </c>
      <c r="H243" s="13">
        <f t="shared" si="56"/>
        <v>97</v>
      </c>
      <c r="I243" s="46">
        <f>Model!$B$21*EXP((-0.029*9.81*F243)/(8.31*(273+J243)))</f>
        <v>100357.4491247143</v>
      </c>
      <c r="J243" s="13">
        <f>IF(Model!$B$31="Summer",  IF(F243&lt;=2000,  Model!$B$20-Model!$B$35*F243/1000,  IF(F243&lt;Model!$B$36,  Model!$B$33-6.5*F243/1000,  Model!$B$38)),     IF(F243&lt;=2000,  Model!$B$20-Model!$B$35*F243/1000,  IF(F243&lt;Model!$B$36,  Model!$B$33-5.4*F243/1000,   Model!$B$38)))</f>
        <v>-19.088750000000001</v>
      </c>
      <c r="K243" s="13">
        <f>273+J243</f>
        <v>253.91125</v>
      </c>
      <c r="L243" s="46">
        <f>IF(AB242-AA242*(B243-B242)&gt;0, L242-Y242*(B243-B242)*3600-AD243*Model!$B$16, 0)</f>
        <v>1052.9548117763004</v>
      </c>
      <c r="M243" s="57">
        <f t="shared" si="58"/>
        <v>41.856441672632059</v>
      </c>
      <c r="N243" s="57">
        <f>Model!$B$13*I243*K243/(Model!$B$13*I243-L243*287*K243)</f>
        <v>314.85644167263206</v>
      </c>
      <c r="O243" s="57">
        <f t="shared" si="59"/>
        <v>284.38384583631603</v>
      </c>
      <c r="P243" s="57">
        <f t="shared" si="60"/>
        <v>16.502867122579154</v>
      </c>
      <c r="Q243" s="63">
        <f>(O243-273)*7.1*0.00001+0.024</f>
        <v>2.4808253054378438E-2</v>
      </c>
      <c r="R243" s="17">
        <f>((O243-273)*0.104+13.6)*0.000001</f>
        <v>1.4783919966976864E-5</v>
      </c>
      <c r="S243" s="46">
        <f>0.37*Model!$B$10*(Q243^2*(N243-K243)*I243/(R243*O243^2))^0.33333*(N243-K243)</f>
        <v>399365.34467457148</v>
      </c>
      <c r="T243" s="51">
        <f>Model!$B$32+(90-Model!$B$6)*SIN(RADIANS(-15*(E243+6)))</f>
        <v>23.208489341566342</v>
      </c>
      <c r="U243" s="46">
        <f t="shared" si="63"/>
        <v>23.208489341566342</v>
      </c>
      <c r="V243" s="51">
        <f t="shared" si="64"/>
        <v>2.5375681202664349</v>
      </c>
      <c r="W243" s="46">
        <f t="shared" si="65"/>
        <v>763.46801135534281</v>
      </c>
      <c r="X243" s="46">
        <f>0.3*W243*Model!$B$9</f>
        <v>69158.477290696086</v>
      </c>
      <c r="Y243" s="17">
        <f>(S243-X243)/Model!$B$11</f>
        <v>7.0837041163547233E-3</v>
      </c>
      <c r="Z243" s="46">
        <f t="shared" si="66"/>
        <v>17.31709528954017</v>
      </c>
      <c r="AA243" s="57">
        <f>Y243/Model!$B$12*3600</f>
        <v>45.863647891510283</v>
      </c>
      <c r="AB243" s="51">
        <f t="shared" si="71"/>
        <v>758.87740978606814</v>
      </c>
      <c r="AC243" s="51">
        <f>AC242+AB242-AB243</f>
        <v>1041.1225902139317</v>
      </c>
      <c r="AD243" s="13">
        <f>IF(AE243=0, Model!$B$19, 0 )</f>
        <v>0</v>
      </c>
      <c r="AE243" s="51">
        <f>IF(AE242+AB242-AB243&lt;Model!$B$19*Model!$B$18, AE242+AB242-AB243,  0)</f>
        <v>134.94429587154411</v>
      </c>
      <c r="AF243" s="13">
        <f t="shared" si="67"/>
        <v>12.050000000000036</v>
      </c>
      <c r="AG243" s="50">
        <f t="shared" si="68"/>
        <v>0</v>
      </c>
    </row>
    <row r="244" spans="2:33" x14ac:dyDescent="0.25">
      <c r="B244" s="15">
        <f t="shared" si="69"/>
        <v>12.100000000000037</v>
      </c>
      <c r="C244" s="15">
        <f>B244+Model!$B$4</f>
        <v>14.100000000000037</v>
      </c>
      <c r="D244" s="15">
        <f t="shared" si="70"/>
        <v>1</v>
      </c>
      <c r="E244" s="15">
        <f t="shared" si="73"/>
        <v>14.100000000000037</v>
      </c>
      <c r="F244" s="16">
        <f>IF(AB244&gt;0, VLOOKUP(B244,Model!$A$40:$B$60, 2), 0)</f>
        <v>300</v>
      </c>
      <c r="G244" s="15">
        <f>IF(AB244&gt;0, VLOOKUP(B244,Model!$A$39:$C$58, 3), 0)</f>
        <v>1</v>
      </c>
      <c r="H244" s="15">
        <f t="shared" si="56"/>
        <v>97</v>
      </c>
      <c r="I244" s="45">
        <f>Model!$B$21*EXP((-0.029*9.81*F244)/(8.31*(273+J244)))</f>
        <v>100357.4491247143</v>
      </c>
      <c r="J244" s="15">
        <f>IF(Model!$B$31="Summer",  IF(F244&lt;=2000,  Model!$B$20-Model!$B$35*F244/1000,  IF(F244&lt;Model!$B$36,  Model!$B$33-6.5*F244/1000,  Model!$B$38)),     IF(F244&lt;=2000,  Model!$B$20-Model!$B$35*F244/1000,  IF(F244&lt;Model!$B$36,  Model!$B$33-5.4*F244/1000,   Model!$B$38)))</f>
        <v>-19.088750000000001</v>
      </c>
      <c r="K244" s="15">
        <f t="shared" ref="K244:K275" si="74">273+J244</f>
        <v>253.91125</v>
      </c>
      <c r="L244" s="45">
        <f>IF(AB243-AA243*(B244-B243)&gt;0, L243-Y243*(B244-B243)*3600-AD244*Model!$B$16, 0)</f>
        <v>1051.6797450353565</v>
      </c>
      <c r="M244" s="56">
        <f t="shared" si="58"/>
        <v>41.764953056492914</v>
      </c>
      <c r="N244" s="56">
        <f>Model!$B$13*I244*K244/(Model!$B$13*I244-L244*287*K244)</f>
        <v>314.76495305649291</v>
      </c>
      <c r="O244" s="56">
        <f t="shared" si="59"/>
        <v>284.33810152824645</v>
      </c>
      <c r="P244" s="56">
        <f t="shared" si="60"/>
        <v>16.427888270615409</v>
      </c>
      <c r="Q244" s="62">
        <f t="shared" ref="Q244:Q275" si="75">(O244-273)*7.1*0.00001+0.024</f>
        <v>2.4805005208505499E-2</v>
      </c>
      <c r="R244" s="33">
        <f t="shared" ref="R244:R275" si="76">((O244-273)*0.104+13.6)*0.000001</f>
        <v>1.4779162558937631E-5</v>
      </c>
      <c r="S244" s="45">
        <f>0.37*Model!$B$10*(Q244^2*(N244-K244)*I244/(R244*O244^2))^0.33333*(N244-K244)</f>
        <v>398616.91466793831</v>
      </c>
      <c r="T244" s="50">
        <f>Model!$B$32+(90-Model!$B$6)*SIN(RADIANS(-15*(E244+6)))</f>
        <v>22.971670691408722</v>
      </c>
      <c r="U244" s="45">
        <f t="shared" si="63"/>
        <v>22.971670691408722</v>
      </c>
      <c r="V244" s="50">
        <f t="shared" si="64"/>
        <v>2.5622896023360529</v>
      </c>
      <c r="W244" s="45">
        <f t="shared" si="65"/>
        <v>758.91764790957927</v>
      </c>
      <c r="X244" s="45">
        <f>0.3*W244*Model!$B$9</f>
        <v>68746.284242202019</v>
      </c>
      <c r="Y244" s="33">
        <f>(S244-X244)/Model!$B$11</f>
        <v>7.0764910527885078E-3</v>
      </c>
      <c r="Z244" s="45">
        <f t="shared" si="66"/>
        <v>17.246203488246366</v>
      </c>
      <c r="AA244" s="56">
        <f>Y244/Model!$B$12*3600</f>
        <v>45.816946702106257</v>
      </c>
      <c r="AB244" s="50">
        <f t="shared" si="71"/>
        <v>756.58422739149262</v>
      </c>
      <c r="AC244" s="50">
        <f t="shared" ref="AC244:AC275" si="77">AC243+AB243-AB244</f>
        <v>1043.4157726085073</v>
      </c>
      <c r="AD244" s="15">
        <f>IF(AE244=0, Model!$B$19, 0 )</f>
        <v>0</v>
      </c>
      <c r="AE244" s="50">
        <f>IF(AE243+AB243-AB244&lt;Model!$B$19*Model!$B$18, AE243+AB243-AB244,  0)</f>
        <v>137.23747826611964</v>
      </c>
      <c r="AF244" s="15">
        <f t="shared" si="67"/>
        <v>12.100000000000037</v>
      </c>
      <c r="AG244" s="50">
        <f t="shared" si="68"/>
        <v>0</v>
      </c>
    </row>
    <row r="245" spans="2:33" x14ac:dyDescent="0.25">
      <c r="B245" s="13">
        <f t="shared" si="69"/>
        <v>12.150000000000038</v>
      </c>
      <c r="C245" s="13">
        <f>B245+Model!$B$4</f>
        <v>14.150000000000038</v>
      </c>
      <c r="D245" s="13">
        <f t="shared" si="70"/>
        <v>1</v>
      </c>
      <c r="E245" s="13">
        <f t="shared" si="73"/>
        <v>14.150000000000038</v>
      </c>
      <c r="F245" s="14">
        <f>IF(AB245&gt;0, VLOOKUP(B245,Model!$A$40:$B$60, 2), 0)</f>
        <v>300</v>
      </c>
      <c r="G245" s="13">
        <f>IF(AB245&gt;0, VLOOKUP(B245,Model!$A$39:$C$58, 3), 0)</f>
        <v>1</v>
      </c>
      <c r="H245" s="13">
        <f t="shared" si="56"/>
        <v>97</v>
      </c>
      <c r="I245" s="46">
        <f>Model!$B$21*EXP((-0.029*9.81*F245)/(8.31*(273+J245)))</f>
        <v>100357.4491247143</v>
      </c>
      <c r="J245" s="13">
        <f>IF(Model!$B$31="Summer",  IF(F245&lt;=2000,  Model!$B$20-Model!$B$35*F245/1000,  IF(F245&lt;Model!$B$36,  Model!$B$33-6.5*F245/1000,  Model!$B$38)),     IF(F245&lt;=2000,  Model!$B$20-Model!$B$35*F245/1000,  IF(F245&lt;Model!$B$36,  Model!$B$33-5.4*F245/1000,   Model!$B$38)))</f>
        <v>-19.088750000000001</v>
      </c>
      <c r="K245" s="13">
        <f t="shared" si="74"/>
        <v>253.91125</v>
      </c>
      <c r="L245" s="46">
        <f>IF(AB244-AA244*(B245-B244)&gt;0, L244-Y244*(B245-B244)*3600-AD245*Model!$B$16, 0)</f>
        <v>1050.4059766458545</v>
      </c>
      <c r="M245" s="57">
        <f t="shared" si="58"/>
        <v>41.67361067125529</v>
      </c>
      <c r="N245" s="57">
        <f>Model!$B$13*I245*K245/(Model!$B$13*I245-L245*287*K245)</f>
        <v>314.67361067125529</v>
      </c>
      <c r="O245" s="57">
        <f t="shared" si="59"/>
        <v>284.29243033562761</v>
      </c>
      <c r="P245" s="57">
        <f t="shared" si="60"/>
        <v>16.351881321691508</v>
      </c>
      <c r="Q245" s="63">
        <f t="shared" si="75"/>
        <v>2.480176255382956E-2</v>
      </c>
      <c r="R245" s="17">
        <f t="shared" si="76"/>
        <v>1.477441275490527E-5</v>
      </c>
      <c r="S245" s="46">
        <f>0.37*Model!$B$10*(Q245^2*(N245-K245)*I245/(R245*O245^2))^0.33333*(N245-K245)</f>
        <v>397869.89998885145</v>
      </c>
      <c r="T245" s="51">
        <f>Model!$B$32+(90-Model!$B$6)*SIN(RADIANS(-15*(E245+6)))</f>
        <v>22.729738698654554</v>
      </c>
      <c r="U245" s="46">
        <f t="shared" si="63"/>
        <v>22.729738698654554</v>
      </c>
      <c r="V245" s="51">
        <f t="shared" si="64"/>
        <v>2.5880933745226602</v>
      </c>
      <c r="W245" s="46">
        <f t="shared" si="65"/>
        <v>754.19699935448466</v>
      </c>
      <c r="X245" s="46">
        <f>0.3*W245*Model!$B$9</f>
        <v>68318.665977862052</v>
      </c>
      <c r="Y245" s="17">
        <f>(S245-X245)/Model!$B$11</f>
        <v>7.0696392579854004E-3</v>
      </c>
      <c r="Z245" s="46">
        <f t="shared" si="66"/>
        <v>17.171106932134443</v>
      </c>
      <c r="AA245" s="57">
        <f>Y245/Model!$B$12*3600</f>
        <v>45.772584557794062</v>
      </c>
      <c r="AB245" s="51">
        <f t="shared" si="71"/>
        <v>754.29338005638726</v>
      </c>
      <c r="AC245" s="51">
        <f t="shared" si="77"/>
        <v>1045.7066199436126</v>
      </c>
      <c r="AD245" s="13">
        <f>IF(AE245=0, Model!$B$19, 0 )</f>
        <v>0</v>
      </c>
      <c r="AE245" s="51">
        <f>IF(AE244+AB244-AB245&lt;Model!$B$19*Model!$B$18, AE244+AB244-AB245,  0)</f>
        <v>139.52832560122499</v>
      </c>
      <c r="AF245" s="13">
        <f t="shared" si="67"/>
        <v>12.150000000000038</v>
      </c>
      <c r="AG245" s="50">
        <f t="shared" si="68"/>
        <v>0</v>
      </c>
    </row>
    <row r="246" spans="2:33" x14ac:dyDescent="0.25">
      <c r="B246" s="15">
        <f t="shared" si="69"/>
        <v>12.200000000000038</v>
      </c>
      <c r="C246" s="15">
        <f>B246+Model!$B$4</f>
        <v>14.200000000000038</v>
      </c>
      <c r="D246" s="15">
        <f t="shared" si="70"/>
        <v>1</v>
      </c>
      <c r="E246" s="15">
        <f t="shared" si="73"/>
        <v>14.200000000000038</v>
      </c>
      <c r="F246" s="16">
        <f>IF(AB246&gt;0, VLOOKUP(B246,Model!$A$40:$B$60, 2), 0)</f>
        <v>300</v>
      </c>
      <c r="G246" s="15">
        <f>IF(AB246&gt;0, VLOOKUP(B246,Model!$A$39:$C$58, 3), 0)</f>
        <v>1</v>
      </c>
      <c r="H246" s="15">
        <f t="shared" si="56"/>
        <v>97</v>
      </c>
      <c r="I246" s="45">
        <f>Model!$B$21*EXP((-0.029*9.81*F246)/(8.31*(273+J246)))</f>
        <v>100357.4491247143</v>
      </c>
      <c r="J246" s="15">
        <f>IF(Model!$B$31="Summer",  IF(F246&lt;=2000,  Model!$B$20-Model!$B$35*F246/1000,  IF(F246&lt;Model!$B$36,  Model!$B$33-6.5*F246/1000,  Model!$B$38)),     IF(F246&lt;=2000,  Model!$B$20-Model!$B$35*F246/1000,  IF(F246&lt;Model!$B$36,  Model!$B$33-5.4*F246/1000,   Model!$B$38)))</f>
        <v>-19.088750000000001</v>
      </c>
      <c r="K246" s="15">
        <f t="shared" si="74"/>
        <v>253.91125</v>
      </c>
      <c r="L246" s="45">
        <f>IF(AB245-AA245*(B246-B245)&gt;0, L245-Y245*(B246-B245)*3600-AD246*Model!$B$16, 0)</f>
        <v>1049.1334415794172</v>
      </c>
      <c r="M246" s="56">
        <f t="shared" si="58"/>
        <v>41.582409649466058</v>
      </c>
      <c r="N246" s="56">
        <f>Model!$B$13*I246*K246/(Model!$B$13*I246-L246*287*K246)</f>
        <v>314.58240964946606</v>
      </c>
      <c r="O246" s="56">
        <f t="shared" si="59"/>
        <v>284.24682982473303</v>
      </c>
      <c r="P246" s="56">
        <f t="shared" si="60"/>
        <v>16.274809820429592</v>
      </c>
      <c r="Q246" s="62">
        <f t="shared" si="75"/>
        <v>2.4798524917556044E-2</v>
      </c>
      <c r="R246" s="33">
        <f t="shared" si="76"/>
        <v>1.4769670301772233E-5</v>
      </c>
      <c r="S246" s="45">
        <f>0.37*Model!$B$10*(Q246^2*(N246-K246)*I246/(R246*O246^2))^0.33333*(N246-K246)</f>
        <v>397124.26022957539</v>
      </c>
      <c r="T246" s="50">
        <f>Model!$B$32+(90-Model!$B$6)*SIN(RADIANS(-15*(E246+6)))</f>
        <v>22.482734817105325</v>
      </c>
      <c r="U246" s="45">
        <f t="shared" si="63"/>
        <v>22.482734817105325</v>
      </c>
      <c r="V246" s="50">
        <f t="shared" si="64"/>
        <v>2.6150284432626538</v>
      </c>
      <c r="W246" s="45">
        <f t="shared" si="65"/>
        <v>749.3007084597898</v>
      </c>
      <c r="X246" s="45">
        <f>0.3*W246*Model!$B$9</f>
        <v>67875.137214884453</v>
      </c>
      <c r="Y246" s="33">
        <f>(S246-X246)/Model!$B$11</f>
        <v>7.0631582755484486E-3</v>
      </c>
      <c r="Z246" s="45">
        <f t="shared" si="66"/>
        <v>17.091662235806545</v>
      </c>
      <c r="AA246" s="56">
        <f>Y246/Model!$B$12*3600</f>
        <v>45.730623248908621</v>
      </c>
      <c r="AB246" s="50">
        <f t="shared" si="71"/>
        <v>752.00475082849755</v>
      </c>
      <c r="AC246" s="50">
        <f t="shared" si="77"/>
        <v>1047.9952491715026</v>
      </c>
      <c r="AD246" s="15">
        <f>IF(AE246=0, Model!$B$19, 0 )</f>
        <v>0</v>
      </c>
      <c r="AE246" s="50">
        <f>IF(AE245+AB245-AB246&lt;Model!$B$19*Model!$B$18, AE245+AB245-AB246,  0)</f>
        <v>141.81695482911471</v>
      </c>
      <c r="AF246" s="15">
        <f t="shared" si="67"/>
        <v>12.200000000000038</v>
      </c>
      <c r="AG246" s="50">
        <f t="shared" si="68"/>
        <v>0</v>
      </c>
    </row>
    <row r="247" spans="2:33" x14ac:dyDescent="0.25">
      <c r="B247" s="13">
        <f t="shared" si="69"/>
        <v>12.250000000000039</v>
      </c>
      <c r="C247" s="13">
        <f>B247+Model!$B$4</f>
        <v>14.250000000000039</v>
      </c>
      <c r="D247" s="13">
        <f t="shared" si="70"/>
        <v>1</v>
      </c>
      <c r="E247" s="13">
        <f t="shared" si="73"/>
        <v>14.250000000000039</v>
      </c>
      <c r="F247" s="14">
        <f>IF(AB247&gt;0, VLOOKUP(B247,Model!$A$40:$B$60, 2), 0)</f>
        <v>300</v>
      </c>
      <c r="G247" s="13">
        <f>IF(AB247&gt;0, VLOOKUP(B247,Model!$A$39:$C$58, 3), 0)</f>
        <v>1</v>
      </c>
      <c r="H247" s="13">
        <f t="shared" si="56"/>
        <v>97</v>
      </c>
      <c r="I247" s="46">
        <f>Model!$B$21*EXP((-0.029*9.81*F247)/(8.31*(273+J247)))</f>
        <v>100357.4491247143</v>
      </c>
      <c r="J247" s="13">
        <f>IF(Model!$B$31="Summer",  IF(F247&lt;=2000,  Model!$B$20-Model!$B$35*F247/1000,  IF(F247&lt;Model!$B$36,  Model!$B$33-6.5*F247/1000,  Model!$B$38)),     IF(F247&lt;=2000,  Model!$B$20-Model!$B$35*F247/1000,  IF(F247&lt;Model!$B$36,  Model!$B$33-5.4*F247/1000,   Model!$B$38)))</f>
        <v>-19.088750000000001</v>
      </c>
      <c r="K247" s="13">
        <f t="shared" si="74"/>
        <v>253.91125</v>
      </c>
      <c r="L247" s="46">
        <f>IF(AB246-AA246*(B247-B246)&gt;0, L246-Y246*(B247-B246)*3600-AD247*Model!$B$16, 0)</f>
        <v>1047.8620730898185</v>
      </c>
      <c r="M247" s="57">
        <f t="shared" si="58"/>
        <v>41.491345011950614</v>
      </c>
      <c r="N247" s="57">
        <f>Model!$B$13*I247*K247/(Model!$B$13*I247-L247*287*K247)</f>
        <v>314.49134501195061</v>
      </c>
      <c r="O247" s="57">
        <f t="shared" si="59"/>
        <v>284.20129750597528</v>
      </c>
      <c r="P247" s="57">
        <f t="shared" si="60"/>
        <v>16.196635562373906</v>
      </c>
      <c r="Q247" s="63">
        <f t="shared" si="75"/>
        <v>2.4795292122924244E-2</v>
      </c>
      <c r="R247" s="17">
        <f t="shared" si="76"/>
        <v>1.4764934940621427E-5</v>
      </c>
      <c r="S247" s="46">
        <f>0.37*Model!$B$10*(Q247^2*(N247-K247)*I247/(R247*O247^2))^0.33333*(N247-K247)</f>
        <v>396379.95411485003</v>
      </c>
      <c r="T247" s="51">
        <f>Model!$B$32+(90-Model!$B$6)*SIN(RADIANS(-15*(E247+6)))</f>
        <v>22.23070136960456</v>
      </c>
      <c r="U247" s="46">
        <f t="shared" si="63"/>
        <v>22.23070136960456</v>
      </c>
      <c r="V247" s="51">
        <f t="shared" si="64"/>
        <v>2.6431472305045909</v>
      </c>
      <c r="W247" s="46">
        <f t="shared" si="65"/>
        <v>744.22315150930103</v>
      </c>
      <c r="X247" s="46">
        <f>0.3*W247*Model!$B$9</f>
        <v>67415.188530945219</v>
      </c>
      <c r="Y247" s="17">
        <f>(S247-X247)/Model!$B$11</f>
        <v>7.057058148319314E-3</v>
      </c>
      <c r="Z247" s="46">
        <f t="shared" si="66"/>
        <v>17.00771894014899</v>
      </c>
      <c r="AA247" s="57">
        <f>Y247/Model!$B$12*3600</f>
        <v>45.691127798119744</v>
      </c>
      <c r="AB247" s="51">
        <f t="shared" si="71"/>
        <v>749.71821966605205</v>
      </c>
      <c r="AC247" s="51">
        <f t="shared" si="77"/>
        <v>1050.2817803339481</v>
      </c>
      <c r="AD247" s="13">
        <f>IF(AE247=0, Model!$B$19, 0 )</f>
        <v>0</v>
      </c>
      <c r="AE247" s="51">
        <f>IF(AE246+AB246-AB247&lt;Model!$B$19*Model!$B$18, AE246+AB246-AB247,  0)</f>
        <v>144.10348599156021</v>
      </c>
      <c r="AF247" s="13">
        <f t="shared" si="67"/>
        <v>12.250000000000039</v>
      </c>
      <c r="AG247" s="50">
        <f t="shared" si="68"/>
        <v>0</v>
      </c>
    </row>
    <row r="248" spans="2:33" x14ac:dyDescent="0.25">
      <c r="B248" s="15">
        <f t="shared" si="69"/>
        <v>12.30000000000004</v>
      </c>
      <c r="C248" s="15">
        <f>B248+Model!$B$4</f>
        <v>14.30000000000004</v>
      </c>
      <c r="D248" s="15">
        <f t="shared" si="70"/>
        <v>1</v>
      </c>
      <c r="E248" s="15">
        <f t="shared" si="73"/>
        <v>14.30000000000004</v>
      </c>
      <c r="F248" s="16">
        <f>IF(AB248&gt;0, VLOOKUP(B248,Model!$A$40:$B$60, 2), 0)</f>
        <v>300</v>
      </c>
      <c r="G248" s="15">
        <f>IF(AB248&gt;0, VLOOKUP(B248,Model!$A$39:$C$58, 3), 0)</f>
        <v>1</v>
      </c>
      <c r="H248" s="15">
        <f t="shared" si="56"/>
        <v>97</v>
      </c>
      <c r="I248" s="45">
        <f>Model!$B$21*EXP((-0.029*9.81*F248)/(8.31*(273+J248)))</f>
        <v>100357.4491247143</v>
      </c>
      <c r="J248" s="15">
        <f>IF(Model!$B$31="Summer",  IF(F248&lt;=2000,  Model!$B$20-Model!$B$35*F248/1000,  IF(F248&lt;Model!$B$36,  Model!$B$33-6.5*F248/1000,  Model!$B$38)),     IF(F248&lt;=2000,  Model!$B$20-Model!$B$35*F248/1000,  IF(F248&lt;Model!$B$36,  Model!$B$33-5.4*F248/1000,   Model!$B$38)))</f>
        <v>-19.088750000000001</v>
      </c>
      <c r="K248" s="15">
        <f t="shared" si="74"/>
        <v>253.91125</v>
      </c>
      <c r="L248" s="45">
        <f>IF(AB247-AA247*(B248-B247)&gt;0, L247-Y247*(B248-B247)*3600-AD248*Model!$B$16, 0)</f>
        <v>1046.5918026231211</v>
      </c>
      <c r="M248" s="56">
        <f t="shared" si="58"/>
        <v>41.400411661687656</v>
      </c>
      <c r="N248" s="56">
        <f>Model!$B$13*I248*K248/(Model!$B$13*I248-L248*287*K248)</f>
        <v>314.40041166168766</v>
      </c>
      <c r="O248" s="56">
        <f t="shared" si="59"/>
        <v>284.1558308308438</v>
      </c>
      <c r="P248" s="56">
        <f t="shared" si="60"/>
        <v>16.117318507572502</v>
      </c>
      <c r="Q248" s="62">
        <f t="shared" si="75"/>
        <v>2.479206398898991E-2</v>
      </c>
      <c r="R248" s="33">
        <f t="shared" si="76"/>
        <v>1.4760206406407753E-5</v>
      </c>
      <c r="S248" s="45">
        <f>0.37*Model!$B$10*(Q248^2*(N248-K248)*I248/(R248*O248^2))^0.33333*(N248-K248)</f>
        <v>395636.93945324572</v>
      </c>
      <c r="T248" s="50">
        <f>Model!$B$32+(90-Model!$B$6)*SIN(RADIANS(-15*(E248+6)))</f>
        <v>21.973681540786039</v>
      </c>
      <c r="U248" s="45">
        <f t="shared" si="63"/>
        <v>21.973681540786039</v>
      </c>
      <c r="V248" s="50">
        <f t="shared" si="64"/>
        <v>2.6725058583135031</v>
      </c>
      <c r="W248" s="45">
        <f t="shared" si="65"/>
        <v>738.95842511887759</v>
      </c>
      <c r="X248" s="45">
        <f>0.3*W248*Model!$B$9</f>
        <v>66938.285170099145</v>
      </c>
      <c r="Y248" s="33">
        <f>(S248-X248)/Model!$B$11</f>
        <v>7.0513494429506945E-3</v>
      </c>
      <c r="Z248" s="45">
        <f t="shared" si="66"/>
        <v>16.91911914559979</v>
      </c>
      <c r="AA248" s="56">
        <f>Y248/Model!$B$12*3600</f>
        <v>45.654166619527004</v>
      </c>
      <c r="AB248" s="50">
        <f t="shared" si="71"/>
        <v>747.43366327614604</v>
      </c>
      <c r="AC248" s="50">
        <f t="shared" si="77"/>
        <v>1052.566336723854</v>
      </c>
      <c r="AD248" s="15">
        <f>IF(AE248=0, Model!$B$19, 0 )</f>
        <v>0</v>
      </c>
      <c r="AE248" s="50">
        <f>IF(AE247+AB247-AB248&lt;Model!$B$19*Model!$B$18, AE247+AB247-AB248,  0)</f>
        <v>146.38804238146622</v>
      </c>
      <c r="AF248" s="15">
        <f t="shared" si="67"/>
        <v>12.30000000000004</v>
      </c>
      <c r="AG248" s="50">
        <f t="shared" si="68"/>
        <v>0</v>
      </c>
    </row>
    <row r="249" spans="2:33" x14ac:dyDescent="0.25">
      <c r="B249" s="13">
        <f t="shared" si="69"/>
        <v>12.350000000000041</v>
      </c>
      <c r="C249" s="13">
        <f>B249+Model!$B$4</f>
        <v>14.350000000000041</v>
      </c>
      <c r="D249" s="13">
        <f t="shared" si="70"/>
        <v>1</v>
      </c>
      <c r="E249" s="13">
        <f t="shared" si="73"/>
        <v>14.350000000000041</v>
      </c>
      <c r="F249" s="14">
        <f>IF(AB249&gt;0, VLOOKUP(B249,Model!$A$40:$B$60, 2), 0)</f>
        <v>300</v>
      </c>
      <c r="G249" s="13">
        <f>IF(AB249&gt;0, VLOOKUP(B249,Model!$A$39:$C$58, 3), 0)</f>
        <v>1</v>
      </c>
      <c r="H249" s="13">
        <f t="shared" si="56"/>
        <v>97</v>
      </c>
      <c r="I249" s="46">
        <f>Model!$B$21*EXP((-0.029*9.81*F249)/(8.31*(273+J249)))</f>
        <v>100357.4491247143</v>
      </c>
      <c r="J249" s="13">
        <f>IF(Model!$B$31="Summer",  IF(F249&lt;=2000,  Model!$B$20-Model!$B$35*F249/1000,  IF(F249&lt;Model!$B$36,  Model!$B$33-6.5*F249/1000,  Model!$B$38)),     IF(F249&lt;=2000,  Model!$B$20-Model!$B$35*F249/1000,  IF(F249&lt;Model!$B$36,  Model!$B$33-5.4*F249/1000,   Model!$B$38)))</f>
        <v>-19.088750000000001</v>
      </c>
      <c r="K249" s="13">
        <f t="shared" si="74"/>
        <v>253.91125</v>
      </c>
      <c r="L249" s="46">
        <f>IF(AB248-AA248*(B249-B248)&gt;0, L248-Y248*(B249-B248)*3600-AD249*Model!$B$16, 0)</f>
        <v>1045.32255972339</v>
      </c>
      <c r="M249" s="57">
        <f t="shared" si="58"/>
        <v>41.309604377388951</v>
      </c>
      <c r="N249" s="57">
        <f>Model!$B$13*I249*K249/(Model!$B$13*I249-L249*287*K249)</f>
        <v>314.30960437738895</v>
      </c>
      <c r="O249" s="57">
        <f t="shared" si="59"/>
        <v>284.11042718869447</v>
      </c>
      <c r="P249" s="57">
        <f t="shared" si="60"/>
        <v>16.03681668948699</v>
      </c>
      <c r="Q249" s="63">
        <f t="shared" si="75"/>
        <v>2.478884033039731E-2</v>
      </c>
      <c r="R249" s="17">
        <f t="shared" si="76"/>
        <v>1.4755484427624225E-5</v>
      </c>
      <c r="S249" s="46">
        <f>0.37*Model!$B$10*(Q249^2*(N249-K249)*I249/(R249*O249^2))^0.33333*(N249-K249)</f>
        <v>394895.17308620544</v>
      </c>
      <c r="T249" s="51">
        <f>Model!$B$32+(90-Model!$B$6)*SIN(RADIANS(-15*(E249+6)))</f>
        <v>21.71171936967421</v>
      </c>
      <c r="U249" s="46">
        <f t="shared" si="63"/>
        <v>21.71171936967421</v>
      </c>
      <c r="V249" s="51">
        <f t="shared" si="64"/>
        <v>2.7031644631836014</v>
      </c>
      <c r="W249" s="46">
        <f t="shared" si="65"/>
        <v>733.50033235574051</v>
      </c>
      <c r="X249" s="46">
        <f>0.3*W249*Model!$B$9</f>
        <v>66443.865785402435</v>
      </c>
      <c r="Y249" s="17">
        <f>(S249-X249)/Model!$B$11</f>
        <v>7.0460432757868284E-3</v>
      </c>
      <c r="Z249" s="46">
        <f t="shared" si="66"/>
        <v>16.825697125170421</v>
      </c>
      <c r="AA249" s="57">
        <f>Y249/Model!$B$12*3600</f>
        <v>45.619811686223791</v>
      </c>
      <c r="AB249" s="51">
        <f t="shared" si="71"/>
        <v>745.1509549451697</v>
      </c>
      <c r="AC249" s="51">
        <f t="shared" si="77"/>
        <v>1054.8490450548302</v>
      </c>
      <c r="AD249" s="13">
        <f>IF(AE249=0, Model!$B$19, 0 )</f>
        <v>0</v>
      </c>
      <c r="AE249" s="51">
        <f>IF(AE248+AB248-AB249&lt;Model!$B$19*Model!$B$18, AE248+AB248-AB249,  0)</f>
        <v>148.67075071244255</v>
      </c>
      <c r="AF249" s="13">
        <f t="shared" si="67"/>
        <v>12.350000000000041</v>
      </c>
      <c r="AG249" s="50">
        <f t="shared" si="68"/>
        <v>0</v>
      </c>
    </row>
    <row r="250" spans="2:33" x14ac:dyDescent="0.25">
      <c r="B250" s="15">
        <f t="shared" si="69"/>
        <v>12.400000000000041</v>
      </c>
      <c r="C250" s="15">
        <f>B250+Model!$B$4</f>
        <v>14.400000000000041</v>
      </c>
      <c r="D250" s="15">
        <f t="shared" si="70"/>
        <v>1</v>
      </c>
      <c r="E250" s="15">
        <f t="shared" si="73"/>
        <v>14.400000000000041</v>
      </c>
      <c r="F250" s="16">
        <f>IF(AB250&gt;0, VLOOKUP(B250,Model!$A$40:$B$60, 2), 0)</f>
        <v>300</v>
      </c>
      <c r="G250" s="15">
        <f>IF(AB250&gt;0, VLOOKUP(B250,Model!$A$39:$C$58, 3), 0)</f>
        <v>1</v>
      </c>
      <c r="H250" s="15">
        <f t="shared" si="56"/>
        <v>97</v>
      </c>
      <c r="I250" s="45">
        <f>Model!$B$21*EXP((-0.029*9.81*F250)/(8.31*(273+J250)))</f>
        <v>100357.4491247143</v>
      </c>
      <c r="J250" s="15">
        <f>IF(Model!$B$31="Summer",  IF(F250&lt;=2000,  Model!$B$20-Model!$B$35*F250/1000,  IF(F250&lt;Model!$B$36,  Model!$B$33-6.5*F250/1000,  Model!$B$38)),     IF(F250&lt;=2000,  Model!$B$20-Model!$B$35*F250/1000,  IF(F250&lt;Model!$B$36,  Model!$B$33-5.4*F250/1000,   Model!$B$38)))</f>
        <v>-19.088750000000001</v>
      </c>
      <c r="K250" s="15">
        <f t="shared" si="74"/>
        <v>253.91125</v>
      </c>
      <c r="L250" s="45">
        <f>IF(AB249-AA249*(B250-B249)&gt;0, L249-Y249*(B250-B249)*3600-AD250*Model!$B$16, 0)</f>
        <v>1044.0542719337484</v>
      </c>
      <c r="M250" s="56">
        <f t="shared" si="58"/>
        <v>41.218917806769639</v>
      </c>
      <c r="N250" s="56">
        <f>Model!$B$13*I250*K250/(Model!$B$13*I250-L250*287*K250)</f>
        <v>314.21891780676964</v>
      </c>
      <c r="O250" s="56">
        <f t="shared" si="59"/>
        <v>284.06508390338479</v>
      </c>
      <c r="P250" s="56">
        <f t="shared" si="60"/>
        <v>15.955086119089756</v>
      </c>
      <c r="Q250" s="62">
        <f t="shared" si="75"/>
        <v>2.478562095714032E-2</v>
      </c>
      <c r="R250" s="33">
        <f t="shared" si="76"/>
        <v>1.4750768725952017E-5</v>
      </c>
      <c r="S250" s="45">
        <f>0.37*Model!$B$10*(Q250^2*(N250-K250)*I250/(R250*O250^2))^0.33333*(N250-K250)</f>
        <v>394154.6108346596</v>
      </c>
      <c r="T250" s="50">
        <f>Model!$B$32+(90-Model!$B$6)*SIN(RADIANS(-15*(E250+6)))</f>
        <v>21.444859742138618</v>
      </c>
      <c r="U250" s="45">
        <f t="shared" si="63"/>
        <v>21.444859742138618</v>
      </c>
      <c r="V250" s="50">
        <f t="shared" si="64"/>
        <v>2.7351875437043058</v>
      </c>
      <c r="W250" s="45">
        <f t="shared" si="65"/>
        <v>727.84236814279757</v>
      </c>
      <c r="X250" s="45">
        <f>0.3*W250*Model!$B$9</f>
        <v>65931.341116768657</v>
      </c>
      <c r="Y250" s="33">
        <f>(S250-X250)/Model!$B$11</f>
        <v>7.0411513400813249E-3</v>
      </c>
      <c r="Z250" s="45">
        <f t="shared" si="66"/>
        <v>16.727278916553285</v>
      </c>
      <c r="AA250" s="56">
        <f>Y250/Model!$B$12*3600</f>
        <v>45.588138706519977</v>
      </c>
      <c r="AB250" s="50">
        <f t="shared" si="71"/>
        <v>742.86996436085849</v>
      </c>
      <c r="AC250" s="50">
        <f t="shared" si="77"/>
        <v>1057.1300356391416</v>
      </c>
      <c r="AD250" s="15">
        <f>IF(AE250=0, Model!$B$19, 0 )</f>
        <v>0</v>
      </c>
      <c r="AE250" s="50">
        <f>IF(AE249+AB249-AB250&lt;Model!$B$19*Model!$B$18, AE249+AB249-AB250,  0)</f>
        <v>150.95174129675377</v>
      </c>
      <c r="AF250" s="15">
        <f t="shared" si="67"/>
        <v>12.400000000000041</v>
      </c>
      <c r="AG250" s="50">
        <f t="shared" si="68"/>
        <v>0</v>
      </c>
    </row>
    <row r="251" spans="2:33" x14ac:dyDescent="0.25">
      <c r="B251" s="13">
        <f t="shared" si="69"/>
        <v>12.450000000000042</v>
      </c>
      <c r="C251" s="13">
        <f>B251+Model!$B$4</f>
        <v>14.450000000000042</v>
      </c>
      <c r="D251" s="13">
        <f t="shared" si="70"/>
        <v>1</v>
      </c>
      <c r="E251" s="13">
        <f t="shared" si="73"/>
        <v>14.450000000000042</v>
      </c>
      <c r="F251" s="14">
        <f>IF(AB251&gt;0, VLOOKUP(B251,Model!$A$40:$B$60, 2), 0)</f>
        <v>300</v>
      </c>
      <c r="G251" s="13">
        <f>IF(AB251&gt;0, VLOOKUP(B251,Model!$A$39:$C$58, 3), 0)</f>
        <v>1</v>
      </c>
      <c r="H251" s="13">
        <f t="shared" si="56"/>
        <v>97</v>
      </c>
      <c r="I251" s="46">
        <f>Model!$B$21*EXP((-0.029*9.81*F251)/(8.31*(273+J251)))</f>
        <v>100357.4491247143</v>
      </c>
      <c r="J251" s="13">
        <f>IF(Model!$B$31="Summer",  IF(F251&lt;=2000,  Model!$B$20-Model!$B$35*F251/1000,  IF(F251&lt;Model!$B$36,  Model!$B$33-6.5*F251/1000,  Model!$B$38)),     IF(F251&lt;=2000,  Model!$B$20-Model!$B$35*F251/1000,  IF(F251&lt;Model!$B$36,  Model!$B$33-5.4*F251/1000,   Model!$B$38)))</f>
        <v>-19.088750000000001</v>
      </c>
      <c r="K251" s="13">
        <f t="shared" si="74"/>
        <v>253.91125</v>
      </c>
      <c r="L251" s="46">
        <f>IF(AB250-AA250*(B251-B250)&gt;0, L250-Y250*(B251-B250)*3600-AD251*Model!$B$16, 0)</f>
        <v>1042.7868646925338</v>
      </c>
      <c r="M251" s="57">
        <f t="shared" si="58"/>
        <v>41.128346459493116</v>
      </c>
      <c r="N251" s="57">
        <f>Model!$B$13*I251*K251/(Model!$B$13*I251-L251*287*K251)</f>
        <v>314.12834645949312</v>
      </c>
      <c r="O251" s="57">
        <f t="shared" si="59"/>
        <v>284.01979822974658</v>
      </c>
      <c r="P251" s="57">
        <f t="shared" si="60"/>
        <v>15.872080684031875</v>
      </c>
      <c r="Q251" s="63">
        <f t="shared" si="75"/>
        <v>2.4782405674312009E-2</v>
      </c>
      <c r="R251" s="17">
        <f t="shared" si="76"/>
        <v>1.4746059015893644E-5</v>
      </c>
      <c r="S251" s="46">
        <f>0.37*Model!$B$10*(Q251^2*(N251-K251)*I251/(R251*O251^2))^0.33333*(N251-K251)</f>
        <v>393415.20744309359</v>
      </c>
      <c r="T251" s="51">
        <f>Model!$B$32+(90-Model!$B$6)*SIN(RADIANS(-15*(E251+6)))</f>
        <v>21.17314838320258</v>
      </c>
      <c r="U251" s="46">
        <f t="shared" si="63"/>
        <v>21.17314838320258</v>
      </c>
      <c r="V251" s="51">
        <f t="shared" si="64"/>
        <v>2.7686443457467518</v>
      </c>
      <c r="W251" s="46">
        <f t="shared" si="65"/>
        <v>721.97770393669225</v>
      </c>
      <c r="X251" s="46">
        <f>0.3*W251*Model!$B$9</f>
        <v>65400.0926030353</v>
      </c>
      <c r="Y251" s="17">
        <f>(S251-X251)/Model!$B$11</f>
        <v>7.0366859345716674E-3</v>
      </c>
      <c r="Z251" s="46">
        <f t="shared" si="66"/>
        <v>16.623681892748195</v>
      </c>
      <c r="AA251" s="57">
        <f>Y251/Model!$B$12*3600</f>
        <v>45.559227308948344</v>
      </c>
      <c r="AB251" s="51">
        <f t="shared" si="71"/>
        <v>740.59055742553244</v>
      </c>
      <c r="AC251" s="51">
        <f t="shared" si="77"/>
        <v>1059.4094425744674</v>
      </c>
      <c r="AD251" s="13">
        <f>IF(AE251=0, Model!$B$19, 0 )</f>
        <v>0</v>
      </c>
      <c r="AE251" s="51">
        <f>IF(AE250+AB250-AB251&lt;Model!$B$19*Model!$B$18, AE250+AB250-AB251,  0)</f>
        <v>153.23114823207982</v>
      </c>
      <c r="AF251" s="13">
        <f t="shared" si="67"/>
        <v>12.450000000000042</v>
      </c>
      <c r="AG251" s="50">
        <f t="shared" si="68"/>
        <v>0</v>
      </c>
    </row>
    <row r="252" spans="2:33" x14ac:dyDescent="0.25">
      <c r="B252" s="15">
        <f t="shared" si="69"/>
        <v>12.500000000000043</v>
      </c>
      <c r="C252" s="15">
        <f>B252+Model!$B$4</f>
        <v>14.500000000000043</v>
      </c>
      <c r="D252" s="15">
        <f t="shared" si="70"/>
        <v>1</v>
      </c>
      <c r="E252" s="15">
        <f t="shared" si="73"/>
        <v>14.500000000000043</v>
      </c>
      <c r="F252" s="16">
        <f>IF(AB252&gt;0, VLOOKUP(B252,Model!$A$40:$B$60, 2), 0)</f>
        <v>300</v>
      </c>
      <c r="G252" s="15">
        <f>IF(AB252&gt;0, VLOOKUP(B252,Model!$A$39:$C$58, 3), 0)</f>
        <v>1</v>
      </c>
      <c r="H252" s="15">
        <f t="shared" si="56"/>
        <v>97</v>
      </c>
      <c r="I252" s="45">
        <f>Model!$B$21*EXP((-0.029*9.81*F252)/(8.31*(273+J252)))</f>
        <v>100357.4491247143</v>
      </c>
      <c r="J252" s="15">
        <f>IF(Model!$B$31="Summer",  IF(F252&lt;=2000,  Model!$B$20-Model!$B$35*F252/1000,  IF(F252&lt;Model!$B$36,  Model!$B$33-6.5*F252/1000,  Model!$B$38)),     IF(F252&lt;=2000,  Model!$B$20-Model!$B$35*F252/1000,  IF(F252&lt;Model!$B$36,  Model!$B$33-5.4*F252/1000,   Model!$B$38)))</f>
        <v>-19.088750000000001</v>
      </c>
      <c r="K252" s="15">
        <f t="shared" si="74"/>
        <v>253.91125</v>
      </c>
      <c r="L252" s="45">
        <f>IF(AB251-AA251*(B252-B251)&gt;0, L251-Y251*(B252-B251)*3600-AD252*Model!$B$16, 0)</f>
        <v>1041.5202612243108</v>
      </c>
      <c r="M252" s="56">
        <f t="shared" si="58"/>
        <v>41.037884699773656</v>
      </c>
      <c r="N252" s="56">
        <f>Model!$B$13*I252*K252/(Model!$B$13*I252-L252*287*K252)</f>
        <v>314.03788469977366</v>
      </c>
      <c r="O252" s="56">
        <f t="shared" si="59"/>
        <v>283.9745673498868</v>
      </c>
      <c r="P252" s="56">
        <f t="shared" si="60"/>
        <v>15.787752042798109</v>
      </c>
      <c r="Q252" s="62">
        <f t="shared" si="75"/>
        <v>2.4779194281841964E-2</v>
      </c>
      <c r="R252" s="33">
        <f t="shared" si="76"/>
        <v>1.4741355004388226E-5</v>
      </c>
      <c r="S252" s="45">
        <f>0.37*Model!$B$10*(Q252^2*(N252-K252)*I252/(R252*O252^2))^0.33333*(N252-K252)</f>
        <v>392676.91652093298</v>
      </c>
      <c r="T252" s="50">
        <f>Model!$B$32+(90-Model!$B$6)*SIN(RADIANS(-15*(E252+6)))</f>
        <v>20.896631849208681</v>
      </c>
      <c r="U252" s="45">
        <f t="shared" si="63"/>
        <v>20.896631849208681</v>
      </c>
      <c r="V252" s="50">
        <f t="shared" si="64"/>
        <v>2.8036092899453235</v>
      </c>
      <c r="W252" s="45">
        <f t="shared" si="65"/>
        <v>715.89917167508759</v>
      </c>
      <c r="X252" s="45">
        <f>0.3*W252*Model!$B$9</f>
        <v>64849.470927834176</v>
      </c>
      <c r="Y252" s="33">
        <f>(S252-X252)/Model!$B$11</f>
        <v>7.0326599934162574E-3</v>
      </c>
      <c r="Z252" s="45">
        <f t="shared" si="66"/>
        <v>16.514714310785607</v>
      </c>
      <c r="AA252" s="56">
        <f>Y252/Model!$B$12*3600</f>
        <v>45.533161236092852</v>
      </c>
      <c r="AB252" s="50">
        <f t="shared" si="71"/>
        <v>738.31259606008496</v>
      </c>
      <c r="AC252" s="50">
        <f t="shared" si="77"/>
        <v>1061.6874039399149</v>
      </c>
      <c r="AD252" s="15">
        <f>IF(AE252=0, Model!$B$19, 0 )</f>
        <v>0</v>
      </c>
      <c r="AE252" s="50">
        <f>IF(AE251+AB251-AB252&lt;Model!$B$19*Model!$B$18, AE251+AB251-AB252,  0)</f>
        <v>155.5091095975273</v>
      </c>
      <c r="AF252" s="15">
        <f t="shared" si="67"/>
        <v>12.500000000000043</v>
      </c>
      <c r="AG252" s="50">
        <f t="shared" si="68"/>
        <v>0</v>
      </c>
    </row>
    <row r="253" spans="2:33" x14ac:dyDescent="0.25">
      <c r="B253" s="13">
        <f t="shared" si="69"/>
        <v>12.550000000000043</v>
      </c>
      <c r="C253" s="13">
        <f>B253+Model!$B$4</f>
        <v>14.550000000000043</v>
      </c>
      <c r="D253" s="13">
        <f t="shared" si="70"/>
        <v>1</v>
      </c>
      <c r="E253" s="13">
        <f t="shared" si="73"/>
        <v>14.550000000000043</v>
      </c>
      <c r="F253" s="14">
        <f>IF(AB253&gt;0, VLOOKUP(B253,Model!$A$40:$B$60, 2), 0)</f>
        <v>300</v>
      </c>
      <c r="G253" s="13">
        <f>IF(AB253&gt;0, VLOOKUP(B253,Model!$A$39:$C$58, 3), 0)</f>
        <v>1</v>
      </c>
      <c r="H253" s="13">
        <f t="shared" si="56"/>
        <v>97</v>
      </c>
      <c r="I253" s="46">
        <f>Model!$B$21*EXP((-0.029*9.81*F253)/(8.31*(273+J253)))</f>
        <v>100357.4491247143</v>
      </c>
      <c r="J253" s="13">
        <f>IF(Model!$B$31="Summer",  IF(F253&lt;=2000,  Model!$B$20-Model!$B$35*F253/1000,  IF(F253&lt;Model!$B$36,  Model!$B$33-6.5*F253/1000,  Model!$B$38)),     IF(F253&lt;=2000,  Model!$B$20-Model!$B$35*F253/1000,  IF(F253&lt;Model!$B$36,  Model!$B$33-5.4*F253/1000,   Model!$B$38)))</f>
        <v>-19.088750000000001</v>
      </c>
      <c r="K253" s="13">
        <f t="shared" si="74"/>
        <v>253.91125</v>
      </c>
      <c r="L253" s="46">
        <f>IF(AB252-AA252*(B253-B252)&gt;0, L252-Y252*(B253-B252)*3600-AD253*Model!$B$16, 0)</f>
        <v>1040.2543824254958</v>
      </c>
      <c r="M253" s="57">
        <f t="shared" si="58"/>
        <v>40.947526738621775</v>
      </c>
      <c r="N253" s="57">
        <f>Model!$B$13*I253*K253/(Model!$B$13*I253-L253*287*K253)</f>
        <v>313.94752673862178</v>
      </c>
      <c r="O253" s="57">
        <f t="shared" si="59"/>
        <v>283.92938836931091</v>
      </c>
      <c r="P253" s="57">
        <f t="shared" si="60"/>
        <v>15.70204951381147</v>
      </c>
      <c r="Q253" s="63">
        <f t="shared" si="75"/>
        <v>2.4775986574221077E-2</v>
      </c>
      <c r="R253" s="17">
        <f t="shared" si="76"/>
        <v>1.4736656390408335E-5</v>
      </c>
      <c r="S253" s="46">
        <f>0.37*Model!$B$10*(Q253^2*(N253-K253)*I253/(R253*O253^2))^0.33333*(N253-K253)</f>
        <v>391939.69048113207</v>
      </c>
      <c r="T253" s="51">
        <f>Model!$B$32+(90-Model!$B$6)*SIN(RADIANS(-15*(E253+6)))</f>
        <v>20.615357519841517</v>
      </c>
      <c r="U253" s="46">
        <f t="shared" si="63"/>
        <v>20.615357519841517</v>
      </c>
      <c r="V253" s="51">
        <f t="shared" si="64"/>
        <v>2.840162446958014</v>
      </c>
      <c r="W253" s="46">
        <f t="shared" si="65"/>
        <v>709.59924699757323</v>
      </c>
      <c r="X253" s="46">
        <f>0.3*W253*Model!$B$9</f>
        <v>64278.794499663323</v>
      </c>
      <c r="Y253" s="17">
        <f>(S253-X253)/Model!$B$11</f>
        <v>7.029087117482972E-3</v>
      </c>
      <c r="Z253" s="46">
        <f t="shared" si="66"/>
        <v>16.400174838316786</v>
      </c>
      <c r="AA253" s="57">
        <f>Y253/Model!$B$12*3600</f>
        <v>45.510028547167302</v>
      </c>
      <c r="AB253" s="51">
        <f t="shared" si="71"/>
        <v>736.03593799828025</v>
      </c>
      <c r="AC253" s="51">
        <f t="shared" si="77"/>
        <v>1063.9640620017199</v>
      </c>
      <c r="AD253" s="13">
        <f>IF(AE253=0, Model!$B$19, 0 )</f>
        <v>0</v>
      </c>
      <c r="AE253" s="51">
        <f>IF(AE252+AB252-AB253&lt;Model!$B$19*Model!$B$18, AE252+AB252-AB253,  0)</f>
        <v>157.78576765933201</v>
      </c>
      <c r="AF253" s="13">
        <f t="shared" si="67"/>
        <v>12.550000000000043</v>
      </c>
      <c r="AG253" s="50">
        <f t="shared" si="68"/>
        <v>0</v>
      </c>
    </row>
    <row r="254" spans="2:33" x14ac:dyDescent="0.25">
      <c r="B254" s="15">
        <f t="shared" si="69"/>
        <v>12.600000000000044</v>
      </c>
      <c r="C254" s="15">
        <f>B254+Model!$B$4</f>
        <v>14.600000000000044</v>
      </c>
      <c r="D254" s="15">
        <f t="shared" si="70"/>
        <v>1</v>
      </c>
      <c r="E254" s="15">
        <f t="shared" si="73"/>
        <v>14.600000000000044</v>
      </c>
      <c r="F254" s="16">
        <f>IF(AB254&gt;0, VLOOKUP(B254,Model!$A$40:$B$60, 2), 0)</f>
        <v>300</v>
      </c>
      <c r="G254" s="15">
        <f>IF(AB254&gt;0, VLOOKUP(B254,Model!$A$39:$C$58, 3), 0)</f>
        <v>1</v>
      </c>
      <c r="H254" s="15">
        <f t="shared" si="56"/>
        <v>97</v>
      </c>
      <c r="I254" s="45">
        <f>Model!$B$21*EXP((-0.029*9.81*F254)/(8.31*(273+J254)))</f>
        <v>100357.4491247143</v>
      </c>
      <c r="J254" s="15">
        <f>IF(Model!$B$31="Summer",  IF(F254&lt;=2000,  Model!$B$20-Model!$B$35*F254/1000,  IF(F254&lt;Model!$B$36,  Model!$B$33-6.5*F254/1000,  Model!$B$38)),     IF(F254&lt;=2000,  Model!$B$20-Model!$B$35*F254/1000,  IF(F254&lt;Model!$B$36,  Model!$B$33-5.4*F254/1000,   Model!$B$38)))</f>
        <v>-19.088750000000001</v>
      </c>
      <c r="K254" s="15">
        <f t="shared" si="74"/>
        <v>253.91125</v>
      </c>
      <c r="L254" s="45">
        <f>IF(AB253-AA253*(B254-B253)&gt;0, L253-Y253*(B254-B253)*3600-AD254*Model!$B$16, 0)</f>
        <v>1038.9891467443488</v>
      </c>
      <c r="M254" s="56">
        <f t="shared" si="58"/>
        <v>40.857266625715738</v>
      </c>
      <c r="N254" s="56">
        <f>Model!$B$13*I254*K254/(Model!$B$13*I254-L254*287*K254)</f>
        <v>313.85726662571574</v>
      </c>
      <c r="O254" s="56">
        <f t="shared" si="59"/>
        <v>283.88425831285787</v>
      </c>
      <c r="P254" s="56">
        <f t="shared" si="60"/>
        <v>15.614919959508356</v>
      </c>
      <c r="Q254" s="62">
        <f t="shared" si="75"/>
        <v>2.477278234021291E-2</v>
      </c>
      <c r="R254" s="33">
        <f t="shared" si="76"/>
        <v>1.4731962864537217E-5</v>
      </c>
      <c r="S254" s="45">
        <f>0.37*Model!$B$10*(Q254^2*(N254-K254)*I254/(R254*O254^2))^0.33333*(N254-K254)</f>
        <v>391203.48047584115</v>
      </c>
      <c r="T254" s="50">
        <f>Model!$B$32+(90-Model!$B$6)*SIN(RADIANS(-15*(E254+6)))</f>
        <v>20.329373590009403</v>
      </c>
      <c r="U254" s="45">
        <f t="shared" si="63"/>
        <v>20.329373590009403</v>
      </c>
      <c r="V254" s="50">
        <f t="shared" si="64"/>
        <v>2.8783900668189335</v>
      </c>
      <c r="W254" s="45">
        <f t="shared" si="65"/>
        <v>703.07003175618468</v>
      </c>
      <c r="X254" s="45">
        <f>0.3*W254*Model!$B$9</f>
        <v>63687.347867608594</v>
      </c>
      <c r="Y254" s="33">
        <f>(S254-X254)/Model!$B$11</f>
        <v>7.0259816069555411E-3</v>
      </c>
      <c r="Z254" s="45">
        <f t="shared" si="66"/>
        <v>16.279852058100904</v>
      </c>
      <c r="AA254" s="56">
        <f>Y254/Model!$B$12*3600</f>
        <v>45.489921829126295</v>
      </c>
      <c r="AB254" s="50">
        <f t="shared" si="71"/>
        <v>733.7604365709218</v>
      </c>
      <c r="AC254" s="50">
        <f t="shared" si="77"/>
        <v>1066.2395634290783</v>
      </c>
      <c r="AD254" s="15">
        <f>IF(AE254=0, Model!$B$19, 0 )</f>
        <v>0</v>
      </c>
      <c r="AE254" s="50">
        <f>IF(AE253+AB253-AB254&lt;Model!$B$19*Model!$B$18, AE253+AB253-AB254,  0)</f>
        <v>160.06126908669046</v>
      </c>
      <c r="AF254" s="15">
        <f t="shared" si="67"/>
        <v>12.600000000000044</v>
      </c>
      <c r="AG254" s="50">
        <f t="shared" si="68"/>
        <v>0</v>
      </c>
    </row>
    <row r="255" spans="2:33" x14ac:dyDescent="0.25">
      <c r="B255" s="13">
        <f t="shared" si="69"/>
        <v>12.650000000000045</v>
      </c>
      <c r="C255" s="13">
        <f>B255+Model!$B$4</f>
        <v>14.650000000000045</v>
      </c>
      <c r="D255" s="13">
        <f t="shared" si="70"/>
        <v>1</v>
      </c>
      <c r="E255" s="13">
        <f t="shared" si="73"/>
        <v>14.650000000000045</v>
      </c>
      <c r="F255" s="14">
        <f>IF(AB255&gt;0, VLOOKUP(B255,Model!$A$40:$B$60, 2), 0)</f>
        <v>300</v>
      </c>
      <c r="G255" s="13">
        <f>IF(AB255&gt;0, VLOOKUP(B255,Model!$A$39:$C$58, 3), 0)</f>
        <v>1</v>
      </c>
      <c r="H255" s="13">
        <f t="shared" si="56"/>
        <v>97</v>
      </c>
      <c r="I255" s="46">
        <f>Model!$B$21*EXP((-0.029*9.81*F255)/(8.31*(273+J255)))</f>
        <v>100357.4491247143</v>
      </c>
      <c r="J255" s="13">
        <f>IF(Model!$B$31="Summer",  IF(F255&lt;=2000,  Model!$B$20-Model!$B$35*F255/1000,  IF(F255&lt;Model!$B$36,  Model!$B$33-6.5*F255/1000,  Model!$B$38)),     IF(F255&lt;=2000,  Model!$B$20-Model!$B$35*F255/1000,  IF(F255&lt;Model!$B$36,  Model!$B$33-5.4*F255/1000,   Model!$B$38)))</f>
        <v>-19.088750000000001</v>
      </c>
      <c r="K255" s="13">
        <f t="shared" si="74"/>
        <v>253.91125</v>
      </c>
      <c r="L255" s="46">
        <f>IF(AB254-AA254*(B255-B254)&gt;0, L254-Y254*(B255-B254)*3600-AD255*Model!$B$16, 0)</f>
        <v>1037.7244700550968</v>
      </c>
      <c r="M255" s="57">
        <f t="shared" si="58"/>
        <v>40.767098240885389</v>
      </c>
      <c r="N255" s="57">
        <f>Model!$B$13*I255*K255/(Model!$B$13*I255-L255*287*K255)</f>
        <v>313.76709824088539</v>
      </c>
      <c r="O255" s="57">
        <f t="shared" si="59"/>
        <v>283.83917412044269</v>
      </c>
      <c r="P255" s="57">
        <f t="shared" si="60"/>
        <v>15.526307665483925</v>
      </c>
      <c r="Q255" s="63">
        <f t="shared" si="75"/>
        <v>2.4769581362551432E-2</v>
      </c>
      <c r="R255" s="17">
        <f t="shared" si="76"/>
        <v>1.4727274108526038E-5</v>
      </c>
      <c r="S255" s="46">
        <f>0.37*Model!$B$10*(Q255^2*(N255-K255)*I255/(R255*O255^2))^0.33333*(N255-K255)</f>
        <v>390468.23632903927</v>
      </c>
      <c r="T255" s="51">
        <f>Model!$B$32+(90-Model!$B$6)*SIN(RADIANS(-15*(E255+6)))</f>
        <v>20.038729061586498</v>
      </c>
      <c r="U255" s="46">
        <f t="shared" si="63"/>
        <v>20.038729061586498</v>
      </c>
      <c r="V255" s="51">
        <f t="shared" si="64"/>
        <v>2.918385169669766</v>
      </c>
      <c r="W255" s="46">
        <f t="shared" si="65"/>
        <v>696.30323584645396</v>
      </c>
      <c r="X255" s="46">
        <f>0.3*W255*Model!$B$9</f>
        <v>63074.380075515903</v>
      </c>
      <c r="Y255" s="17">
        <f>(S255-X255)/Model!$B$11</f>
        <v>7.0233584951951812E-3</v>
      </c>
      <c r="Z255" s="46">
        <f t="shared" si="66"/>
        <v>16.153523950758562</v>
      </c>
      <c r="AA255" s="57">
        <f>Y255/Model!$B$12*3600</f>
        <v>45.472938415903336</v>
      </c>
      <c r="AB255" s="51">
        <f t="shared" si="71"/>
        <v>731.4859404794654</v>
      </c>
      <c r="AC255" s="51">
        <f t="shared" si="77"/>
        <v>1068.5140595205346</v>
      </c>
      <c r="AD255" s="13">
        <f>IF(AE255=0, Model!$B$19, 0 )</f>
        <v>0</v>
      </c>
      <c r="AE255" s="51">
        <f>IF(AE254+AB254-AB255&lt;Model!$B$19*Model!$B$18, AE254+AB254-AB255,  0)</f>
        <v>162.33576517814686</v>
      </c>
      <c r="AF255" s="13">
        <f t="shared" si="67"/>
        <v>12.650000000000045</v>
      </c>
      <c r="AG255" s="50">
        <f t="shared" si="68"/>
        <v>0</v>
      </c>
    </row>
    <row r="256" spans="2:33" x14ac:dyDescent="0.25">
      <c r="B256" s="15">
        <f t="shared" si="69"/>
        <v>12.700000000000045</v>
      </c>
      <c r="C256" s="15">
        <f>B256+Model!$B$4</f>
        <v>14.700000000000045</v>
      </c>
      <c r="D256" s="15">
        <f t="shared" si="70"/>
        <v>1</v>
      </c>
      <c r="E256" s="15">
        <f t="shared" si="73"/>
        <v>14.700000000000045</v>
      </c>
      <c r="F256" s="16">
        <f>IF(AB256&gt;0, VLOOKUP(B256,Model!$A$40:$B$60, 2), 0)</f>
        <v>300</v>
      </c>
      <c r="G256" s="15">
        <f>IF(AB256&gt;0, VLOOKUP(B256,Model!$A$39:$C$58, 3), 0)</f>
        <v>1</v>
      </c>
      <c r="H256" s="15">
        <f t="shared" si="56"/>
        <v>97</v>
      </c>
      <c r="I256" s="45">
        <f>Model!$B$21*EXP((-0.029*9.81*F256)/(8.31*(273+J256)))</f>
        <v>100357.4491247143</v>
      </c>
      <c r="J256" s="15">
        <f>IF(Model!$B$31="Summer",  IF(F256&lt;=2000,  Model!$B$20-Model!$B$35*F256/1000,  IF(F256&lt;Model!$B$36,  Model!$B$33-6.5*F256/1000,  Model!$B$38)),     IF(F256&lt;=2000,  Model!$B$20-Model!$B$35*F256/1000,  IF(F256&lt;Model!$B$36,  Model!$B$33-5.4*F256/1000,   Model!$B$38)))</f>
        <v>-19.088750000000001</v>
      </c>
      <c r="K256" s="15">
        <f t="shared" si="74"/>
        <v>253.91125</v>
      </c>
      <c r="L256" s="45">
        <f>IF(AB255-AA255*(B256-B255)&gt;0, L255-Y255*(B256-B255)*3600-AD256*Model!$B$16, 0)</f>
        <v>1036.4602655259616</v>
      </c>
      <c r="M256" s="56">
        <f t="shared" si="58"/>
        <v>40.677015285191885</v>
      </c>
      <c r="N256" s="56">
        <f>Model!$B$13*I256*K256/(Model!$B$13*I256-L256*287*K256)</f>
        <v>313.67701528519189</v>
      </c>
      <c r="O256" s="56">
        <f t="shared" si="59"/>
        <v>283.79413264259597</v>
      </c>
      <c r="P256" s="56">
        <f t="shared" si="60"/>
        <v>15.436154214905635</v>
      </c>
      <c r="Q256" s="62">
        <f t="shared" si="75"/>
        <v>2.4766383417624313E-2</v>
      </c>
      <c r="R256" s="33">
        <f t="shared" si="76"/>
        <v>1.472258979482998E-5</v>
      </c>
      <c r="S256" s="45">
        <f>0.37*Model!$B$10*(Q256^2*(N256-K256)*I256/(R256*O256^2))^0.33333*(N256-K256)</f>
        <v>389733.90646601625</v>
      </c>
      <c r="T256" s="50">
        <f>Model!$B$32+(90-Model!$B$6)*SIN(RADIANS(-15*(E256+6)))</f>
        <v>19.74347373501649</v>
      </c>
      <c r="U256" s="45">
        <f t="shared" si="63"/>
        <v>19.74347373501649</v>
      </c>
      <c r="V256" s="50">
        <f t="shared" si="64"/>
        <v>2.9602482063025626</v>
      </c>
      <c r="W256" s="45">
        <f t="shared" si="65"/>
        <v>689.29015840898796</v>
      </c>
      <c r="X256" s="45">
        <f>0.3*W256*Model!$B$9</f>
        <v>62439.102959142852</v>
      </c>
      <c r="Y256" s="33">
        <f>(S256-X256)/Model!$B$11</f>
        <v>7.0212335837578771E-3</v>
      </c>
      <c r="Z256" s="45">
        <f t="shared" si="66"/>
        <v>16.020957356602835</v>
      </c>
      <c r="AA256" s="56">
        <f>Y256/Model!$B$12*3600</f>
        <v>45.45918061513126</v>
      </c>
      <c r="AB256" s="50">
        <f t="shared" si="71"/>
        <v>729.21229355867024</v>
      </c>
      <c r="AC256" s="50">
        <f t="shared" si="77"/>
        <v>1070.7877064413296</v>
      </c>
      <c r="AD256" s="15">
        <f>IF(AE256=0, Model!$B$19, 0 )</f>
        <v>0</v>
      </c>
      <c r="AE256" s="50">
        <f>IF(AE255+AB255-AB256&lt;Model!$B$19*Model!$B$18, AE255+AB255-AB256,  0)</f>
        <v>164.60941209894202</v>
      </c>
      <c r="AF256" s="15">
        <f t="shared" si="67"/>
        <v>12.700000000000045</v>
      </c>
      <c r="AG256" s="50">
        <f t="shared" si="68"/>
        <v>0</v>
      </c>
    </row>
    <row r="257" spans="2:33" x14ac:dyDescent="0.25">
      <c r="B257" s="13">
        <f t="shared" si="69"/>
        <v>12.750000000000046</v>
      </c>
      <c r="C257" s="13">
        <f>B257+Model!$B$4</f>
        <v>14.750000000000046</v>
      </c>
      <c r="D257" s="13">
        <f t="shared" si="70"/>
        <v>1</v>
      </c>
      <c r="E257" s="13">
        <f t="shared" si="73"/>
        <v>14.750000000000046</v>
      </c>
      <c r="F257" s="14">
        <f>IF(AB257&gt;0, VLOOKUP(B257,Model!$A$40:$B$60, 2), 0)</f>
        <v>300</v>
      </c>
      <c r="G257" s="13">
        <f>IF(AB257&gt;0, VLOOKUP(B257,Model!$A$39:$C$58, 3), 0)</f>
        <v>1</v>
      </c>
      <c r="H257" s="13">
        <f t="shared" si="56"/>
        <v>97</v>
      </c>
      <c r="I257" s="46">
        <f>Model!$B$21*EXP((-0.029*9.81*F257)/(8.31*(273+J257)))</f>
        <v>100357.4491247143</v>
      </c>
      <c r="J257" s="13">
        <f>IF(Model!$B$31="Summer",  IF(F257&lt;=2000,  Model!$B$20-Model!$B$35*F257/1000,  IF(F257&lt;Model!$B$36,  Model!$B$33-6.5*F257/1000,  Model!$B$38)),     IF(F257&lt;=2000,  Model!$B$20-Model!$B$35*F257/1000,  IF(F257&lt;Model!$B$36,  Model!$B$33-5.4*F257/1000,   Model!$B$38)))</f>
        <v>-19.088750000000001</v>
      </c>
      <c r="K257" s="13">
        <f t="shared" si="74"/>
        <v>253.91125</v>
      </c>
      <c r="L257" s="46">
        <f>IF(AB256-AA256*(B257-B256)&gt;0, L256-Y256*(B257-B256)*3600-AD257*Model!$B$16, 0)</f>
        <v>1035.1964434808851</v>
      </c>
      <c r="M257" s="57">
        <f t="shared" si="58"/>
        <v>40.587011271591962</v>
      </c>
      <c r="N257" s="57">
        <f>Model!$B$13*I257*K257/(Model!$B$13*I257-L257*287*K257)</f>
        <v>313.58701127159196</v>
      </c>
      <c r="O257" s="57">
        <f t="shared" si="59"/>
        <v>283.74913063579595</v>
      </c>
      <c r="P257" s="57">
        <f t="shared" si="60"/>
        <v>15.344398358522568</v>
      </c>
      <c r="Q257" s="63">
        <f t="shared" si="75"/>
        <v>2.4763188275141512E-2</v>
      </c>
      <c r="R257" s="17">
        <f t="shared" si="76"/>
        <v>1.4717909586122779E-5</v>
      </c>
      <c r="S257" s="46">
        <f>0.37*Model!$B$10*(Q257^2*(N257-K257)*I257/(R257*O257^2))^0.33333*(N257-K257)</f>
        <v>389000.43783961248</v>
      </c>
      <c r="T257" s="51">
        <f>Model!$B$32+(90-Model!$B$6)*SIN(RADIANS(-15*(E257+6)))</f>
        <v>19.443658200779613</v>
      </c>
      <c r="U257" s="46">
        <f t="shared" si="63"/>
        <v>19.443658200779613</v>
      </c>
      <c r="V257" s="51">
        <f t="shared" si="64"/>
        <v>3.0040877982982934</v>
      </c>
      <c r="W257" s="46">
        <f t="shared" si="65"/>
        <v>682.02166847584476</v>
      </c>
      <c r="X257" s="46">
        <f>0.3*W257*Model!$B$9</f>
        <v>61780.689393017718</v>
      </c>
      <c r="Y257" s="17">
        <f>(S257-X257)/Model!$B$11</f>
        <v>7.0196234784209964E-3</v>
      </c>
      <c r="Z257" s="46">
        <f t="shared" si="66"/>
        <v>15.881907417926948</v>
      </c>
      <c r="AA257" s="57">
        <f>Y257/Model!$B$12*3600</f>
        <v>45.448755941397572</v>
      </c>
      <c r="AB257" s="51">
        <f t="shared" si="71"/>
        <v>726.93933452791362</v>
      </c>
      <c r="AC257" s="51">
        <f t="shared" si="77"/>
        <v>1073.0606654720864</v>
      </c>
      <c r="AD257" s="13">
        <f>IF(AE257=0, Model!$B$19, 0 )</f>
        <v>0</v>
      </c>
      <c r="AE257" s="51">
        <f>IF(AE256+AB256-AB257&lt;Model!$B$19*Model!$B$18, AE256+AB256-AB257,  0)</f>
        <v>166.88237112969864</v>
      </c>
      <c r="AF257" s="13">
        <f t="shared" si="67"/>
        <v>12.750000000000046</v>
      </c>
      <c r="AG257" s="50">
        <f t="shared" si="68"/>
        <v>0</v>
      </c>
    </row>
    <row r="258" spans="2:33" x14ac:dyDescent="0.25">
      <c r="B258" s="15">
        <f t="shared" si="69"/>
        <v>12.800000000000047</v>
      </c>
      <c r="C258" s="15">
        <f>B258+Model!$B$4</f>
        <v>14.800000000000047</v>
      </c>
      <c r="D258" s="15">
        <f t="shared" si="70"/>
        <v>1</v>
      </c>
      <c r="E258" s="15">
        <f t="shared" si="73"/>
        <v>14.800000000000047</v>
      </c>
      <c r="F258" s="16">
        <f>IF(AB258&gt;0, VLOOKUP(B258,Model!$A$40:$B$60, 2), 0)</f>
        <v>300</v>
      </c>
      <c r="G258" s="15">
        <f>IF(AB258&gt;0, VLOOKUP(B258,Model!$A$39:$C$58, 3), 0)</f>
        <v>1</v>
      </c>
      <c r="H258" s="15">
        <f t="shared" ref="H258:H321" si="78">IF(B258=1, 0, G258*97)</f>
        <v>97</v>
      </c>
      <c r="I258" s="45">
        <f>Model!$B$21*EXP((-0.029*9.81*F258)/(8.31*(273+J258)))</f>
        <v>100357.4491247143</v>
      </c>
      <c r="J258" s="15">
        <f>IF(Model!$B$31="Summer",  IF(F258&lt;=2000,  Model!$B$20-Model!$B$35*F258/1000,  IF(F258&lt;Model!$B$36,  Model!$B$33-6.5*F258/1000,  Model!$B$38)),     IF(F258&lt;=2000,  Model!$B$20-Model!$B$35*F258/1000,  IF(F258&lt;Model!$B$36,  Model!$B$33-5.4*F258/1000,   Model!$B$38)))</f>
        <v>-19.088750000000001</v>
      </c>
      <c r="K258" s="15">
        <f t="shared" si="74"/>
        <v>253.91125</v>
      </c>
      <c r="L258" s="45">
        <f>IF(AB257-AA257*(B258-B257)&gt;0, L257-Y257*(B258-B257)*3600-AD258*Model!$B$16, 0)</f>
        <v>1033.9329112547694</v>
      </c>
      <c r="M258" s="56">
        <f t="shared" ref="M258:M321" si="79">IF(AB258=0, 0, N258-273)</f>
        <v>40.497079515175699</v>
      </c>
      <c r="N258" s="56">
        <f>Model!$B$13*I258*K258/(Model!$B$13*I258-L258*287*K258)</f>
        <v>313.4970795151757</v>
      </c>
      <c r="O258" s="56">
        <f t="shared" ref="O258:O321" si="80">(K258+N258)/2</f>
        <v>283.70416475758782</v>
      </c>
      <c r="P258" s="56">
        <f t="shared" ref="P258:P321" si="81">(J258+M258)/2+W257/150</f>
        <v>15.250975880760148</v>
      </c>
      <c r="Q258" s="62">
        <f t="shared" si="75"/>
        <v>2.4759995697788736E-2</v>
      </c>
      <c r="R258" s="33">
        <f t="shared" si="76"/>
        <v>1.4713233134789132E-5</v>
      </c>
      <c r="S258" s="45">
        <f>0.37*Model!$B$10*(Q258^2*(N258-K258)*I258/(R258*O258^2))^0.33333*(N258-K258)</f>
        <v>388267.77585313882</v>
      </c>
      <c r="T258" s="50">
        <f>Model!$B$32+(90-Model!$B$6)*SIN(RADIANS(-15*(E258+6)))</f>
        <v>19.139333830724194</v>
      </c>
      <c r="U258" s="45">
        <f t="shared" ref="U258:U321" si="82">IF(OR(T258&lt;0, AB258=0),  0, T258)</f>
        <v>19.139333830724194</v>
      </c>
      <c r="V258" s="50">
        <f t="shared" ref="V258:V321" si="83">IF(T258&lt;0,99999,1/SIN(RADIANS(T258)))</f>
        <v>3.05002156914659</v>
      </c>
      <c r="W258" s="45">
        <f t="shared" ref="W258:W321" si="84">IF(G258=0,0, 1353*((1+F258/7100)*0.7^V258^0.678)+F258/7100)</f>
        <v>674.48818516667382</v>
      </c>
      <c r="X258" s="45">
        <f>0.3*W258*Model!$B$9</f>
        <v>61098.271496513808</v>
      </c>
      <c r="Y258" s="33">
        <f>(S258-X258)/Model!$B$11</f>
        <v>7.018545626013623E-3</v>
      </c>
      <c r="Z258" s="45">
        <f t="shared" ref="Z258:Z321" si="85">100*X258/S258</f>
        <v>15.736117003854591</v>
      </c>
      <c r="AA258" s="56">
        <f>Y258/Model!$B$12*3600</f>
        <v>45.441777354703554</v>
      </c>
      <c r="AB258" s="50">
        <f t="shared" si="71"/>
        <v>724.66689673084375</v>
      </c>
      <c r="AC258" s="50">
        <f t="shared" si="77"/>
        <v>1075.3331032691563</v>
      </c>
      <c r="AD258" s="15">
        <f>IF(AE258=0, Model!$B$19, 0 )</f>
        <v>0</v>
      </c>
      <c r="AE258" s="50">
        <f>IF(AE257+AB257-AB258&lt;Model!$B$19*Model!$B$18, AE257+AB257-AB258,  0)</f>
        <v>169.15480892676851</v>
      </c>
      <c r="AF258" s="15">
        <f t="shared" ref="AF258:AF321" si="86">B258</f>
        <v>12.800000000000047</v>
      </c>
      <c r="AG258" s="50">
        <f t="shared" ref="AG258:AG321" si="87">IF(OR(P258&gt;0, AB258&lt;=0),0, IF(P258&lt;-2,0.99,ABS(P258/2)))</f>
        <v>0</v>
      </c>
    </row>
    <row r="259" spans="2:33" x14ac:dyDescent="0.25">
      <c r="B259" s="13">
        <f t="shared" ref="B259:B322" si="88">IF(AB258&gt;0, B258+0.05, 1)</f>
        <v>12.850000000000048</v>
      </c>
      <c r="C259" s="13">
        <f>B259+Model!$B$4</f>
        <v>14.850000000000048</v>
      </c>
      <c r="D259" s="13">
        <f t="shared" ref="D259:D322" si="89">INT(C259/24+1)</f>
        <v>1</v>
      </c>
      <c r="E259" s="13">
        <f t="shared" si="73"/>
        <v>14.850000000000048</v>
      </c>
      <c r="F259" s="14">
        <f>IF(AB259&gt;0, VLOOKUP(B259,Model!$A$40:$B$60, 2), 0)</f>
        <v>300</v>
      </c>
      <c r="G259" s="13">
        <f>IF(AB259&gt;0, VLOOKUP(B259,Model!$A$39:$C$58, 3), 0)</f>
        <v>1</v>
      </c>
      <c r="H259" s="13">
        <f t="shared" si="78"/>
        <v>97</v>
      </c>
      <c r="I259" s="46">
        <f>Model!$B$21*EXP((-0.029*9.81*F259)/(8.31*(273+J259)))</f>
        <v>100357.4491247143</v>
      </c>
      <c r="J259" s="13">
        <f>IF(Model!$B$31="Summer",  IF(F259&lt;=2000,  Model!$B$20-Model!$B$35*F259/1000,  IF(F259&lt;Model!$B$36,  Model!$B$33-6.5*F259/1000,  Model!$B$38)),     IF(F259&lt;=2000,  Model!$B$20-Model!$B$35*F259/1000,  IF(F259&lt;Model!$B$36,  Model!$B$33-5.4*F259/1000,   Model!$B$38)))</f>
        <v>-19.088750000000001</v>
      </c>
      <c r="K259" s="13">
        <f t="shared" si="74"/>
        <v>253.91125</v>
      </c>
      <c r="L259" s="46">
        <f>IF(AB258-AA258*(B259-B258)&gt;0, L258-Y258*(B259-B258)*3600-AD259*Model!$B$16, 0)</f>
        <v>1032.6695730420868</v>
      </c>
      <c r="M259" s="57">
        <f t="shared" si="79"/>
        <v>40.407213122968244</v>
      </c>
      <c r="N259" s="57">
        <f>Model!$B$13*I259*K259/(Model!$B$13*I259-L259*287*K259)</f>
        <v>313.40721312296824</v>
      </c>
      <c r="O259" s="57">
        <f t="shared" si="80"/>
        <v>283.65923156148415</v>
      </c>
      <c r="P259" s="57">
        <f t="shared" si="81"/>
        <v>15.15581946259528</v>
      </c>
      <c r="Q259" s="63">
        <f t="shared" si="75"/>
        <v>2.4756805440865375E-2</v>
      </c>
      <c r="R259" s="17">
        <f t="shared" si="76"/>
        <v>1.4708560082394351E-5</v>
      </c>
      <c r="S259" s="46">
        <f>0.37*Model!$B$10*(Q259^2*(N259-K259)*I259/(R259*O259^2))^0.33333*(N259-K259)</f>
        <v>387535.86427990632</v>
      </c>
      <c r="T259" s="51">
        <f>Model!$B$32+(90-Model!$B$6)*SIN(RADIANS(-15*(E259+6)))</f>
        <v>18.830552769264365</v>
      </c>
      <c r="U259" s="46">
        <f t="shared" si="82"/>
        <v>18.830552769264365</v>
      </c>
      <c r="V259" s="51">
        <f t="shared" si="83"/>
        <v>3.09817707963369</v>
      </c>
      <c r="W259" s="46">
        <f t="shared" si="84"/>
        <v>666.67965757832724</v>
      </c>
      <c r="X259" s="46">
        <f>0.3*W259*Model!$B$9</f>
        <v>60390.93881215711</v>
      </c>
      <c r="Y259" s="17">
        <f>(S259-X259)/Model!$B$11</f>
        <v>7.0180183517697999E-3</v>
      </c>
      <c r="Z259" s="46">
        <f t="shared" si="85"/>
        <v>15.583316120785772</v>
      </c>
      <c r="AA259" s="57">
        <f>Y259/Model!$B$12*3600</f>
        <v>45.438363502308853</v>
      </c>
      <c r="AB259" s="51">
        <f t="shared" ref="AB259:AB322" si="90">IF(AB258-AA258*(B259-B258)&gt;0, AB258-AA258*(B259-B258), 0)</f>
        <v>722.39480786310855</v>
      </c>
      <c r="AC259" s="51">
        <f t="shared" si="77"/>
        <v>1077.6051921368914</v>
      </c>
      <c r="AD259" s="13">
        <f>IF(AE259=0, Model!$B$19, 0 )</f>
        <v>0</v>
      </c>
      <c r="AE259" s="51">
        <f>IF(AE258+AB258-AB259&lt;Model!$B$19*Model!$B$18, AE258+AB258-AB259,  0)</f>
        <v>171.4268977945037</v>
      </c>
      <c r="AF259" s="13">
        <f t="shared" si="86"/>
        <v>12.850000000000048</v>
      </c>
      <c r="AG259" s="50">
        <f t="shared" si="87"/>
        <v>0</v>
      </c>
    </row>
    <row r="260" spans="2:33" x14ac:dyDescent="0.25">
      <c r="B260" s="15">
        <f t="shared" si="88"/>
        <v>12.900000000000048</v>
      </c>
      <c r="C260" s="15">
        <f>B260+Model!$B$4</f>
        <v>14.900000000000048</v>
      </c>
      <c r="D260" s="15">
        <f t="shared" si="89"/>
        <v>1</v>
      </c>
      <c r="E260" s="15">
        <f t="shared" si="73"/>
        <v>14.900000000000048</v>
      </c>
      <c r="F260" s="16">
        <f>IF(AB260&gt;0, VLOOKUP(B260,Model!$A$40:$B$60, 2), 0)</f>
        <v>300</v>
      </c>
      <c r="G260" s="15">
        <f>IF(AB260&gt;0, VLOOKUP(B260,Model!$A$39:$C$58, 3), 0)</f>
        <v>1</v>
      </c>
      <c r="H260" s="15">
        <f t="shared" si="78"/>
        <v>97</v>
      </c>
      <c r="I260" s="45">
        <f>Model!$B$21*EXP((-0.029*9.81*F260)/(8.31*(273+J260)))</f>
        <v>100357.4491247143</v>
      </c>
      <c r="J260" s="15">
        <f>IF(Model!$B$31="Summer",  IF(F260&lt;=2000,  Model!$B$20-Model!$B$35*F260/1000,  IF(F260&lt;Model!$B$36,  Model!$B$33-6.5*F260/1000,  Model!$B$38)),     IF(F260&lt;=2000,  Model!$B$20-Model!$B$35*F260/1000,  IF(F260&lt;Model!$B$36,  Model!$B$33-5.4*F260/1000,   Model!$B$38)))</f>
        <v>-19.088750000000001</v>
      </c>
      <c r="K260" s="15">
        <f t="shared" si="74"/>
        <v>253.91125</v>
      </c>
      <c r="L260" s="45">
        <f>IF(AB259-AA259*(B260-B259)&gt;0, L259-Y259*(B260-B259)*3600-AD260*Model!$B$16, 0)</f>
        <v>1031.4063297387681</v>
      </c>
      <c r="M260" s="56">
        <f t="shared" si="79"/>
        <v>40.317404983292192</v>
      </c>
      <c r="N260" s="56">
        <f>Model!$B$13*I260*K260/(Model!$B$13*I260-L260*287*K260)</f>
        <v>313.31740498329219</v>
      </c>
      <c r="O260" s="56">
        <f t="shared" si="80"/>
        <v>283.61432749164612</v>
      </c>
      <c r="P260" s="56">
        <f t="shared" si="81"/>
        <v>15.058858542168277</v>
      </c>
      <c r="Q260" s="62">
        <f t="shared" si="75"/>
        <v>2.4753617251906876E-2</v>
      </c>
      <c r="R260" s="33">
        <f t="shared" si="76"/>
        <v>1.4703890059131196E-5</v>
      </c>
      <c r="S260" s="45">
        <f>0.37*Model!$B$10*(Q260^2*(N260-K260)*I260/(R260*O260^2))^0.33333*(N260-K260)</f>
        <v>386804.64517934958</v>
      </c>
      <c r="T260" s="50">
        <f>Model!$B$32+(90-Model!$B$6)*SIN(RADIANS(-15*(E260+6)))</f>
        <v>18.517367924445434</v>
      </c>
      <c r="U260" s="45">
        <f t="shared" si="82"/>
        <v>18.517367924445434</v>
      </c>
      <c r="V260" s="50">
        <f t="shared" si="83"/>
        <v>3.1486928830521776</v>
      </c>
      <c r="W260" s="45">
        <f t="shared" si="84"/>
        <v>658.58554456037348</v>
      </c>
      <c r="X260" s="45">
        <f>0.3*W260*Model!$B$9</f>
        <v>59657.73647359843</v>
      </c>
      <c r="Y260" s="33">
        <f>(S260-X260)/Model!$B$11</f>
        <v>7.0180608968304446E-3</v>
      </c>
      <c r="Z260" s="45">
        <f t="shared" si="85"/>
        <v>15.423221312643996</v>
      </c>
      <c r="AA260" s="56">
        <f>Y260/Model!$B$12*3600</f>
        <v>45.438638961538778</v>
      </c>
      <c r="AB260" s="50">
        <f t="shared" si="90"/>
        <v>720.12288968799305</v>
      </c>
      <c r="AC260" s="50">
        <f t="shared" si="77"/>
        <v>1079.8771103120071</v>
      </c>
      <c r="AD260" s="15">
        <f>IF(AE260=0, Model!$B$19, 0 )</f>
        <v>0</v>
      </c>
      <c r="AE260" s="50">
        <f>IF(AE259+AB259-AB260&lt;Model!$B$19*Model!$B$18, AE259+AB259-AB260,  0)</f>
        <v>173.6988159696192</v>
      </c>
      <c r="AF260" s="15">
        <f t="shared" si="86"/>
        <v>12.900000000000048</v>
      </c>
      <c r="AG260" s="50">
        <f t="shared" si="87"/>
        <v>0</v>
      </c>
    </row>
    <row r="261" spans="2:33" x14ac:dyDescent="0.25">
      <c r="B261" s="13">
        <f t="shared" si="88"/>
        <v>12.950000000000049</v>
      </c>
      <c r="C261" s="13">
        <f>B261+Model!$B$4</f>
        <v>14.950000000000049</v>
      </c>
      <c r="D261" s="13">
        <f t="shared" si="89"/>
        <v>1</v>
      </c>
      <c r="E261" s="13">
        <f t="shared" si="73"/>
        <v>14.950000000000049</v>
      </c>
      <c r="F261" s="14">
        <f>IF(AB261&gt;0, VLOOKUP(B261,Model!$A$40:$B$60, 2), 0)</f>
        <v>300</v>
      </c>
      <c r="G261" s="13">
        <f>IF(AB261&gt;0, VLOOKUP(B261,Model!$A$39:$C$58, 3), 0)</f>
        <v>1</v>
      </c>
      <c r="H261" s="13">
        <f t="shared" si="78"/>
        <v>97</v>
      </c>
      <c r="I261" s="46">
        <f>Model!$B$21*EXP((-0.029*9.81*F261)/(8.31*(273+J261)))</f>
        <v>100357.4491247143</v>
      </c>
      <c r="J261" s="13">
        <f>IF(Model!$B$31="Summer",  IF(F261&lt;=2000,  Model!$B$20-Model!$B$35*F261/1000,  IF(F261&lt;Model!$B$36,  Model!$B$33-6.5*F261/1000,  Model!$B$38)),     IF(F261&lt;=2000,  Model!$B$20-Model!$B$35*F261/1000,  IF(F261&lt;Model!$B$36,  Model!$B$33-5.4*F261/1000,   Model!$B$38)))</f>
        <v>-19.088750000000001</v>
      </c>
      <c r="K261" s="13">
        <f t="shared" si="74"/>
        <v>253.91125</v>
      </c>
      <c r="L261" s="46">
        <f>IF(AB260-AA260*(B261-B260)&gt;0, L260-Y260*(B261-B260)*3600-AD261*Model!$B$16, 0)</f>
        <v>1030.1430787773386</v>
      </c>
      <c r="M261" s="57">
        <f t="shared" si="79"/>
        <v>40.227647754690395</v>
      </c>
      <c r="N261" s="57">
        <f>Model!$B$13*I261*K261/(Model!$B$13*I261-L261*287*K261)</f>
        <v>313.22764775469039</v>
      </c>
      <c r="O261" s="57">
        <f t="shared" si="80"/>
        <v>283.56944887734517</v>
      </c>
      <c r="P261" s="57">
        <f t="shared" si="81"/>
        <v>14.960019174414352</v>
      </c>
      <c r="Q261" s="63">
        <f t="shared" si="75"/>
        <v>2.4750430870291506E-2</v>
      </c>
      <c r="R261" s="17">
        <f t="shared" si="76"/>
        <v>1.4699222683243897E-5</v>
      </c>
      <c r="S261" s="46">
        <f>0.37*Model!$B$10*(Q261^2*(N261-K261)*I261/(R261*O261^2))^0.33333*(N261-K261)</f>
        <v>386074.05880975211</v>
      </c>
      <c r="T261" s="51">
        <f>Model!$B$32+(90-Model!$B$6)*SIN(RADIANS(-15*(E261+6)))</f>
        <v>18.199832958878257</v>
      </c>
      <c r="U261" s="46">
        <f t="shared" si="82"/>
        <v>18.199832958878257</v>
      </c>
      <c r="V261" s="51">
        <f t="shared" si="83"/>
        <v>3.2017197184969914</v>
      </c>
      <c r="W261" s="46">
        <f t="shared" si="84"/>
        <v>650.19479463012067</v>
      </c>
      <c r="X261" s="46">
        <f>0.3*W261*Model!$B$9</f>
        <v>58897.663386222914</v>
      </c>
      <c r="Y261" s="17">
        <f>(S261-X261)/Model!$B$11</f>
        <v>7.0186934554012483E-3</v>
      </c>
      <c r="Z261" s="46">
        <f t="shared" si="85"/>
        <v>15.255535056616235</v>
      </c>
      <c r="AA261" s="57">
        <f>Y261/Model!$B$12*3600</f>
        <v>45.44273448036418</v>
      </c>
      <c r="AB261" s="51">
        <f t="shared" si="90"/>
        <v>717.85095773991611</v>
      </c>
      <c r="AC261" s="51">
        <f t="shared" si="77"/>
        <v>1082.1490422600839</v>
      </c>
      <c r="AD261" s="13">
        <f>IF(AE261=0, Model!$B$19, 0 )</f>
        <v>0</v>
      </c>
      <c r="AE261" s="51">
        <f>IF(AE260+AB260-AB261&lt;Model!$B$19*Model!$B$18, AE260+AB260-AB261,  0)</f>
        <v>175.97074791769614</v>
      </c>
      <c r="AF261" s="13">
        <f t="shared" si="86"/>
        <v>12.950000000000049</v>
      </c>
      <c r="AG261" s="50">
        <f t="shared" si="87"/>
        <v>0</v>
      </c>
    </row>
    <row r="262" spans="2:33" x14ac:dyDescent="0.25">
      <c r="B262" s="15">
        <f t="shared" si="88"/>
        <v>13.00000000000005</v>
      </c>
      <c r="C262" s="15">
        <f>B262+Model!$B$4</f>
        <v>15.00000000000005</v>
      </c>
      <c r="D262" s="15">
        <f t="shared" si="89"/>
        <v>1</v>
      </c>
      <c r="E262" s="15">
        <f t="shared" si="73"/>
        <v>15.00000000000005</v>
      </c>
      <c r="F262" s="16">
        <f>IF(AB262&gt;0, VLOOKUP(B262,Model!$A$40:$B$60, 2), 0)</f>
        <v>300</v>
      </c>
      <c r="G262" s="15">
        <f>IF(AB262&gt;0, VLOOKUP(B262,Model!$A$39:$C$58, 3), 0)</f>
        <v>1</v>
      </c>
      <c r="H262" s="15">
        <f t="shared" si="78"/>
        <v>97</v>
      </c>
      <c r="I262" s="45">
        <f>Model!$B$21*EXP((-0.029*9.81*F262)/(8.31*(273+J262)))</f>
        <v>100357.4491247143</v>
      </c>
      <c r="J262" s="15">
        <f>IF(Model!$B$31="Summer",  IF(F262&lt;=2000,  Model!$B$20-Model!$B$35*F262/1000,  IF(F262&lt;Model!$B$36,  Model!$B$33-6.5*F262/1000,  Model!$B$38)),     IF(F262&lt;=2000,  Model!$B$20-Model!$B$35*F262/1000,  IF(F262&lt;Model!$B$36,  Model!$B$33-5.4*F262/1000,   Model!$B$38)))</f>
        <v>-19.088750000000001</v>
      </c>
      <c r="K262" s="15">
        <f t="shared" si="74"/>
        <v>253.91125</v>
      </c>
      <c r="L262" s="45">
        <f>IF(AB261-AA261*(B262-B261)&gt;0, L261-Y261*(B262-B261)*3600-AD262*Model!$B$16, 0)</f>
        <v>1028.8797139553662</v>
      </c>
      <c r="M262" s="56">
        <f t="shared" si="79"/>
        <v>40.137933854415223</v>
      </c>
      <c r="N262" s="56">
        <f>Model!$B$13*I262*K262/(Model!$B$13*I262-L262*287*K262)</f>
        <v>313.13793385441522</v>
      </c>
      <c r="O262" s="56">
        <f t="shared" si="80"/>
        <v>283.52459192720761</v>
      </c>
      <c r="P262" s="56">
        <f t="shared" si="81"/>
        <v>14.859223891408416</v>
      </c>
      <c r="Q262" s="62">
        <f t="shared" si="75"/>
        <v>2.4747246026831742E-2</v>
      </c>
      <c r="R262" s="33">
        <f t="shared" si="76"/>
        <v>1.4694557560429589E-5</v>
      </c>
      <c r="S262" s="45">
        <f>0.37*Model!$B$10*(Q262^2*(N262-K262)*I262/(R262*O262^2))^0.33333*(N262-K262)</f>
        <v>385344.04353762913</v>
      </c>
      <c r="T262" s="50">
        <f>Model!$B$32+(90-Model!$B$6)*SIN(RADIANS(-15*(E262+6)))</f>
        <v>17.878002280544514</v>
      </c>
      <c r="U262" s="45">
        <f t="shared" si="82"/>
        <v>17.878002280544514</v>
      </c>
      <c r="V262" s="50">
        <f t="shared" si="83"/>
        <v>3.257421863766274</v>
      </c>
      <c r="W262" s="45">
        <f t="shared" si="84"/>
        <v>641.49582635748413</v>
      </c>
      <c r="X262" s="45">
        <f>0.3*W262*Model!$B$9</f>
        <v>58109.670450320315</v>
      </c>
      <c r="Y262" s="33">
        <f>(S262-X262)/Model!$B$11</f>
        <v>7.019937210925857E-3</v>
      </c>
      <c r="Z262" s="45">
        <f t="shared" si="85"/>
        <v>15.079945161951327</v>
      </c>
      <c r="AA262" s="56">
        <f>Y262/Model!$B$12*3600</f>
        <v>45.45078721160575</v>
      </c>
      <c r="AB262" s="50">
        <f t="shared" si="90"/>
        <v>715.57882101589792</v>
      </c>
      <c r="AC262" s="50">
        <f t="shared" si="77"/>
        <v>1084.421178984102</v>
      </c>
      <c r="AD262" s="15">
        <f>IF(AE262=0, Model!$B$19, 0 )</f>
        <v>0</v>
      </c>
      <c r="AE262" s="50">
        <f>IF(AE261+AB261-AB262&lt;Model!$B$19*Model!$B$18, AE261+AB261-AB262,  0)</f>
        <v>178.24288464171434</v>
      </c>
      <c r="AF262" s="15">
        <f t="shared" si="86"/>
        <v>13.00000000000005</v>
      </c>
      <c r="AG262" s="50">
        <f t="shared" si="87"/>
        <v>0</v>
      </c>
    </row>
    <row r="263" spans="2:33" x14ac:dyDescent="0.25">
      <c r="B263" s="13">
        <f t="shared" si="88"/>
        <v>13.05000000000005</v>
      </c>
      <c r="C263" s="13">
        <f>B263+Model!$B$4</f>
        <v>15.05000000000005</v>
      </c>
      <c r="D263" s="13">
        <f t="shared" si="89"/>
        <v>1</v>
      </c>
      <c r="E263" s="13">
        <f t="shared" si="73"/>
        <v>15.05000000000005</v>
      </c>
      <c r="F263" s="14">
        <f>IF(AB263&gt;0, VLOOKUP(B263,Model!$A$40:$B$60, 2), 0)</f>
        <v>300</v>
      </c>
      <c r="G263" s="13">
        <f>IF(AB263&gt;0, VLOOKUP(B263,Model!$A$39:$C$58, 3), 0)</f>
        <v>1</v>
      </c>
      <c r="H263" s="13">
        <f t="shared" si="78"/>
        <v>97</v>
      </c>
      <c r="I263" s="46">
        <f>Model!$B$21*EXP((-0.029*9.81*F263)/(8.31*(273+J263)))</f>
        <v>100357.4491247143</v>
      </c>
      <c r="J263" s="13">
        <f>IF(Model!$B$31="Summer",  IF(F263&lt;=2000,  Model!$B$20-Model!$B$35*F263/1000,  IF(F263&lt;Model!$B$36,  Model!$B$33-6.5*F263/1000,  Model!$B$38)),     IF(F263&lt;=2000,  Model!$B$20-Model!$B$35*F263/1000,  IF(F263&lt;Model!$B$36,  Model!$B$33-5.4*F263/1000,   Model!$B$38)))</f>
        <v>-19.088750000000001</v>
      </c>
      <c r="K263" s="13">
        <f t="shared" si="74"/>
        <v>253.91125</v>
      </c>
      <c r="L263" s="46">
        <f>IF(AB262-AA262*(B263-B262)&gt;0, L262-Y262*(B263-B262)*3600-AD263*Model!$B$16, 0)</f>
        <v>1027.6161252573995</v>
      </c>
      <c r="M263" s="57">
        <f t="shared" si="79"/>
        <v>40.048255446499979</v>
      </c>
      <c r="N263" s="57">
        <f>Model!$B$13*I263*K263/(Model!$B$13*I263-L263*287*K263)</f>
        <v>313.04825544649998</v>
      </c>
      <c r="O263" s="57">
        <f t="shared" si="80"/>
        <v>283.47975272324999</v>
      </c>
      <c r="P263" s="57">
        <f t="shared" si="81"/>
        <v>14.756391565633216</v>
      </c>
      <c r="Q263" s="63">
        <f t="shared" si="75"/>
        <v>2.4744062443350749E-2</v>
      </c>
      <c r="R263" s="17">
        <f t="shared" si="76"/>
        <v>1.4689894283217999E-5</v>
      </c>
      <c r="S263" s="46">
        <f>0.37*Model!$B$10*(Q263^2*(N263-K263)*I263/(R263*O263^2))^0.33333*(N263-K263)</f>
        <v>384614.53574390878</v>
      </c>
      <c r="T263" s="51">
        <f>Model!$B$32+(90-Model!$B$6)*SIN(RADIANS(-15*(E263+6)))</f>
        <v>17.551931033474151</v>
      </c>
      <c r="U263" s="46">
        <f t="shared" si="82"/>
        <v>17.551931033474151</v>
      </c>
      <c r="V263" s="51">
        <f t="shared" si="83"/>
        <v>3.3159786733069585</v>
      </c>
      <c r="W263" s="46">
        <f t="shared" si="84"/>
        <v>632.4765096461316</v>
      </c>
      <c r="X263" s="46">
        <f>0.3*W263*Model!$B$9</f>
        <v>57292.658865444173</v>
      </c>
      <c r="Y263" s="17">
        <f>(S263-X263)/Model!$B$11</f>
        <v>7.0218143704486669E-3</v>
      </c>
      <c r="Z263" s="46">
        <f t="shared" si="85"/>
        <v>14.896124181742273</v>
      </c>
      <c r="AA263" s="57">
        <f>Y263/Model!$B$12*3600</f>
        <v>45.462940935416931</v>
      </c>
      <c r="AB263" s="51">
        <f t="shared" si="90"/>
        <v>713.30628165531755</v>
      </c>
      <c r="AC263" s="51">
        <f t="shared" si="77"/>
        <v>1086.6937183446826</v>
      </c>
      <c r="AD263" s="13">
        <f>IF(AE263=0, Model!$B$19, 0 )</f>
        <v>0</v>
      </c>
      <c r="AE263" s="51">
        <f>IF(AE262+AB262-AB263&lt;Model!$B$19*Model!$B$18, AE262+AB262-AB263,  0)</f>
        <v>180.51542400229471</v>
      </c>
      <c r="AF263" s="13">
        <f t="shared" si="86"/>
        <v>13.05000000000005</v>
      </c>
      <c r="AG263" s="50">
        <f t="shared" si="87"/>
        <v>0</v>
      </c>
    </row>
    <row r="264" spans="2:33" x14ac:dyDescent="0.25">
      <c r="B264" s="15">
        <f t="shared" si="88"/>
        <v>13.100000000000051</v>
      </c>
      <c r="C264" s="15">
        <f>B264+Model!$B$4</f>
        <v>15.100000000000051</v>
      </c>
      <c r="D264" s="15">
        <f t="shared" si="89"/>
        <v>1</v>
      </c>
      <c r="E264" s="15">
        <f t="shared" si="73"/>
        <v>15.100000000000051</v>
      </c>
      <c r="F264" s="16">
        <f>IF(AB264&gt;0, VLOOKUP(B264,Model!$A$40:$B$60, 2), 0)</f>
        <v>300</v>
      </c>
      <c r="G264" s="15">
        <f>IF(AB264&gt;0, VLOOKUP(B264,Model!$A$39:$C$58, 3), 0)</f>
        <v>1</v>
      </c>
      <c r="H264" s="15">
        <f t="shared" si="78"/>
        <v>97</v>
      </c>
      <c r="I264" s="45">
        <f>Model!$B$21*EXP((-0.029*9.81*F264)/(8.31*(273+J264)))</f>
        <v>100357.4491247143</v>
      </c>
      <c r="J264" s="15">
        <f>IF(Model!$B$31="Summer",  IF(F264&lt;=2000,  Model!$B$20-Model!$B$35*F264/1000,  IF(F264&lt;Model!$B$36,  Model!$B$33-6.5*F264/1000,  Model!$B$38)),     IF(F264&lt;=2000,  Model!$B$20-Model!$B$35*F264/1000,  IF(F264&lt;Model!$B$36,  Model!$B$33-5.4*F264/1000,   Model!$B$38)))</f>
        <v>-19.088750000000001</v>
      </c>
      <c r="K264" s="15">
        <f t="shared" si="74"/>
        <v>253.91125</v>
      </c>
      <c r="L264" s="45">
        <f>IF(AB263-AA263*(B264-B263)&gt;0, L263-Y263*(B264-B263)*3600-AD264*Model!$B$16, 0)</f>
        <v>1026.3521986707187</v>
      </c>
      <c r="M264" s="56">
        <f t="shared" si="79"/>
        <v>39.958604429436775</v>
      </c>
      <c r="N264" s="56">
        <f>Model!$B$13*I264*K264/(Model!$B$13*I264-L264*287*K264)</f>
        <v>312.95860442943678</v>
      </c>
      <c r="O264" s="56">
        <f t="shared" si="80"/>
        <v>283.43492721471841</v>
      </c>
      <c r="P264" s="56">
        <f t="shared" si="81"/>
        <v>14.651437279025931</v>
      </c>
      <c r="Q264" s="62">
        <f t="shared" si="75"/>
        <v>2.4740879832245009E-2</v>
      </c>
      <c r="R264" s="33">
        <f t="shared" si="76"/>
        <v>1.4685232430330714E-5</v>
      </c>
      <c r="S264" s="45">
        <f>0.37*Model!$B$10*(Q264^2*(N264-K264)*I264/(R264*O264^2))^0.33333*(N264-K264)</f>
        <v>383885.4697271217</v>
      </c>
      <c r="T264" s="50">
        <f>Model!$B$32+(90-Model!$B$6)*SIN(RADIANS(-15*(E264+6)))</f>
        <v>17.221675088296706</v>
      </c>
      <c r="U264" s="45">
        <f t="shared" si="82"/>
        <v>17.221675088296706</v>
      </c>
      <c r="V264" s="50">
        <f t="shared" si="83"/>
        <v>3.377586331388672</v>
      </c>
      <c r="W264" s="45">
        <f t="shared" si="84"/>
        <v>623.12414845768205</v>
      </c>
      <c r="X264" s="45">
        <f>0.3*W264*Model!$B$9</f>
        <v>56445.478565489553</v>
      </c>
      <c r="Y264" s="33">
        <f>(S264-X264)/Model!$B$11</f>
        <v>7.0243481961092379E-3</v>
      </c>
      <c r="Z264" s="45">
        <f t="shared" si="85"/>
        <v>14.703728850589954</v>
      </c>
      <c r="AA264" s="56">
        <f>Y264/Model!$B$12*3600</f>
        <v>45.47934626319546</v>
      </c>
      <c r="AB264" s="50">
        <f t="shared" si="90"/>
        <v>711.03313460854667</v>
      </c>
      <c r="AC264" s="50">
        <f t="shared" si="77"/>
        <v>1088.9668653914532</v>
      </c>
      <c r="AD264" s="15">
        <f>IF(AE264=0, Model!$B$19, 0 )</f>
        <v>0</v>
      </c>
      <c r="AE264" s="50">
        <f>IF(AE263+AB263-AB264&lt;Model!$B$19*Model!$B$18, AE263+AB263-AB264,  0)</f>
        <v>182.78857104906558</v>
      </c>
      <c r="AF264" s="15">
        <f t="shared" si="86"/>
        <v>13.100000000000051</v>
      </c>
      <c r="AG264" s="50">
        <f t="shared" si="87"/>
        <v>0</v>
      </c>
    </row>
    <row r="265" spans="2:33" x14ac:dyDescent="0.25">
      <c r="B265" s="13">
        <f t="shared" si="88"/>
        <v>13.150000000000052</v>
      </c>
      <c r="C265" s="13">
        <f>B265+Model!$B$4</f>
        <v>15.150000000000052</v>
      </c>
      <c r="D265" s="13">
        <f t="shared" si="89"/>
        <v>1</v>
      </c>
      <c r="E265" s="13">
        <f t="shared" si="73"/>
        <v>15.150000000000052</v>
      </c>
      <c r="F265" s="14">
        <f>IF(AB265&gt;0, VLOOKUP(B265,Model!$A$40:$B$60, 2), 0)</f>
        <v>300</v>
      </c>
      <c r="G265" s="13">
        <f>IF(AB265&gt;0, VLOOKUP(B265,Model!$A$39:$C$58, 3), 0)</f>
        <v>1</v>
      </c>
      <c r="H265" s="13">
        <f t="shared" si="78"/>
        <v>97</v>
      </c>
      <c r="I265" s="46">
        <f>Model!$B$21*EXP((-0.029*9.81*F265)/(8.31*(273+J265)))</f>
        <v>100357.4491247143</v>
      </c>
      <c r="J265" s="13">
        <f>IF(Model!$B$31="Summer",  IF(F265&lt;=2000,  Model!$B$20-Model!$B$35*F265/1000,  IF(F265&lt;Model!$B$36,  Model!$B$33-6.5*F265/1000,  Model!$B$38)),     IF(F265&lt;=2000,  Model!$B$20-Model!$B$35*F265/1000,  IF(F265&lt;Model!$B$36,  Model!$B$33-5.4*F265/1000,   Model!$B$38)))</f>
        <v>-19.088750000000001</v>
      </c>
      <c r="K265" s="13">
        <f t="shared" si="74"/>
        <v>253.91125</v>
      </c>
      <c r="L265" s="46">
        <f>IF(AB264-AA264*(B265-B264)&gt;0, L264-Y264*(B265-B264)*3600-AD265*Model!$B$16, 0)</f>
        <v>1025.0878159954191</v>
      </c>
      <c r="M265" s="57">
        <f t="shared" si="79"/>
        <v>39.868972423500622</v>
      </c>
      <c r="N265" s="57">
        <f>Model!$B$13*I265*K265/(Model!$B$13*I265-L265*287*K265)</f>
        <v>312.86897242350062</v>
      </c>
      <c r="O265" s="57">
        <f t="shared" si="80"/>
        <v>283.39011121175031</v>
      </c>
      <c r="P265" s="57">
        <f t="shared" si="81"/>
        <v>14.544272201468191</v>
      </c>
      <c r="Q265" s="63">
        <f t="shared" si="75"/>
        <v>2.4737697896034274E-2</v>
      </c>
      <c r="R265" s="17">
        <f t="shared" si="76"/>
        <v>1.4680571566022031E-5</v>
      </c>
      <c r="S265" s="46">
        <f>0.37*Model!$B$10*(Q265^2*(N265-K265)*I265/(R265*O265^2))^0.33333*(N265-K265)</f>
        <v>383156.77760392457</v>
      </c>
      <c r="T265" s="51">
        <f>Model!$B$32+(90-Model!$B$6)*SIN(RADIANS(-15*(E265+6)))</f>
        <v>16.887291032668273</v>
      </c>
      <c r="U265" s="46">
        <f t="shared" si="82"/>
        <v>16.887291032668273</v>
      </c>
      <c r="V265" s="51">
        <f t="shared" si="83"/>
        <v>3.4424598564520337</v>
      </c>
      <c r="W265" s="46">
        <f t="shared" si="84"/>
        <v>613.42546567642387</v>
      </c>
      <c r="X265" s="46">
        <f>0.3*W265*Model!$B$9</f>
        <v>55566.926847668954</v>
      </c>
      <c r="Y265" s="17">
        <f>(S265-X265)/Model!$B$11</f>
        <v>7.0275630324199423E-3</v>
      </c>
      <c r="Z265" s="46">
        <f t="shared" si="85"/>
        <v>14.502399564783216</v>
      </c>
      <c r="AA265" s="57">
        <f>Y265/Model!$B$12*3600</f>
        <v>45.500160814193237</v>
      </c>
      <c r="AB265" s="51">
        <f t="shared" si="90"/>
        <v>708.75916729538687</v>
      </c>
      <c r="AC265" s="51">
        <f t="shared" si="77"/>
        <v>1091.2408327046132</v>
      </c>
      <c r="AD265" s="13">
        <f>IF(AE265=0, Model!$B$19, 0 )</f>
        <v>0</v>
      </c>
      <c r="AE265" s="51">
        <f>IF(AE264+AB264-AB265&lt;Model!$B$19*Model!$B$18, AE264+AB264-AB265,  0)</f>
        <v>185.06253836222538</v>
      </c>
      <c r="AF265" s="13">
        <f t="shared" si="86"/>
        <v>13.150000000000052</v>
      </c>
      <c r="AG265" s="50">
        <f t="shared" si="87"/>
        <v>0</v>
      </c>
    </row>
    <row r="266" spans="2:33" x14ac:dyDescent="0.25">
      <c r="B266" s="15">
        <f t="shared" si="88"/>
        <v>13.200000000000053</v>
      </c>
      <c r="C266" s="15">
        <f>B266+Model!$B$4</f>
        <v>15.200000000000053</v>
      </c>
      <c r="D266" s="15">
        <f t="shared" si="89"/>
        <v>1</v>
      </c>
      <c r="E266" s="15">
        <f t="shared" si="73"/>
        <v>15.200000000000053</v>
      </c>
      <c r="F266" s="16">
        <f>IF(AB266&gt;0, VLOOKUP(B266,Model!$A$40:$B$60, 2), 0)</f>
        <v>300</v>
      </c>
      <c r="G266" s="15">
        <f>IF(AB266&gt;0, VLOOKUP(B266,Model!$A$39:$C$58, 3), 0)</f>
        <v>1</v>
      </c>
      <c r="H266" s="15">
        <f t="shared" si="78"/>
        <v>97</v>
      </c>
      <c r="I266" s="45">
        <f>Model!$B$21*EXP((-0.029*9.81*F266)/(8.31*(273+J266)))</f>
        <v>100357.4491247143</v>
      </c>
      <c r="J266" s="15">
        <f>IF(Model!$B$31="Summer",  IF(F266&lt;=2000,  Model!$B$20-Model!$B$35*F266/1000,  IF(F266&lt;Model!$B$36,  Model!$B$33-6.5*F266/1000,  Model!$B$38)),     IF(F266&lt;=2000,  Model!$B$20-Model!$B$35*F266/1000,  IF(F266&lt;Model!$B$36,  Model!$B$33-5.4*F266/1000,   Model!$B$38)))</f>
        <v>-19.088750000000001</v>
      </c>
      <c r="K266" s="15">
        <f t="shared" si="74"/>
        <v>253.91125</v>
      </c>
      <c r="L266" s="45">
        <f>IF(AB265-AA265*(B266-B265)&gt;0, L265-Y265*(B266-B265)*3600-AD266*Model!$B$16, 0)</f>
        <v>1023.8228546495835</v>
      </c>
      <c r="M266" s="56">
        <f t="shared" si="79"/>
        <v>39.779350757774353</v>
      </c>
      <c r="N266" s="56">
        <f>Model!$B$13*I266*K266/(Model!$B$13*I266-L266*287*K266)</f>
        <v>312.77935075777435</v>
      </c>
      <c r="O266" s="56">
        <f t="shared" si="80"/>
        <v>283.34530037888715</v>
      </c>
      <c r="P266" s="56">
        <f t="shared" si="81"/>
        <v>14.434803483396667</v>
      </c>
      <c r="Q266" s="62">
        <f t="shared" si="75"/>
        <v>2.4734516326900987E-2</v>
      </c>
      <c r="R266" s="33">
        <f t="shared" si="76"/>
        <v>1.4675911239404262E-5</v>
      </c>
      <c r="S266" s="45">
        <f>0.37*Model!$B$10*(Q266^2*(N266-K266)*I266/(R266*O266^2))^0.33333*(N266-K266)</f>
        <v>382428.38920741726</v>
      </c>
      <c r="T266" s="50">
        <f>Model!$B$32+(90-Model!$B$6)*SIN(RADIANS(-15*(E266+6)))</f>
        <v>16.548836161575366</v>
      </c>
      <c r="U266" s="45">
        <f t="shared" si="82"/>
        <v>16.548836161575366</v>
      </c>
      <c r="V266" s="50">
        <f t="shared" si="83"/>
        <v>3.5108353996079651</v>
      </c>
      <c r="W266" s="45">
        <f t="shared" si="84"/>
        <v>603.36659100065242</v>
      </c>
      <c r="X266" s="45">
        <f>0.3*W266*Model!$B$9</f>
        <v>54655.747275653441</v>
      </c>
      <c r="Y266" s="33">
        <f>(S266-X266)/Model!$B$11</f>
        <v>7.0314843276147992E-3</v>
      </c>
      <c r="Z266" s="45">
        <f t="shared" si="85"/>
        <v>14.291759926329597</v>
      </c>
      <c r="AA266" s="56">
        <f>Y266/Model!$B$12*3600</f>
        <v>45.52554935373999</v>
      </c>
      <c r="AB266" s="50">
        <f t="shared" si="90"/>
        <v>706.48415925467714</v>
      </c>
      <c r="AC266" s="50">
        <f t="shared" si="77"/>
        <v>1093.5158407453227</v>
      </c>
      <c r="AD266" s="15">
        <f>IF(AE266=0, Model!$B$19, 0 )</f>
        <v>0</v>
      </c>
      <c r="AE266" s="50">
        <f>IF(AE265+AB265-AB266&lt;Model!$B$19*Model!$B$18, AE265+AB265-AB266,  0)</f>
        <v>187.33754640293512</v>
      </c>
      <c r="AF266" s="15">
        <f t="shared" si="86"/>
        <v>13.200000000000053</v>
      </c>
      <c r="AG266" s="50">
        <f t="shared" si="87"/>
        <v>0</v>
      </c>
    </row>
    <row r="267" spans="2:33" x14ac:dyDescent="0.25">
      <c r="B267" s="13">
        <f t="shared" si="88"/>
        <v>13.250000000000053</v>
      </c>
      <c r="C267" s="13">
        <f>B267+Model!$B$4</f>
        <v>15.250000000000053</v>
      </c>
      <c r="D267" s="13">
        <f t="shared" si="89"/>
        <v>1</v>
      </c>
      <c r="E267" s="13">
        <f t="shared" si="73"/>
        <v>15.250000000000053</v>
      </c>
      <c r="F267" s="14">
        <f>IF(AB267&gt;0, VLOOKUP(B267,Model!$A$40:$B$60, 2), 0)</f>
        <v>300</v>
      </c>
      <c r="G267" s="13">
        <f>IF(AB267&gt;0, VLOOKUP(B267,Model!$A$39:$C$58, 3), 0)</f>
        <v>1</v>
      </c>
      <c r="H267" s="13">
        <f t="shared" si="78"/>
        <v>97</v>
      </c>
      <c r="I267" s="46">
        <f>Model!$B$21*EXP((-0.029*9.81*F267)/(8.31*(273+J267)))</f>
        <v>100357.4491247143</v>
      </c>
      <c r="J267" s="13">
        <f>IF(Model!$B$31="Summer",  IF(F267&lt;=2000,  Model!$B$20-Model!$B$35*F267/1000,  IF(F267&lt;Model!$B$36,  Model!$B$33-6.5*F267/1000,  Model!$B$38)),     IF(F267&lt;=2000,  Model!$B$20-Model!$B$35*F267/1000,  IF(F267&lt;Model!$B$36,  Model!$B$33-5.4*F267/1000,   Model!$B$38)))</f>
        <v>-19.088750000000001</v>
      </c>
      <c r="K267" s="13">
        <f t="shared" si="74"/>
        <v>253.91125</v>
      </c>
      <c r="L267" s="46">
        <f>IF(AB266-AA266*(B267-B266)&gt;0, L266-Y266*(B267-B266)*3600-AD267*Model!$B$16, 0)</f>
        <v>1022.5571874706128</v>
      </c>
      <c r="M267" s="57">
        <f t="shared" si="79"/>
        <v>39.689730456952645</v>
      </c>
      <c r="N267" s="57">
        <f>Model!$B$13*I267*K267/(Model!$B$13*I267-L267*287*K267)</f>
        <v>312.68973045695265</v>
      </c>
      <c r="O267" s="57">
        <f t="shared" si="80"/>
        <v>283.30049022847629</v>
      </c>
      <c r="P267" s="57">
        <f t="shared" si="81"/>
        <v>14.322934168480671</v>
      </c>
      <c r="Q267" s="63">
        <f t="shared" si="75"/>
        <v>2.4731334806221816E-2</v>
      </c>
      <c r="R267" s="17">
        <f t="shared" si="76"/>
        <v>1.4671250983761532E-5</v>
      </c>
      <c r="S267" s="46">
        <f>0.37*Model!$B$10*(Q267^2*(N267-K267)*I267/(R267*O267^2))^0.33333*(N267-K267)</f>
        <v>381700.23198389838</v>
      </c>
      <c r="T267" s="51">
        <f>Model!$B$32+(90-Model!$B$6)*SIN(RADIANS(-15*(E267+6)))</f>
        <v>16.206368467517734</v>
      </c>
      <c r="U267" s="46">
        <f t="shared" si="82"/>
        <v>16.206368467517734</v>
      </c>
      <c r="V267" s="51">
        <f t="shared" si="83"/>
        <v>3.5829728888804269</v>
      </c>
      <c r="W267" s="46">
        <f t="shared" si="84"/>
        <v>592.93305298310997</v>
      </c>
      <c r="X267" s="46">
        <f>0.3*W267*Model!$B$9</f>
        <v>53710.628958558707</v>
      </c>
      <c r="Y267" s="17">
        <f>(S267-X267)/Model!$B$11</f>
        <v>7.0361386469020631E-3</v>
      </c>
      <c r="Z267" s="46">
        <f t="shared" si="85"/>
        <v>14.071416378081855</v>
      </c>
      <c r="AA267" s="57">
        <f>Y267/Model!$B$12*3600</f>
        <v>45.555683879047578</v>
      </c>
      <c r="AB267" s="51">
        <f t="shared" si="90"/>
        <v>704.20788178699013</v>
      </c>
      <c r="AC267" s="51">
        <f t="shared" si="77"/>
        <v>1095.7921182130099</v>
      </c>
      <c r="AD267" s="13">
        <f>IF(AE267=0, Model!$B$19, 0 )</f>
        <v>0</v>
      </c>
      <c r="AE267" s="51">
        <f>IF(AE266+AB266-AB267&lt;Model!$B$19*Model!$B$18, AE266+AB266-AB267,  0)</f>
        <v>189.61382387062213</v>
      </c>
      <c r="AF267" s="13">
        <f t="shared" si="86"/>
        <v>13.250000000000053</v>
      </c>
      <c r="AG267" s="50">
        <f t="shared" si="87"/>
        <v>0</v>
      </c>
    </row>
    <row r="268" spans="2:33" x14ac:dyDescent="0.25">
      <c r="B268" s="15">
        <f t="shared" si="88"/>
        <v>13.300000000000054</v>
      </c>
      <c r="C268" s="15">
        <f>B268+Model!$B$4</f>
        <v>15.300000000000054</v>
      </c>
      <c r="D268" s="15">
        <f t="shared" si="89"/>
        <v>1</v>
      </c>
      <c r="E268" s="15">
        <f t="shared" si="73"/>
        <v>15.300000000000054</v>
      </c>
      <c r="F268" s="16">
        <f>IF(AB268&gt;0, VLOOKUP(B268,Model!$A$40:$B$60, 2), 0)</f>
        <v>300</v>
      </c>
      <c r="G268" s="15">
        <f>IF(AB268&gt;0, VLOOKUP(B268,Model!$A$39:$C$58, 3), 0)</f>
        <v>1</v>
      </c>
      <c r="H268" s="15">
        <f t="shared" si="78"/>
        <v>97</v>
      </c>
      <c r="I268" s="45">
        <f>Model!$B$21*EXP((-0.029*9.81*F268)/(8.31*(273+J268)))</f>
        <v>100357.4491247143</v>
      </c>
      <c r="J268" s="15">
        <f>IF(Model!$B$31="Summer",  IF(F268&lt;=2000,  Model!$B$20-Model!$B$35*F268/1000,  IF(F268&lt;Model!$B$36,  Model!$B$33-6.5*F268/1000,  Model!$B$38)),     IF(F268&lt;=2000,  Model!$B$20-Model!$B$35*F268/1000,  IF(F268&lt;Model!$B$36,  Model!$B$33-5.4*F268/1000,   Model!$B$38)))</f>
        <v>-19.088750000000001</v>
      </c>
      <c r="K268" s="15">
        <f t="shared" si="74"/>
        <v>253.91125</v>
      </c>
      <c r="L268" s="45">
        <f>IF(AB267-AA267*(B268-B267)&gt;0, L267-Y267*(B268-B267)*3600-AD268*Model!$B$16, 0)</f>
        <v>1021.2906825141704</v>
      </c>
      <c r="M268" s="56">
        <f t="shared" si="79"/>
        <v>39.600102228029698</v>
      </c>
      <c r="N268" s="56">
        <f>Model!$B$13*I268*K268/(Model!$B$13*I268-L268*287*K268)</f>
        <v>312.6001022280297</v>
      </c>
      <c r="O268" s="56">
        <f t="shared" si="80"/>
        <v>283.25567611401482</v>
      </c>
      <c r="P268" s="56">
        <f t="shared" si="81"/>
        <v>14.208563133902249</v>
      </c>
      <c r="Q268" s="62">
        <f t="shared" si="75"/>
        <v>2.4728153004095053E-2</v>
      </c>
      <c r="R268" s="33">
        <f t="shared" si="76"/>
        <v>1.466659031585754E-5</v>
      </c>
      <c r="S268" s="45">
        <f>0.37*Model!$B$10*(Q268^2*(N268-K268)*I268/(R268*O268^2))^0.33333*(N268-K268)</f>
        <v>380972.23088891001</v>
      </c>
      <c r="T268" s="50">
        <f>Model!$B$32+(90-Model!$B$6)*SIN(RADIANS(-15*(E268+6)))</f>
        <v>15.859946630571745</v>
      </c>
      <c r="U268" s="45">
        <f t="shared" si="82"/>
        <v>15.859946630571745</v>
      </c>
      <c r="V268" s="50">
        <f t="shared" si="83"/>
        <v>3.6591590813942174</v>
      </c>
      <c r="W268" s="45">
        <f t="shared" si="84"/>
        <v>582.10977663924268</v>
      </c>
      <c r="X268" s="45">
        <f>0.3*W268*Model!$B$9</f>
        <v>52730.206334289927</v>
      </c>
      <c r="Y268" s="33">
        <f>(S268-X268)/Model!$B$11</f>
        <v>7.0415536748819072E-3</v>
      </c>
      <c r="Z268" s="45">
        <f t="shared" si="85"/>
        <v>13.84095796464122</v>
      </c>
      <c r="AA268" s="56">
        <f>Y268/Model!$B$12*3600</f>
        <v>45.590743634863301</v>
      </c>
      <c r="AB268" s="50">
        <f t="shared" si="90"/>
        <v>701.93009759303777</v>
      </c>
      <c r="AC268" s="50">
        <f t="shared" si="77"/>
        <v>1098.0699024069622</v>
      </c>
      <c r="AD268" s="15">
        <f>IF(AE268=0, Model!$B$19, 0 )</f>
        <v>0</v>
      </c>
      <c r="AE268" s="50">
        <f>IF(AE267+AB267-AB268&lt;Model!$B$19*Model!$B$18, AE267+AB267-AB268,  0)</f>
        <v>191.89160806457448</v>
      </c>
      <c r="AF268" s="15">
        <f t="shared" si="86"/>
        <v>13.300000000000054</v>
      </c>
      <c r="AG268" s="50">
        <f t="shared" si="87"/>
        <v>0</v>
      </c>
    </row>
    <row r="269" spans="2:33" x14ac:dyDescent="0.25">
      <c r="B269" s="13">
        <f t="shared" si="88"/>
        <v>13.350000000000055</v>
      </c>
      <c r="C269" s="13">
        <f>B269+Model!$B$4</f>
        <v>15.350000000000055</v>
      </c>
      <c r="D269" s="13">
        <f t="shared" si="89"/>
        <v>1</v>
      </c>
      <c r="E269" s="13">
        <f t="shared" si="73"/>
        <v>15.350000000000055</v>
      </c>
      <c r="F269" s="14">
        <f>IF(AB269&gt;0, VLOOKUP(B269,Model!$A$40:$B$60, 2), 0)</f>
        <v>300</v>
      </c>
      <c r="G269" s="13">
        <f>IF(AB269&gt;0, VLOOKUP(B269,Model!$A$39:$C$58, 3), 0)</f>
        <v>1</v>
      </c>
      <c r="H269" s="13">
        <f t="shared" si="78"/>
        <v>97</v>
      </c>
      <c r="I269" s="46">
        <f>Model!$B$21*EXP((-0.029*9.81*F269)/(8.31*(273+J269)))</f>
        <v>100357.4491247143</v>
      </c>
      <c r="J269" s="13">
        <f>IF(Model!$B$31="Summer",  IF(F269&lt;=2000,  Model!$B$20-Model!$B$35*F269/1000,  IF(F269&lt;Model!$B$36,  Model!$B$33-6.5*F269/1000,  Model!$B$38)),     IF(F269&lt;=2000,  Model!$B$20-Model!$B$35*F269/1000,  IF(F269&lt;Model!$B$36,  Model!$B$33-5.4*F269/1000,   Model!$B$38)))</f>
        <v>-19.088750000000001</v>
      </c>
      <c r="K269" s="13">
        <f t="shared" si="74"/>
        <v>253.91125</v>
      </c>
      <c r="L269" s="46">
        <f>IF(AB268-AA268*(B269-B268)&gt;0, L268-Y268*(B269-B268)*3600-AD269*Model!$B$16, 0)</f>
        <v>1020.0232028526916</v>
      </c>
      <c r="M269" s="57">
        <f t="shared" si="79"/>
        <v>39.510456447008949</v>
      </c>
      <c r="N269" s="57">
        <f>Model!$B$13*I269*K269/(Model!$B$13*I269-L269*287*K269)</f>
        <v>312.51045644700895</v>
      </c>
      <c r="O269" s="57">
        <f t="shared" si="80"/>
        <v>283.2108532235045</v>
      </c>
      <c r="P269" s="57">
        <f t="shared" si="81"/>
        <v>14.091585067766092</v>
      </c>
      <c r="Q269" s="63">
        <f t="shared" si="75"/>
        <v>2.472497057886882E-2</v>
      </c>
      <c r="R269" s="17">
        <f t="shared" si="76"/>
        <v>1.4661928735244467E-5</v>
      </c>
      <c r="S269" s="46">
        <f>0.37*Model!$B$10*(Q269^2*(N269-K269)*I269/(R269*O269^2))^0.33333*(N269-K269)</f>
        <v>380244.30828371149</v>
      </c>
      <c r="T269" s="51">
        <f>Model!$B$32+(90-Model!$B$6)*SIN(RADIANS(-15*(E269+6)))</f>
        <v>15.509630008335776</v>
      </c>
      <c r="U269" s="46">
        <f t="shared" si="82"/>
        <v>15.509630008335776</v>
      </c>
      <c r="V269" s="51">
        <f t="shared" si="83"/>
        <v>3.7397110988375619</v>
      </c>
      <c r="W269" s="46">
        <f t="shared" si="84"/>
        <v>570.88108841363828</v>
      </c>
      <c r="X269" s="46">
        <f>0.3*W269*Model!$B$9</f>
        <v>51713.059619424705</v>
      </c>
      <c r="Y269" s="17">
        <f>(S269-X269)/Model!$B$11</f>
        <v>7.0477582036744995E-3</v>
      </c>
      <c r="Z269" s="46">
        <f t="shared" si="85"/>
        <v>13.59995626307707</v>
      </c>
      <c r="AA269" s="57">
        <f>Y269/Model!$B$12*3600</f>
        <v>45.630915036604826</v>
      </c>
      <c r="AB269" s="51">
        <f t="shared" si="90"/>
        <v>699.65056041129458</v>
      </c>
      <c r="AC269" s="51">
        <f t="shared" si="77"/>
        <v>1100.3494395887055</v>
      </c>
      <c r="AD269" s="13">
        <f>IF(AE269=0, Model!$B$19, 0 )</f>
        <v>0</v>
      </c>
      <c r="AE269" s="51">
        <f>IF(AE268+AB268-AB269&lt;Model!$B$19*Model!$B$18, AE268+AB268-AB269,  0)</f>
        <v>194.17114524631768</v>
      </c>
      <c r="AF269" s="13">
        <f t="shared" si="86"/>
        <v>13.350000000000055</v>
      </c>
      <c r="AG269" s="50">
        <f t="shared" si="87"/>
        <v>0</v>
      </c>
    </row>
    <row r="270" spans="2:33" x14ac:dyDescent="0.25">
      <c r="B270" s="15">
        <f t="shared" si="88"/>
        <v>13.400000000000055</v>
      </c>
      <c r="C270" s="15">
        <f>B270+Model!$B$4</f>
        <v>15.400000000000055</v>
      </c>
      <c r="D270" s="15">
        <f t="shared" si="89"/>
        <v>1</v>
      </c>
      <c r="E270" s="15">
        <f t="shared" si="73"/>
        <v>15.400000000000055</v>
      </c>
      <c r="F270" s="16">
        <f>IF(AB270&gt;0, VLOOKUP(B270,Model!$A$40:$B$60, 2), 0)</f>
        <v>300</v>
      </c>
      <c r="G270" s="15">
        <f>IF(AB270&gt;0, VLOOKUP(B270,Model!$A$39:$C$58, 3), 0)</f>
        <v>1</v>
      </c>
      <c r="H270" s="15">
        <f t="shared" si="78"/>
        <v>97</v>
      </c>
      <c r="I270" s="45">
        <f>Model!$B$21*EXP((-0.029*9.81*F270)/(8.31*(273+J270)))</f>
        <v>100357.4491247143</v>
      </c>
      <c r="J270" s="15">
        <f>IF(Model!$B$31="Summer",  IF(F270&lt;=2000,  Model!$B$20-Model!$B$35*F270/1000,  IF(F270&lt;Model!$B$36,  Model!$B$33-6.5*F270/1000,  Model!$B$38)),     IF(F270&lt;=2000,  Model!$B$20-Model!$B$35*F270/1000,  IF(F270&lt;Model!$B$36,  Model!$B$33-5.4*F270/1000,   Model!$B$38)))</f>
        <v>-19.088750000000001</v>
      </c>
      <c r="K270" s="15">
        <f t="shared" si="74"/>
        <v>253.91125</v>
      </c>
      <c r="L270" s="45">
        <f>IF(AB269-AA269*(B270-B269)&gt;0, L269-Y269*(B270-B269)*3600-AD270*Model!$B$16, 0)</f>
        <v>1018.7546063760302</v>
      </c>
      <c r="M270" s="56">
        <f t="shared" si="79"/>
        <v>39.420783145818746</v>
      </c>
      <c r="N270" s="56">
        <f>Model!$B$13*I270*K270/(Model!$B$13*I270-L270*287*K270)</f>
        <v>312.42078314581875</v>
      </c>
      <c r="O270" s="56">
        <f t="shared" si="80"/>
        <v>283.16601657290937</v>
      </c>
      <c r="P270" s="56">
        <f t="shared" si="81"/>
        <v>13.971890495666962</v>
      </c>
      <c r="Q270" s="62">
        <f t="shared" si="75"/>
        <v>2.4721787176676564E-2</v>
      </c>
      <c r="R270" s="33">
        <f t="shared" si="76"/>
        <v>1.4657265723582573E-5</v>
      </c>
      <c r="S270" s="45">
        <f>0.37*Model!$B$10*(Q270^2*(N270-K270)*I270/(R270*O270^2))^0.33333*(N270-K270)</f>
        <v>379516.38383366767</v>
      </c>
      <c r="T270" s="50">
        <f>Model!$B$32+(90-Model!$B$6)*SIN(RADIANS(-15*(E270+6)))</f>
        <v>15.155478625759589</v>
      </c>
      <c r="U270" s="45">
        <f t="shared" si="82"/>
        <v>15.155478625759589</v>
      </c>
      <c r="V270" s="50">
        <f t="shared" si="83"/>
        <v>3.8249805378586976</v>
      </c>
      <c r="W270" s="45">
        <f t="shared" si="84"/>
        <v>559.23073076171647</v>
      </c>
      <c r="X270" s="45">
        <f>0.3*W270*Model!$B$9</f>
        <v>50657.716130090339</v>
      </c>
      <c r="Y270" s="33">
        <f>(S270-X270)/Model!$B$11</f>
        <v>7.0547821024043184E-3</v>
      </c>
      <c r="Z270" s="45">
        <f t="shared" si="85"/>
        <v>13.347965539293376</v>
      </c>
      <c r="AA270" s="56">
        <f>Y270/Model!$B$12*3600</f>
        <v>45.676391472785483</v>
      </c>
      <c r="AB270" s="50">
        <f t="shared" si="90"/>
        <v>697.36901465946426</v>
      </c>
      <c r="AC270" s="50">
        <f t="shared" si="77"/>
        <v>1102.6309853405357</v>
      </c>
      <c r="AD270" s="15">
        <f>IF(AE270=0, Model!$B$19, 0 )</f>
        <v>0</v>
      </c>
      <c r="AE270" s="50">
        <f>IF(AE269+AB269-AB270&lt;Model!$B$19*Model!$B$18, AE269+AB269-AB270,  0)</f>
        <v>196.452690998148</v>
      </c>
      <c r="AF270" s="15">
        <f t="shared" si="86"/>
        <v>13.400000000000055</v>
      </c>
      <c r="AG270" s="50">
        <f t="shared" si="87"/>
        <v>0</v>
      </c>
    </row>
    <row r="271" spans="2:33" x14ac:dyDescent="0.25">
      <c r="B271" s="13">
        <f t="shared" si="88"/>
        <v>13.450000000000056</v>
      </c>
      <c r="C271" s="13">
        <f>B271+Model!$B$4</f>
        <v>15.450000000000056</v>
      </c>
      <c r="D271" s="13">
        <f t="shared" si="89"/>
        <v>1</v>
      </c>
      <c r="E271" s="13">
        <f t="shared" si="73"/>
        <v>15.450000000000056</v>
      </c>
      <c r="F271" s="14">
        <f>IF(AB271&gt;0, VLOOKUP(B271,Model!$A$40:$B$60, 2), 0)</f>
        <v>300</v>
      </c>
      <c r="G271" s="13">
        <f>IF(AB271&gt;0, VLOOKUP(B271,Model!$A$39:$C$58, 3), 0)</f>
        <v>1</v>
      </c>
      <c r="H271" s="13">
        <f t="shared" si="78"/>
        <v>97</v>
      </c>
      <c r="I271" s="46">
        <f>Model!$B$21*EXP((-0.029*9.81*F271)/(8.31*(273+J271)))</f>
        <v>100357.4491247143</v>
      </c>
      <c r="J271" s="13">
        <f>IF(Model!$B$31="Summer",  IF(F271&lt;=2000,  Model!$B$20-Model!$B$35*F271/1000,  IF(F271&lt;Model!$B$36,  Model!$B$33-6.5*F271/1000,  Model!$B$38)),     IF(F271&lt;=2000,  Model!$B$20-Model!$B$35*F271/1000,  IF(F271&lt;Model!$B$36,  Model!$B$33-5.4*F271/1000,   Model!$B$38)))</f>
        <v>-19.088750000000001</v>
      </c>
      <c r="K271" s="13">
        <f t="shared" si="74"/>
        <v>253.91125</v>
      </c>
      <c r="L271" s="46">
        <f>IF(AB270-AA270*(B271-B270)&gt;0, L270-Y270*(B271-B270)*3600-AD271*Model!$B$16, 0)</f>
        <v>1017.4847455975975</v>
      </c>
      <c r="M271" s="57">
        <f t="shared" si="79"/>
        <v>39.33107199967003</v>
      </c>
      <c r="N271" s="57">
        <f>Model!$B$13*I271*K271/(Model!$B$13*I271-L271*287*K271)</f>
        <v>312.33107199967003</v>
      </c>
      <c r="O271" s="57">
        <f t="shared" si="80"/>
        <v>283.12116099983501</v>
      </c>
      <c r="P271" s="57">
        <f t="shared" si="81"/>
        <v>13.849365871579792</v>
      </c>
      <c r="Q271" s="63">
        <f t="shared" si="75"/>
        <v>2.4718602430988286E-2</v>
      </c>
      <c r="R271" s="17">
        <f t="shared" si="76"/>
        <v>1.465260074398284E-5</v>
      </c>
      <c r="S271" s="46">
        <f>0.37*Model!$B$10*(Q271^2*(N271-K271)*I271/(R271*O271^2))^0.33333*(N271-K271)</f>
        <v>378788.37441048038</v>
      </c>
      <c r="T271" s="51">
        <f>Model!$B$32+(90-Model!$B$6)*SIN(RADIANS(-15*(E271+6)))</f>
        <v>14.797553164859462</v>
      </c>
      <c r="U271" s="46">
        <f t="shared" si="82"/>
        <v>14.797553164859462</v>
      </c>
      <c r="V271" s="51">
        <f t="shared" si="83"/>
        <v>3.9153582674783944</v>
      </c>
      <c r="W271" s="46">
        <f t="shared" si="84"/>
        <v>547.14188919039248</v>
      </c>
      <c r="X271" s="46">
        <f>0.3*W271*Model!$B$9</f>
        <v>49562.652731432616</v>
      </c>
      <c r="Y271" s="17">
        <f>(S271-X271)/Model!$B$11</f>
        <v>7.0626562625559957E-3</v>
      </c>
      <c r="Z271" s="46">
        <f t="shared" si="85"/>
        <v>13.084523200736678</v>
      </c>
      <c r="AA271" s="57">
        <f>Y271/Model!$B$12*3600</f>
        <v>45.727372951219067</v>
      </c>
      <c r="AB271" s="51">
        <f t="shared" si="90"/>
        <v>695.08519508582492</v>
      </c>
      <c r="AC271" s="51">
        <f t="shared" si="77"/>
        <v>1104.914804914175</v>
      </c>
      <c r="AD271" s="13">
        <f>IF(AE271=0, Model!$B$19, 0 )</f>
        <v>0</v>
      </c>
      <c r="AE271" s="51">
        <f>IF(AE270+AB270-AB271&lt;Model!$B$19*Model!$B$18, AE270+AB270-AB271,  0)</f>
        <v>198.73651057178733</v>
      </c>
      <c r="AF271" s="13">
        <f t="shared" si="86"/>
        <v>13.450000000000056</v>
      </c>
      <c r="AG271" s="50">
        <f t="shared" si="87"/>
        <v>0</v>
      </c>
    </row>
    <row r="272" spans="2:33" x14ac:dyDescent="0.25">
      <c r="B272" s="15">
        <f t="shared" si="88"/>
        <v>13.500000000000057</v>
      </c>
      <c r="C272" s="15">
        <f>B272+Model!$B$4</f>
        <v>15.500000000000057</v>
      </c>
      <c r="D272" s="15">
        <f t="shared" si="89"/>
        <v>1</v>
      </c>
      <c r="E272" s="15">
        <f t="shared" si="73"/>
        <v>15.500000000000057</v>
      </c>
      <c r="F272" s="16">
        <f>IF(AB272&gt;0, VLOOKUP(B272,Model!$A$40:$B$60, 2), 0)</f>
        <v>300</v>
      </c>
      <c r="G272" s="15">
        <f>IF(AB272&gt;0, VLOOKUP(B272,Model!$A$39:$C$58, 3), 0)</f>
        <v>1</v>
      </c>
      <c r="H272" s="15">
        <f t="shared" si="78"/>
        <v>97</v>
      </c>
      <c r="I272" s="45">
        <f>Model!$B$21*EXP((-0.029*9.81*F272)/(8.31*(273+J272)))</f>
        <v>100357.4491247143</v>
      </c>
      <c r="J272" s="15">
        <f>IF(Model!$B$31="Summer",  IF(F272&lt;=2000,  Model!$B$20-Model!$B$35*F272/1000,  IF(F272&lt;Model!$B$36,  Model!$B$33-6.5*F272/1000,  Model!$B$38)),     IF(F272&lt;=2000,  Model!$B$20-Model!$B$35*F272/1000,  IF(F272&lt;Model!$B$36,  Model!$B$33-5.4*F272/1000,   Model!$B$38)))</f>
        <v>-19.088750000000001</v>
      </c>
      <c r="K272" s="15">
        <f t="shared" si="74"/>
        <v>253.91125</v>
      </c>
      <c r="L272" s="45">
        <f>IF(AB271-AA271*(B272-B271)&gt;0, L271-Y271*(B272-B271)*3600-AD272*Model!$B$16, 0)</f>
        <v>1016.2134674703374</v>
      </c>
      <c r="M272" s="56">
        <f t="shared" si="79"/>
        <v>39.241312315161849</v>
      </c>
      <c r="N272" s="56">
        <f>Model!$B$13*I272*K272/(Model!$B$13*I272-L272*287*K272)</f>
        <v>312.24131231516185</v>
      </c>
      <c r="O272" s="56">
        <f t="shared" si="80"/>
        <v>283.07628115758092</v>
      </c>
      <c r="P272" s="56">
        <f t="shared" si="81"/>
        <v>13.723893752183541</v>
      </c>
      <c r="Q272" s="62">
        <f t="shared" si="75"/>
        <v>2.4715415962188247E-2</v>
      </c>
      <c r="R272" s="33">
        <f t="shared" si="76"/>
        <v>1.4647933240388414E-5</v>
      </c>
      <c r="S272" s="45">
        <f>0.37*Model!$B$10*(Q272^2*(N272-K272)*I272/(R272*O272^2))^0.33333*(N272-K272)</f>
        <v>378060.19400073175</v>
      </c>
      <c r="T272" s="50">
        <f>Model!$B$32+(90-Model!$B$6)*SIN(RADIANS(-15*(E272+6)))</f>
        <v>14.435914954320491</v>
      </c>
      <c r="U272" s="45">
        <f t="shared" si="82"/>
        <v>14.435914954320491</v>
      </c>
      <c r="V272" s="50">
        <f t="shared" si="83"/>
        <v>4.0112800512889946</v>
      </c>
      <c r="W272" s="45">
        <f t="shared" si="84"/>
        <v>534.59723533975296</v>
      </c>
      <c r="X272" s="45">
        <f>0.3*W272*Model!$B$9</f>
        <v>48426.299740154107</v>
      </c>
      <c r="Y272" s="33">
        <f>(S272-X272)/Model!$B$11</f>
        <v>7.0714125122938462E-3</v>
      </c>
      <c r="Z272" s="45">
        <f t="shared" si="85"/>
        <v>12.809150634901377</v>
      </c>
      <c r="AA272" s="56">
        <f>Y272/Model!$B$12*3600</f>
        <v>45.784065544279208</v>
      </c>
      <c r="AB272" s="50">
        <f t="shared" si="90"/>
        <v>692.79882643826397</v>
      </c>
      <c r="AC272" s="50">
        <f t="shared" si="77"/>
        <v>1107.2011735617361</v>
      </c>
      <c r="AD272" s="15">
        <f>IF(AE272=0, Model!$B$19, 0 )</f>
        <v>0</v>
      </c>
      <c r="AE272" s="50">
        <f>IF(AE271+AB271-AB272&lt;Model!$B$19*Model!$B$18, AE271+AB271-AB272,  0)</f>
        <v>201.02287921934828</v>
      </c>
      <c r="AF272" s="15">
        <f t="shared" si="86"/>
        <v>13.500000000000057</v>
      </c>
      <c r="AG272" s="50">
        <f t="shared" si="87"/>
        <v>0</v>
      </c>
    </row>
    <row r="273" spans="2:33" x14ac:dyDescent="0.25">
      <c r="B273" s="13">
        <f t="shared" si="88"/>
        <v>13.550000000000058</v>
      </c>
      <c r="C273" s="13">
        <f>B273+Model!$B$4</f>
        <v>15.550000000000058</v>
      </c>
      <c r="D273" s="13">
        <f t="shared" si="89"/>
        <v>1</v>
      </c>
      <c r="E273" s="13">
        <f t="shared" si="73"/>
        <v>15.550000000000058</v>
      </c>
      <c r="F273" s="14">
        <f>IF(AB273&gt;0, VLOOKUP(B273,Model!$A$40:$B$60, 2), 0)</f>
        <v>300</v>
      </c>
      <c r="G273" s="13">
        <f>IF(AB273&gt;0, VLOOKUP(B273,Model!$A$39:$C$58, 3), 0)</f>
        <v>1</v>
      </c>
      <c r="H273" s="13">
        <f t="shared" si="78"/>
        <v>97</v>
      </c>
      <c r="I273" s="46">
        <f>Model!$B$21*EXP((-0.029*9.81*F273)/(8.31*(273+J273)))</f>
        <v>100357.4491247143</v>
      </c>
      <c r="J273" s="13">
        <f>IF(Model!$B$31="Summer",  IF(F273&lt;=2000,  Model!$B$20-Model!$B$35*F273/1000,  IF(F273&lt;Model!$B$36,  Model!$B$33-6.5*F273/1000,  Model!$B$38)),     IF(F273&lt;=2000,  Model!$B$20-Model!$B$35*F273/1000,  IF(F273&lt;Model!$B$36,  Model!$B$33-5.4*F273/1000,   Model!$B$38)))</f>
        <v>-19.088750000000001</v>
      </c>
      <c r="K273" s="13">
        <f t="shared" si="74"/>
        <v>253.91125</v>
      </c>
      <c r="L273" s="46">
        <f>IF(AB272-AA272*(B273-B272)&gt;0, L272-Y272*(B273-B272)*3600-AD273*Model!$B$16, 0)</f>
        <v>1014.9406132181244</v>
      </c>
      <c r="M273" s="57">
        <f t="shared" si="79"/>
        <v>39.151493019527379</v>
      </c>
      <c r="N273" s="57">
        <f>Model!$B$13*I273*K273/(Model!$B$13*I273-L273*287*K273)</f>
        <v>312.15149301952738</v>
      </c>
      <c r="O273" s="57">
        <f t="shared" si="80"/>
        <v>283.03137150976369</v>
      </c>
      <c r="P273" s="57">
        <f t="shared" si="81"/>
        <v>13.595353078695375</v>
      </c>
      <c r="Q273" s="63">
        <f t="shared" si="75"/>
        <v>2.4712227377193221E-2</v>
      </c>
      <c r="R273" s="17">
        <f t="shared" si="76"/>
        <v>1.4643262637015423E-5</v>
      </c>
      <c r="S273" s="46">
        <f>0.37*Model!$B$10*(Q273^2*(N273-K273)*I273/(R273*O273^2))^0.33333*(N273-K273)</f>
        <v>377331.75362392241</v>
      </c>
      <c r="T273" s="51">
        <f>Model!$B$32+(90-Model!$B$6)*SIN(RADIANS(-15*(E273+6)))</f>
        <v>14.070625958988327</v>
      </c>
      <c r="U273" s="46">
        <f t="shared" si="82"/>
        <v>14.070625958988327</v>
      </c>
      <c r="V273" s="51">
        <f t="shared" si="83"/>
        <v>4.113233164717724</v>
      </c>
      <c r="W273" s="46">
        <f t="shared" si="84"/>
        <v>521.57899061815885</v>
      </c>
      <c r="X273" s="46">
        <f>0.3*W273*Model!$B$9</f>
        <v>47247.046688877213</v>
      </c>
      <c r="Y273" s="17">
        <f>(S273-X273)/Model!$B$11</f>
        <v>7.0810834910446253E-3</v>
      </c>
      <c r="Z273" s="46">
        <f t="shared" si="85"/>
        <v>12.521354546791528</v>
      </c>
      <c r="AA273" s="57">
        <f>Y273/Model!$B$12*3600</f>
        <v>45.84668057688171</v>
      </c>
      <c r="AB273" s="51">
        <f t="shared" si="90"/>
        <v>690.50962316104994</v>
      </c>
      <c r="AC273" s="51">
        <f t="shared" si="77"/>
        <v>1109.4903768389499</v>
      </c>
      <c r="AD273" s="13">
        <f>IF(AE273=0, Model!$B$19, 0 )</f>
        <v>0</v>
      </c>
      <c r="AE273" s="51">
        <f>IF(AE272+AB272-AB273&lt;Model!$B$19*Model!$B$18, AE272+AB272-AB273,  0)</f>
        <v>203.31208249656231</v>
      </c>
      <c r="AF273" s="13">
        <f t="shared" si="86"/>
        <v>13.550000000000058</v>
      </c>
      <c r="AG273" s="50">
        <f t="shared" si="87"/>
        <v>0</v>
      </c>
    </row>
    <row r="274" spans="2:33" x14ac:dyDescent="0.25">
      <c r="B274" s="15">
        <f t="shared" si="88"/>
        <v>13.600000000000058</v>
      </c>
      <c r="C274" s="15">
        <f>B274+Model!$B$4</f>
        <v>15.600000000000058</v>
      </c>
      <c r="D274" s="15">
        <f t="shared" si="89"/>
        <v>1</v>
      </c>
      <c r="E274" s="15">
        <f t="shared" si="73"/>
        <v>15.600000000000058</v>
      </c>
      <c r="F274" s="16">
        <f>IF(AB274&gt;0, VLOOKUP(B274,Model!$A$40:$B$60, 2), 0)</f>
        <v>300</v>
      </c>
      <c r="G274" s="15">
        <f>IF(AB274&gt;0, VLOOKUP(B274,Model!$A$39:$C$58, 3), 0)</f>
        <v>1</v>
      </c>
      <c r="H274" s="15">
        <f t="shared" si="78"/>
        <v>97</v>
      </c>
      <c r="I274" s="45">
        <f>Model!$B$21*EXP((-0.029*9.81*F274)/(8.31*(273+J274)))</f>
        <v>100357.4491247143</v>
      </c>
      <c r="J274" s="15">
        <f>IF(Model!$B$31="Summer",  IF(F274&lt;=2000,  Model!$B$20-Model!$B$35*F274/1000,  IF(F274&lt;Model!$B$36,  Model!$B$33-6.5*F274/1000,  Model!$B$38)),     IF(F274&lt;=2000,  Model!$B$20-Model!$B$35*F274/1000,  IF(F274&lt;Model!$B$36,  Model!$B$33-5.4*F274/1000,   Model!$B$38)))</f>
        <v>-19.088750000000001</v>
      </c>
      <c r="K274" s="15">
        <f t="shared" si="74"/>
        <v>253.91125</v>
      </c>
      <c r="L274" s="45">
        <f>IF(AB273-AA273*(B274-B273)&gt;0, L273-Y273*(B274-B273)*3600-AD274*Model!$B$16, 0)</f>
        <v>1013.6660181897364</v>
      </c>
      <c r="M274" s="56">
        <f t="shared" si="79"/>
        <v>39.061602651521525</v>
      </c>
      <c r="N274" s="56">
        <f>Model!$B$13*I274*K274/(Model!$B$13*I274-L274*287*K274)</f>
        <v>312.06160265152153</v>
      </c>
      <c r="O274" s="56">
        <f t="shared" si="80"/>
        <v>282.98642632576076</v>
      </c>
      <c r="P274" s="56">
        <f t="shared" si="81"/>
        <v>13.463619596548488</v>
      </c>
      <c r="Q274" s="62">
        <f t="shared" si="75"/>
        <v>2.4709036269129014E-2</v>
      </c>
      <c r="R274" s="33">
        <f t="shared" si="76"/>
        <v>1.4638588337879118E-5</v>
      </c>
      <c r="S274" s="45">
        <f>0.37*Model!$B$10*(Q274^2*(N274-K274)*I274/(R274*O274^2))^0.33333*(N274-K274)</f>
        <v>376602.96126405062</v>
      </c>
      <c r="T274" s="50">
        <f>Model!$B$32+(90-Model!$B$6)*SIN(RADIANS(-15*(E274+6)))</f>
        <v>13.701748769251818</v>
      </c>
      <c r="U274" s="45">
        <f t="shared" si="82"/>
        <v>13.701748769251818</v>
      </c>
      <c r="V274" s="50">
        <f t="shared" si="83"/>
        <v>4.2217642190308631</v>
      </c>
      <c r="W274" s="45">
        <f t="shared" si="84"/>
        <v>508.06901607682238</v>
      </c>
      <c r="X274" s="45">
        <f>0.3*W274*Model!$B$9</f>
        <v>46023.250467400649</v>
      </c>
      <c r="Y274" s="33">
        <f>(S274-X274)/Model!$B$11</f>
        <v>7.0917024733808858E-3</v>
      </c>
      <c r="Z274" s="45">
        <f t="shared" si="85"/>
        <v>12.22062893847826</v>
      </c>
      <c r="AA274" s="56">
        <f>Y274/Model!$B$12*3600</f>
        <v>45.915433486212287</v>
      </c>
      <c r="AB274" s="50">
        <f t="shared" si="90"/>
        <v>688.21728913220579</v>
      </c>
      <c r="AC274" s="50">
        <f t="shared" si="77"/>
        <v>1111.7827108677943</v>
      </c>
      <c r="AD274" s="15">
        <f>IF(AE274=0, Model!$B$19, 0 )</f>
        <v>0</v>
      </c>
      <c r="AE274" s="50">
        <f>IF(AE273+AB273-AB274&lt;Model!$B$19*Model!$B$18, AE273+AB273-AB274,  0)</f>
        <v>205.60441652540646</v>
      </c>
      <c r="AF274" s="15">
        <f t="shared" si="86"/>
        <v>13.600000000000058</v>
      </c>
      <c r="AG274" s="50">
        <f t="shared" si="87"/>
        <v>0</v>
      </c>
    </row>
    <row r="275" spans="2:33" x14ac:dyDescent="0.25">
      <c r="B275" s="13">
        <f t="shared" si="88"/>
        <v>13.650000000000059</v>
      </c>
      <c r="C275" s="13">
        <f>B275+Model!$B$4</f>
        <v>15.650000000000059</v>
      </c>
      <c r="D275" s="13">
        <f t="shared" si="89"/>
        <v>1</v>
      </c>
      <c r="E275" s="13">
        <f t="shared" si="73"/>
        <v>15.650000000000059</v>
      </c>
      <c r="F275" s="14">
        <f>IF(AB275&gt;0, VLOOKUP(B275,Model!$A$40:$B$60, 2), 0)</f>
        <v>300</v>
      </c>
      <c r="G275" s="13">
        <f>IF(AB275&gt;0, VLOOKUP(B275,Model!$A$39:$C$58, 3), 0)</f>
        <v>1</v>
      </c>
      <c r="H275" s="13">
        <f t="shared" si="78"/>
        <v>97</v>
      </c>
      <c r="I275" s="46">
        <f>Model!$B$21*EXP((-0.029*9.81*F275)/(8.31*(273+J275)))</f>
        <v>100357.4491247143</v>
      </c>
      <c r="J275" s="13">
        <f>IF(Model!$B$31="Summer",  IF(F275&lt;=2000,  Model!$B$20-Model!$B$35*F275/1000,  IF(F275&lt;Model!$B$36,  Model!$B$33-6.5*F275/1000,  Model!$B$38)),     IF(F275&lt;=2000,  Model!$B$20-Model!$B$35*F275/1000,  IF(F275&lt;Model!$B$36,  Model!$B$33-5.4*F275/1000,   Model!$B$38)))</f>
        <v>-19.088750000000001</v>
      </c>
      <c r="K275" s="13">
        <f t="shared" si="74"/>
        <v>253.91125</v>
      </c>
      <c r="L275" s="46">
        <f>IF(AB274-AA274*(B275-B274)&gt;0, L274-Y274*(B275-B274)*3600-AD275*Model!$B$16, 0)</f>
        <v>1012.3895117445278</v>
      </c>
      <c r="M275" s="57">
        <f t="shared" si="79"/>
        <v>38.971629354586184</v>
      </c>
      <c r="N275" s="57">
        <f>Model!$B$13*I275*K275/(Model!$B$13*I275-L275*287*K275)</f>
        <v>311.97162935458618</v>
      </c>
      <c r="O275" s="57">
        <f t="shared" si="80"/>
        <v>282.94143967729309</v>
      </c>
      <c r="P275" s="57">
        <f t="shared" si="81"/>
        <v>13.328566451138574</v>
      </c>
      <c r="Q275" s="63">
        <f t="shared" si="75"/>
        <v>2.4705842217087808E-2</v>
      </c>
      <c r="R275" s="17">
        <f t="shared" si="76"/>
        <v>1.4633909726438482E-5</v>
      </c>
      <c r="S275" s="46">
        <f>0.37*Model!$B$10*(Q275^2*(N275-K275)*I275/(R275*O275^2))^0.33333*(N275-K275)</f>
        <v>375873.72181986232</v>
      </c>
      <c r="T275" s="51">
        <f>Model!$B$32+(90-Model!$B$6)*SIN(RADIANS(-15*(E275+6)))</f>
        <v>13.329346590318405</v>
      </c>
      <c r="U275" s="46">
        <f t="shared" si="82"/>
        <v>13.329346590318405</v>
      </c>
      <c r="V275" s="51">
        <f t="shared" si="83"/>
        <v>4.3374884568317507</v>
      </c>
      <c r="W275" s="46">
        <f t="shared" si="84"/>
        <v>494.04893569230677</v>
      </c>
      <c r="X275" s="46">
        <f>0.3*W275*Model!$B$9</f>
        <v>44753.246490200647</v>
      </c>
      <c r="Y275" s="17">
        <f>(S275-X275)/Model!$B$11</f>
        <v>7.1033031283848904E-3</v>
      </c>
      <c r="Z275" s="46">
        <f t="shared" si="85"/>
        <v>11.906457911853881</v>
      </c>
      <c r="AA275" s="57">
        <f>Y275/Model!$B$12*3600</f>
        <v>45.990542263721245</v>
      </c>
      <c r="AB275" s="51">
        <f t="shared" si="90"/>
        <v>685.92151745789511</v>
      </c>
      <c r="AC275" s="51">
        <f t="shared" si="77"/>
        <v>1114.0784825421049</v>
      </c>
      <c r="AD275" s="13">
        <f>IF(AE275=0, Model!$B$19, 0 )</f>
        <v>0</v>
      </c>
      <c r="AE275" s="51">
        <f>IF(AE274+AB274-AB275&lt;Model!$B$19*Model!$B$18, AE274+AB274-AB275,  0)</f>
        <v>207.90018819971715</v>
      </c>
      <c r="AF275" s="13">
        <f t="shared" si="86"/>
        <v>13.650000000000059</v>
      </c>
      <c r="AG275" s="50">
        <f t="shared" si="87"/>
        <v>0</v>
      </c>
    </row>
    <row r="276" spans="2:33" x14ac:dyDescent="0.25">
      <c r="B276" s="15">
        <f t="shared" si="88"/>
        <v>13.70000000000006</v>
      </c>
      <c r="C276" s="15">
        <f>B276+Model!$B$4</f>
        <v>15.70000000000006</v>
      </c>
      <c r="D276" s="15">
        <f t="shared" si="89"/>
        <v>1</v>
      </c>
      <c r="E276" s="15">
        <f t="shared" si="73"/>
        <v>15.70000000000006</v>
      </c>
      <c r="F276" s="16">
        <f>IF(AB276&gt;0, VLOOKUP(B276,Model!$A$40:$B$60, 2), 0)</f>
        <v>300</v>
      </c>
      <c r="G276" s="15">
        <f>IF(AB276&gt;0, VLOOKUP(B276,Model!$A$39:$C$58, 3), 0)</f>
        <v>1</v>
      </c>
      <c r="H276" s="15">
        <f t="shared" si="78"/>
        <v>97</v>
      </c>
      <c r="I276" s="45">
        <f>Model!$B$21*EXP((-0.029*9.81*F276)/(8.31*(273+J276)))</f>
        <v>100357.4491247143</v>
      </c>
      <c r="J276" s="15">
        <f>IF(Model!$B$31="Summer",  IF(F276&lt;=2000,  Model!$B$20-Model!$B$35*F276/1000,  IF(F276&lt;Model!$B$36,  Model!$B$33-6.5*F276/1000,  Model!$B$38)),     IF(F276&lt;=2000,  Model!$B$20-Model!$B$35*F276/1000,  IF(F276&lt;Model!$B$36,  Model!$B$33-5.4*F276/1000,   Model!$B$38)))</f>
        <v>-19.088750000000001</v>
      </c>
      <c r="K276" s="15">
        <f t="shared" ref="K276:K307" si="91">273+J276</f>
        <v>253.91125</v>
      </c>
      <c r="L276" s="45">
        <f>IF(AB275-AA275*(B276-B275)&gt;0, L275-Y275*(B276-B275)*3600-AD276*Model!$B$16, 0)</f>
        <v>1011.1109171814185</v>
      </c>
      <c r="M276" s="56">
        <f t="shared" si="79"/>
        <v>38.881560873105343</v>
      </c>
      <c r="N276" s="56">
        <f>Model!$B$13*I276*K276/(Model!$B$13*I276-L276*287*K276)</f>
        <v>311.88156087310534</v>
      </c>
      <c r="O276" s="56">
        <f t="shared" si="80"/>
        <v>282.89640543655264</v>
      </c>
      <c r="P276" s="56">
        <f t="shared" si="81"/>
        <v>13.190065007834717</v>
      </c>
      <c r="Q276" s="62">
        <f t="shared" ref="Q276:Q307" si="92">(O276-273)*7.1*0.00001+0.024</f>
        <v>2.4702644785995237E-2</v>
      </c>
      <c r="R276" s="33">
        <f t="shared" ref="R276:R307" si="93">((O276-273)*0.104+13.6)*0.000001</f>
        <v>1.4629226165401474E-5</v>
      </c>
      <c r="S276" s="45">
        <f>0.37*Model!$B$10*(Q276^2*(N276-K276)*I276/(R276*O276^2))^0.33333*(N276-K276)</f>
        <v>375143.93708032486</v>
      </c>
      <c r="T276" s="50">
        <f>Model!$B$32+(90-Model!$B$6)*SIN(RADIANS(-15*(E276+6)))</f>
        <v>12.953483231384368</v>
      </c>
      <c r="U276" s="45">
        <f t="shared" si="82"/>
        <v>12.953483231384368</v>
      </c>
      <c r="V276" s="50">
        <f t="shared" si="83"/>
        <v>4.4611008523386033</v>
      </c>
      <c r="W276" s="45">
        <f t="shared" si="84"/>
        <v>479.50030209953269</v>
      </c>
      <c r="X276" s="45">
        <f>0.3*W276*Model!$B$9</f>
        <v>43435.36370929626</v>
      </c>
      <c r="Y276" s="33">
        <f>(S276-X276)/Model!$B$11</f>
        <v>7.1159191970616448E-3</v>
      </c>
      <c r="Z276" s="45">
        <f t="shared" si="85"/>
        <v>11.578319523792807</v>
      </c>
      <c r="AA276" s="56">
        <f>Y276/Model!$B$12*3600</f>
        <v>46.072225366524748</v>
      </c>
      <c r="AB276" s="50">
        <f t="shared" si="90"/>
        <v>683.62199034470905</v>
      </c>
      <c r="AC276" s="50">
        <f t="shared" ref="AC276:AC307" si="94">AC275+AB275-AB276</f>
        <v>1116.378009655291</v>
      </c>
      <c r="AD276" s="15">
        <f>IF(AE276=0, Model!$B$19, 0 )</f>
        <v>0</v>
      </c>
      <c r="AE276" s="50">
        <f>IF(AE275+AB275-AB276&lt;Model!$B$19*Model!$B$18, AE275+AB275-AB276,  0)</f>
        <v>210.19971531290321</v>
      </c>
      <c r="AF276" s="15">
        <f t="shared" si="86"/>
        <v>13.70000000000006</v>
      </c>
      <c r="AG276" s="50">
        <f t="shared" si="87"/>
        <v>0</v>
      </c>
    </row>
    <row r="277" spans="2:33" x14ac:dyDescent="0.25">
      <c r="B277" s="13">
        <f t="shared" si="88"/>
        <v>13.75000000000006</v>
      </c>
      <c r="C277" s="13">
        <f>B277+Model!$B$4</f>
        <v>15.75000000000006</v>
      </c>
      <c r="D277" s="13">
        <f t="shared" si="89"/>
        <v>1</v>
      </c>
      <c r="E277" s="13">
        <f t="shared" si="73"/>
        <v>15.75000000000006</v>
      </c>
      <c r="F277" s="14">
        <f>IF(AB277&gt;0, VLOOKUP(B277,Model!$A$40:$B$60, 2), 0)</f>
        <v>300</v>
      </c>
      <c r="G277" s="13">
        <f>IF(AB277&gt;0, VLOOKUP(B277,Model!$A$39:$C$58, 3), 0)</f>
        <v>1</v>
      </c>
      <c r="H277" s="13">
        <f t="shared" si="78"/>
        <v>97</v>
      </c>
      <c r="I277" s="46">
        <f>Model!$B$21*EXP((-0.029*9.81*F277)/(8.31*(273+J277)))</f>
        <v>100357.4491247143</v>
      </c>
      <c r="J277" s="13">
        <f>IF(Model!$B$31="Summer",  IF(F277&lt;=2000,  Model!$B$20-Model!$B$35*F277/1000,  IF(F277&lt;Model!$B$36,  Model!$B$33-6.5*F277/1000,  Model!$B$38)),     IF(F277&lt;=2000,  Model!$B$20-Model!$B$35*F277/1000,  IF(F277&lt;Model!$B$36,  Model!$B$33-5.4*F277/1000,   Model!$B$38)))</f>
        <v>-19.088750000000001</v>
      </c>
      <c r="K277" s="13">
        <f t="shared" si="91"/>
        <v>253.91125</v>
      </c>
      <c r="L277" s="46">
        <f>IF(AB276-AA276*(B277-B276)&gt;0, L276-Y276*(B277-B276)*3600-AD277*Model!$B$16, 0)</f>
        <v>1009.8300517259473</v>
      </c>
      <c r="M277" s="57">
        <f t="shared" si="79"/>
        <v>38.791384552775014</v>
      </c>
      <c r="N277" s="57">
        <f>Model!$B$13*I277*K277/(Model!$B$13*I277-L277*287*K277)</f>
        <v>311.79138455277501</v>
      </c>
      <c r="O277" s="57">
        <f t="shared" si="80"/>
        <v>282.85131727638748</v>
      </c>
      <c r="P277" s="57">
        <f t="shared" si="81"/>
        <v>13.047985957051058</v>
      </c>
      <c r="Q277" s="63">
        <f t="shared" si="92"/>
        <v>2.469944352662351E-2</v>
      </c>
      <c r="R277" s="17">
        <f t="shared" si="93"/>
        <v>1.4624536996744297E-5</v>
      </c>
      <c r="S277" s="46">
        <f>0.37*Model!$B$10*(Q277^2*(N277-K277)*I277/(R277*O277^2))^0.33333*(N277-K277)</f>
        <v>374413.50573356863</v>
      </c>
      <c r="T277" s="51">
        <f>Model!$B$32+(90-Model!$B$6)*SIN(RADIANS(-15*(E277+6)))</f>
        <v>12.574223094701292</v>
      </c>
      <c r="U277" s="46">
        <f t="shared" si="82"/>
        <v>12.574223094701292</v>
      </c>
      <c r="V277" s="51">
        <f t="shared" si="83"/>
        <v>4.5933894388864687</v>
      </c>
      <c r="W277" s="46">
        <f t="shared" si="84"/>
        <v>464.40481618920779</v>
      </c>
      <c r="X277" s="46">
        <f>0.3*W277*Model!$B$9</f>
        <v>42067.944506404041</v>
      </c>
      <c r="Y277" s="17">
        <f>(S277-X277)/Model!$B$11</f>
        <v>7.1295840657978025E-3</v>
      </c>
      <c r="Z277" s="46">
        <f t="shared" si="85"/>
        <v>11.235690983951695</v>
      </c>
      <c r="AA277" s="57">
        <f>Y277/Model!$B$12*3600</f>
        <v>46.160698955752153</v>
      </c>
      <c r="AB277" s="51">
        <f t="shared" si="90"/>
        <v>681.31837907638283</v>
      </c>
      <c r="AC277" s="51">
        <f t="shared" si="94"/>
        <v>1118.6816209236172</v>
      </c>
      <c r="AD277" s="13">
        <f>IF(AE277=0, Model!$B$19, 0 )</f>
        <v>0</v>
      </c>
      <c r="AE277" s="51">
        <f>IF(AE276+AB276-AB277&lt;Model!$B$19*Model!$B$18, AE276+AB276-AB277,  0)</f>
        <v>212.50332658122943</v>
      </c>
      <c r="AF277" s="13">
        <f t="shared" si="86"/>
        <v>13.75000000000006</v>
      </c>
      <c r="AG277" s="50">
        <f t="shared" si="87"/>
        <v>0</v>
      </c>
    </row>
    <row r="278" spans="2:33" x14ac:dyDescent="0.25">
      <c r="B278" s="15">
        <f t="shared" si="88"/>
        <v>13.800000000000061</v>
      </c>
      <c r="C278" s="15">
        <f>B278+Model!$B$4</f>
        <v>15.800000000000061</v>
      </c>
      <c r="D278" s="15">
        <f t="shared" si="89"/>
        <v>1</v>
      </c>
      <c r="E278" s="15">
        <f t="shared" si="73"/>
        <v>15.800000000000061</v>
      </c>
      <c r="F278" s="16">
        <f>IF(AB278&gt;0, VLOOKUP(B278,Model!$A$40:$B$60, 2), 0)</f>
        <v>300</v>
      </c>
      <c r="G278" s="15">
        <f>IF(AB278&gt;0, VLOOKUP(B278,Model!$A$39:$C$58, 3), 0)</f>
        <v>1</v>
      </c>
      <c r="H278" s="15">
        <f t="shared" si="78"/>
        <v>97</v>
      </c>
      <c r="I278" s="45">
        <f>Model!$B$21*EXP((-0.029*9.81*F278)/(8.31*(273+J278)))</f>
        <v>100357.4491247143</v>
      </c>
      <c r="J278" s="15">
        <f>IF(Model!$B$31="Summer",  IF(F278&lt;=2000,  Model!$B$20-Model!$B$35*F278/1000,  IF(F278&lt;Model!$B$36,  Model!$B$33-6.5*F278/1000,  Model!$B$38)),     IF(F278&lt;=2000,  Model!$B$20-Model!$B$35*F278/1000,  IF(F278&lt;Model!$B$36,  Model!$B$33-5.4*F278/1000,   Model!$B$38)))</f>
        <v>-19.088750000000001</v>
      </c>
      <c r="K278" s="15">
        <f t="shared" si="91"/>
        <v>253.91125</v>
      </c>
      <c r="L278" s="45">
        <f>IF(AB277-AA277*(B278-B277)&gt;0, L277-Y277*(B278-B277)*3600-AD278*Model!$B$16, 0)</f>
        <v>1008.5467265941037</v>
      </c>
      <c r="M278" s="56">
        <f t="shared" si="79"/>
        <v>38.701087346389841</v>
      </c>
      <c r="N278" s="56">
        <f>Model!$B$13*I278*K278/(Model!$B$13*I278-L278*287*K278)</f>
        <v>311.70108734638984</v>
      </c>
      <c r="O278" s="56">
        <f t="shared" si="80"/>
        <v>282.80616867319492</v>
      </c>
      <c r="P278" s="56">
        <f t="shared" si="81"/>
        <v>12.902200781122971</v>
      </c>
      <c r="Q278" s="62">
        <f t="shared" si="92"/>
        <v>2.4696237975796839E-2</v>
      </c>
      <c r="R278" s="33">
        <f t="shared" si="93"/>
        <v>1.461984154201227E-5</v>
      </c>
      <c r="S278" s="45">
        <f>0.37*Model!$B$10*(Q278^2*(N278-K278)*I278/(R278*O278^2))^0.33333*(N278-K278)</f>
        <v>373682.32341977867</v>
      </c>
      <c r="T278" s="50">
        <f>Model!$B$32+(90-Model!$B$6)*SIN(RADIANS(-15*(E278+6)))</f>
        <v>12.191631164541153</v>
      </c>
      <c r="U278" s="45">
        <f t="shared" si="82"/>
        <v>12.191631164541153</v>
      </c>
      <c r="V278" s="50">
        <f t="shared" si="83"/>
        <v>4.7352514030158783</v>
      </c>
      <c r="W278" s="45">
        <f t="shared" si="84"/>
        <v>448.74461498550176</v>
      </c>
      <c r="X278" s="45">
        <f>0.3*W278*Model!$B$9</f>
        <v>40649.370770234556</v>
      </c>
      <c r="Y278" s="33">
        <f>(S278-X278)/Model!$B$11</f>
        <v>7.144330208077746E-3</v>
      </c>
      <c r="Z278" s="45">
        <f t="shared" si="85"/>
        <v>10.878055562871996</v>
      </c>
      <c r="AA278" s="56">
        <f>Y278/Model!$B$12*3600</f>
        <v>46.256173281920567</v>
      </c>
      <c r="AB278" s="50">
        <f t="shared" si="90"/>
        <v>679.01034412859519</v>
      </c>
      <c r="AC278" s="50">
        <f t="shared" si="94"/>
        <v>1120.9896558714049</v>
      </c>
      <c r="AD278" s="15">
        <f>IF(AE278=0, Model!$B$19, 0 )</f>
        <v>0</v>
      </c>
      <c r="AE278" s="50">
        <f>IF(AE277+AB277-AB278&lt;Model!$B$19*Model!$B$18, AE277+AB277-AB278,  0)</f>
        <v>214.81136152901706</v>
      </c>
      <c r="AF278" s="15">
        <f t="shared" si="86"/>
        <v>13.800000000000061</v>
      </c>
      <c r="AG278" s="50">
        <f t="shared" si="87"/>
        <v>0</v>
      </c>
    </row>
    <row r="279" spans="2:33" x14ac:dyDescent="0.25">
      <c r="B279" s="13">
        <f t="shared" si="88"/>
        <v>13.850000000000062</v>
      </c>
      <c r="C279" s="13">
        <f>B279+Model!$B$4</f>
        <v>15.850000000000062</v>
      </c>
      <c r="D279" s="13">
        <f t="shared" si="89"/>
        <v>1</v>
      </c>
      <c r="E279" s="13">
        <f t="shared" si="73"/>
        <v>15.850000000000062</v>
      </c>
      <c r="F279" s="14">
        <f>IF(AB279&gt;0, VLOOKUP(B279,Model!$A$40:$B$60, 2), 0)</f>
        <v>300</v>
      </c>
      <c r="G279" s="13">
        <f>IF(AB279&gt;0, VLOOKUP(B279,Model!$A$39:$C$58, 3), 0)</f>
        <v>1</v>
      </c>
      <c r="H279" s="13">
        <f t="shared" si="78"/>
        <v>97</v>
      </c>
      <c r="I279" s="46">
        <f>Model!$B$21*EXP((-0.029*9.81*F279)/(8.31*(273+J279)))</f>
        <v>100357.4491247143</v>
      </c>
      <c r="J279" s="13">
        <f>IF(Model!$B$31="Summer",  IF(F279&lt;=2000,  Model!$B$20-Model!$B$35*F279/1000,  IF(F279&lt;Model!$B$36,  Model!$B$33-6.5*F279/1000,  Model!$B$38)),     IF(F279&lt;=2000,  Model!$B$20-Model!$B$35*F279/1000,  IF(F279&lt;Model!$B$36,  Model!$B$33-5.4*F279/1000,   Model!$B$38)))</f>
        <v>-19.088750000000001</v>
      </c>
      <c r="K279" s="13">
        <f t="shared" si="91"/>
        <v>253.91125</v>
      </c>
      <c r="L279" s="46">
        <f>IF(AB278-AA278*(B279-B278)&gt;0, L278-Y278*(B279-B278)*3600-AD279*Model!$B$16, 0)</f>
        <v>1007.2607471566497</v>
      </c>
      <c r="M279" s="57">
        <f t="shared" si="79"/>
        <v>38.610655826693005</v>
      </c>
      <c r="N279" s="57">
        <f>Model!$B$13*I279*K279/(Model!$B$13*I279-L279*287*K279)</f>
        <v>311.61065582669301</v>
      </c>
      <c r="O279" s="57">
        <f t="shared" si="80"/>
        <v>282.7609529133465</v>
      </c>
      <c r="P279" s="57">
        <f t="shared" si="81"/>
        <v>12.752583679916514</v>
      </c>
      <c r="Q279" s="63">
        <f t="shared" si="92"/>
        <v>2.4693027656847603E-2</v>
      </c>
      <c r="R279" s="17">
        <f t="shared" si="93"/>
        <v>1.4615139102988034E-5</v>
      </c>
      <c r="S279" s="46">
        <f>0.37*Model!$B$10*(Q279^2*(N279-K279)*I279/(R279*O279^2))^0.33333*(N279-K279)</f>
        <v>372950.28284126706</v>
      </c>
      <c r="T279" s="51">
        <f>Model!$B$32+(90-Model!$B$6)*SIN(RADIANS(-15*(E279+6)))</f>
        <v>11.805772996061602</v>
      </c>
      <c r="U279" s="46">
        <f t="shared" si="82"/>
        <v>11.805772996061602</v>
      </c>
      <c r="V279" s="51">
        <f t="shared" si="83"/>
        <v>4.8877126391381802</v>
      </c>
      <c r="W279" s="46">
        <f t="shared" si="84"/>
        <v>432.50264601974931</v>
      </c>
      <c r="X279" s="46">
        <f>0.3*W279*Model!$B$9</f>
        <v>39178.097809000596</v>
      </c>
      <c r="Y279" s="17">
        <f>(S279-X279)/Model!$B$11</f>
        <v>7.1601884593428403E-3</v>
      </c>
      <c r="Z279" s="46">
        <f t="shared" si="85"/>
        <v>10.504911676303877</v>
      </c>
      <c r="AA279" s="57">
        <f>Y279/Model!$B$12*3600</f>
        <v>46.358847989990068</v>
      </c>
      <c r="AB279" s="51">
        <f t="shared" si="90"/>
        <v>676.69753546449908</v>
      </c>
      <c r="AC279" s="51">
        <f t="shared" si="94"/>
        <v>1123.3024645355008</v>
      </c>
      <c r="AD279" s="13">
        <f>IF(AE279=0, Model!$B$19, 0 )</f>
        <v>0</v>
      </c>
      <c r="AE279" s="51">
        <f>IF(AE278+AB278-AB279&lt;Model!$B$19*Model!$B$18, AE278+AB278-AB279,  0)</f>
        <v>217.12417019311317</v>
      </c>
      <c r="AF279" s="13">
        <f t="shared" si="86"/>
        <v>13.850000000000062</v>
      </c>
      <c r="AG279" s="50">
        <f t="shared" si="87"/>
        <v>0</v>
      </c>
    </row>
    <row r="280" spans="2:33" x14ac:dyDescent="0.25">
      <c r="B280" s="15">
        <f t="shared" si="88"/>
        <v>13.900000000000063</v>
      </c>
      <c r="C280" s="15">
        <f>B280+Model!$B$4</f>
        <v>15.900000000000063</v>
      </c>
      <c r="D280" s="15">
        <f t="shared" si="89"/>
        <v>1</v>
      </c>
      <c r="E280" s="15">
        <f t="shared" si="73"/>
        <v>15.900000000000063</v>
      </c>
      <c r="F280" s="16">
        <f>IF(AB280&gt;0, VLOOKUP(B280,Model!$A$40:$B$60, 2), 0)</f>
        <v>300</v>
      </c>
      <c r="G280" s="15">
        <f>IF(AB280&gt;0, VLOOKUP(B280,Model!$A$39:$C$58, 3), 0)</f>
        <v>1</v>
      </c>
      <c r="H280" s="15">
        <f t="shared" si="78"/>
        <v>97</v>
      </c>
      <c r="I280" s="45">
        <f>Model!$B$21*EXP((-0.029*9.81*F280)/(8.31*(273+J280)))</f>
        <v>100357.4491247143</v>
      </c>
      <c r="J280" s="15">
        <f>IF(Model!$B$31="Summer",  IF(F280&lt;=2000,  Model!$B$20-Model!$B$35*F280/1000,  IF(F280&lt;Model!$B$36,  Model!$B$33-6.5*F280/1000,  Model!$B$38)),     IF(F280&lt;=2000,  Model!$B$20-Model!$B$35*F280/1000,  IF(F280&lt;Model!$B$36,  Model!$B$33-5.4*F280/1000,   Model!$B$38)))</f>
        <v>-19.088750000000001</v>
      </c>
      <c r="K280" s="15">
        <f t="shared" si="91"/>
        <v>253.91125</v>
      </c>
      <c r="L280" s="45">
        <f>IF(AB279-AA279*(B280-B279)&gt;0, L279-Y279*(B280-B279)*3600-AD280*Model!$B$16, 0)</f>
        <v>1005.9719132339679</v>
      </c>
      <c r="M280" s="56">
        <f t="shared" si="79"/>
        <v>38.520076208370313</v>
      </c>
      <c r="N280" s="56">
        <f>Model!$B$13*I280*K280/(Model!$B$13*I280-L280*287*K280)</f>
        <v>311.52007620837031</v>
      </c>
      <c r="O280" s="56">
        <f t="shared" si="80"/>
        <v>282.71566310418518</v>
      </c>
      <c r="P280" s="56">
        <f t="shared" si="81"/>
        <v>12.599014077650152</v>
      </c>
      <c r="Q280" s="62">
        <f t="shared" si="92"/>
        <v>2.4689812080397149E-2</v>
      </c>
      <c r="R280" s="33">
        <f t="shared" si="93"/>
        <v>1.4610428962835258E-5</v>
      </c>
      <c r="S280" s="45">
        <f>0.37*Model!$B$10*(Q280^2*(N280-K280)*I280/(R280*O280^2))^0.33333*(N280-K280)</f>
        <v>372217.2739464452</v>
      </c>
      <c r="T280" s="50">
        <f>Model!$B$32+(90-Model!$B$6)*SIN(RADIANS(-15*(E280+6)))</f>
        <v>11.416714704073403</v>
      </c>
      <c r="U280" s="45">
        <f t="shared" si="82"/>
        <v>11.416714704073403</v>
      </c>
      <c r="V280" s="50">
        <f t="shared" si="83"/>
        <v>5.0519516651184473</v>
      </c>
      <c r="W280" s="45">
        <f t="shared" si="84"/>
        <v>415.6631512228841</v>
      </c>
      <c r="X280" s="45">
        <f>0.3*W280*Model!$B$9</f>
        <v>37652.698183640576</v>
      </c>
      <c r="Y280" s="33">
        <f>(S280-X280)/Model!$B$11</f>
        <v>7.1771870806136354E-3</v>
      </c>
      <c r="Z280" s="45">
        <f t="shared" si="85"/>
        <v>10.115784736271554</v>
      </c>
      <c r="AA280" s="56">
        <f>Y280/Model!$B$12*3600</f>
        <v>46.468906056758399</v>
      </c>
      <c r="AB280" s="50">
        <f t="shared" si="90"/>
        <v>674.37959306499954</v>
      </c>
      <c r="AC280" s="50">
        <f t="shared" si="94"/>
        <v>1125.6204069350006</v>
      </c>
      <c r="AD280" s="15">
        <f>IF(AE280=0, Model!$B$19, 0 )</f>
        <v>0</v>
      </c>
      <c r="AE280" s="50">
        <f>IF(AE279+AB279-AB280&lt;Model!$B$19*Model!$B$18, AE279+AB279-AB280,  0)</f>
        <v>219.44211259261272</v>
      </c>
      <c r="AF280" s="15">
        <f t="shared" si="86"/>
        <v>13.900000000000063</v>
      </c>
      <c r="AG280" s="50">
        <f t="shared" si="87"/>
        <v>0</v>
      </c>
    </row>
    <row r="281" spans="2:33" x14ac:dyDescent="0.25">
      <c r="B281" s="13">
        <f t="shared" si="88"/>
        <v>13.950000000000063</v>
      </c>
      <c r="C281" s="13">
        <f>B281+Model!$B$4</f>
        <v>15.950000000000063</v>
      </c>
      <c r="D281" s="13">
        <f t="shared" si="89"/>
        <v>1</v>
      </c>
      <c r="E281" s="13">
        <f t="shared" si="73"/>
        <v>15.950000000000063</v>
      </c>
      <c r="F281" s="14">
        <f>IF(AB281&gt;0, VLOOKUP(B281,Model!$A$40:$B$60, 2), 0)</f>
        <v>300</v>
      </c>
      <c r="G281" s="13">
        <f>IF(AB281&gt;0, VLOOKUP(B281,Model!$A$39:$C$58, 3), 0)</f>
        <v>1</v>
      </c>
      <c r="H281" s="13">
        <f t="shared" si="78"/>
        <v>97</v>
      </c>
      <c r="I281" s="46">
        <f>Model!$B$21*EXP((-0.029*9.81*F281)/(8.31*(273+J281)))</f>
        <v>100357.4491247143</v>
      </c>
      <c r="J281" s="13">
        <f>IF(Model!$B$31="Summer",  IF(F281&lt;=2000,  Model!$B$20-Model!$B$35*F281/1000,  IF(F281&lt;Model!$B$36,  Model!$B$33-6.5*F281/1000,  Model!$B$38)),     IF(F281&lt;=2000,  Model!$B$20-Model!$B$35*F281/1000,  IF(F281&lt;Model!$B$36,  Model!$B$33-5.4*F281/1000,   Model!$B$38)))</f>
        <v>-19.088750000000001</v>
      </c>
      <c r="K281" s="13">
        <f t="shared" si="91"/>
        <v>253.91125</v>
      </c>
      <c r="L281" s="46">
        <f>IF(AB280-AA280*(B281-B280)&gt;0, L280-Y280*(B281-B280)*3600-AD281*Model!$B$16, 0)</f>
        <v>1004.6800195594575</v>
      </c>
      <c r="M281" s="57">
        <f t="shared" si="79"/>
        <v>38.429334381824731</v>
      </c>
      <c r="N281" s="57">
        <f>Model!$B$13*I281*K281/(Model!$B$13*I281-L281*287*K281)</f>
        <v>311.42933438182473</v>
      </c>
      <c r="O281" s="57">
        <f t="shared" si="80"/>
        <v>282.67029219091239</v>
      </c>
      <c r="P281" s="57">
        <f t="shared" si="81"/>
        <v>12.441379865731593</v>
      </c>
      <c r="Q281" s="63">
        <f t="shared" si="92"/>
        <v>2.4686590745554779E-2</v>
      </c>
      <c r="R281" s="17">
        <f t="shared" si="93"/>
        <v>1.4605710387854888E-5</v>
      </c>
      <c r="S281" s="46">
        <f>0.37*Model!$B$10*(Q281^2*(N281-K281)*I281/(R281*O281^2))^0.33333*(N281-K281)</f>
        <v>371483.18420885951</v>
      </c>
      <c r="T281" s="51">
        <f>Model!$B$32+(90-Model!$B$6)*SIN(RADIANS(-15*(E281+6)))</f>
        <v>11.024522951711987</v>
      </c>
      <c r="U281" s="46">
        <f t="shared" si="82"/>
        <v>11.024522951711987</v>
      </c>
      <c r="V281" s="51">
        <f t="shared" si="83"/>
        <v>5.2293290771583951</v>
      </c>
      <c r="W281" s="46">
        <f t="shared" si="84"/>
        <v>398.21228942967139</v>
      </c>
      <c r="X281" s="46">
        <f>0.3*W281*Model!$B$9</f>
        <v>36071.918097142283</v>
      </c>
      <c r="Y281" s="17">
        <f>(S281-X281)/Model!$B$11</f>
        <v>7.1953505547938902E-3</v>
      </c>
      <c r="Z281" s="46">
        <f t="shared" si="85"/>
        <v>9.7102425171583313</v>
      </c>
      <c r="AA281" s="57">
        <f>Y281/Model!$B$12*3600</f>
        <v>46.586505997496523</v>
      </c>
      <c r="AB281" s="51">
        <f t="shared" si="90"/>
        <v>672.05614776216157</v>
      </c>
      <c r="AC281" s="51">
        <f t="shared" si="94"/>
        <v>1127.9438522378384</v>
      </c>
      <c r="AD281" s="13">
        <f>IF(AE281=0, Model!$B$19, 0 )</f>
        <v>0</v>
      </c>
      <c r="AE281" s="51">
        <f>IF(AE280+AB280-AB281&lt;Model!$B$19*Model!$B$18, AE280+AB280-AB281,  0)</f>
        <v>221.76555789545068</v>
      </c>
      <c r="AF281" s="13">
        <f t="shared" si="86"/>
        <v>13.950000000000063</v>
      </c>
      <c r="AG281" s="50">
        <f t="shared" si="87"/>
        <v>0</v>
      </c>
    </row>
    <row r="282" spans="2:33" x14ac:dyDescent="0.25">
      <c r="B282" s="15">
        <f t="shared" si="88"/>
        <v>14.000000000000064</v>
      </c>
      <c r="C282" s="15">
        <f>B282+Model!$B$4</f>
        <v>16.000000000000064</v>
      </c>
      <c r="D282" s="15">
        <f t="shared" si="89"/>
        <v>1</v>
      </c>
      <c r="E282" s="15">
        <f t="shared" si="73"/>
        <v>16.000000000000064</v>
      </c>
      <c r="F282" s="16">
        <f>IF(AB282&gt;0, VLOOKUP(B282,Model!$A$40:$B$60, 2), 0)</f>
        <v>300</v>
      </c>
      <c r="G282" s="15">
        <f>IF(AB282&gt;0, VLOOKUP(B282,Model!$A$39:$C$58, 3), 0)</f>
        <v>1</v>
      </c>
      <c r="H282" s="15">
        <f t="shared" si="78"/>
        <v>97</v>
      </c>
      <c r="I282" s="45">
        <f>Model!$B$21*EXP((-0.029*9.81*F282)/(8.31*(273+J282)))</f>
        <v>100357.4491247143</v>
      </c>
      <c r="J282" s="15">
        <f>IF(Model!$B$31="Summer",  IF(F282&lt;=2000,  Model!$B$20-Model!$B$35*F282/1000,  IF(F282&lt;Model!$B$36,  Model!$B$33-6.5*F282/1000,  Model!$B$38)),     IF(F282&lt;=2000,  Model!$B$20-Model!$B$35*F282/1000,  IF(F282&lt;Model!$B$36,  Model!$B$33-5.4*F282/1000,   Model!$B$38)))</f>
        <v>-19.088750000000001</v>
      </c>
      <c r="K282" s="15">
        <f t="shared" si="91"/>
        <v>253.91125</v>
      </c>
      <c r="L282" s="45">
        <f>IF(AB281-AA281*(B282-B281)&gt;0, L281-Y281*(B282-B281)*3600-AD282*Model!$B$16, 0)</f>
        <v>1003.3848564595945</v>
      </c>
      <c r="M282" s="56">
        <f t="shared" si="79"/>
        <v>38.338415962057013</v>
      </c>
      <c r="N282" s="56">
        <f>Model!$B$13*I282*K282/(Model!$B$13*I282-L282*287*K282)</f>
        <v>311.33841596205701</v>
      </c>
      <c r="O282" s="56">
        <f t="shared" si="80"/>
        <v>282.62483298102848</v>
      </c>
      <c r="P282" s="56">
        <f t="shared" si="81"/>
        <v>12.279581577226315</v>
      </c>
      <c r="Q282" s="62">
        <f t="shared" si="92"/>
        <v>2.4683363141653022E-2</v>
      </c>
      <c r="R282" s="33">
        <f t="shared" si="93"/>
        <v>1.4600982630026961E-5</v>
      </c>
      <c r="S282" s="45">
        <f>0.37*Model!$B$10*(Q282^2*(N282-K282)*I282/(R282*O282^2))^0.33333*(N282-K282)</f>
        <v>370747.89902797033</v>
      </c>
      <c r="T282" s="50">
        <f>Model!$B$32+(90-Model!$B$6)*SIN(RADIANS(-15*(E282+6)))</f>
        <v>10.629264939015183</v>
      </c>
      <c r="U282" s="45">
        <f t="shared" si="82"/>
        <v>10.629264939015183</v>
      </c>
      <c r="V282" s="50">
        <f t="shared" si="83"/>
        <v>5.4214241008789754</v>
      </c>
      <c r="W282" s="45">
        <f t="shared" si="84"/>
        <v>380.13893423009682</v>
      </c>
      <c r="X282" s="45">
        <f>0.3*W282*Model!$B$9</f>
        <v>34434.749667626114</v>
      </c>
      <c r="Y282" s="33">
        <f>(S282-X282)/Model!$B$11</f>
        <v>7.2146980448427375E-3</v>
      </c>
      <c r="Z282" s="45">
        <f t="shared" si="85"/>
        <v>9.2879149842540993</v>
      </c>
      <c r="AA282" s="56">
        <f>Y282/Model!$B$12*3600</f>
        <v>46.711771883339516</v>
      </c>
      <c r="AB282" s="50">
        <f t="shared" si="90"/>
        <v>669.72682246228669</v>
      </c>
      <c r="AC282" s="50">
        <f t="shared" si="94"/>
        <v>1130.2731775377133</v>
      </c>
      <c r="AD282" s="15">
        <f>IF(AE282=0, Model!$B$19, 0 )</f>
        <v>0</v>
      </c>
      <c r="AE282" s="50">
        <f>IF(AE281+AB281-AB282&lt;Model!$B$19*Model!$B$18, AE281+AB281-AB282,  0)</f>
        <v>224.09488319532556</v>
      </c>
      <c r="AF282" s="15">
        <f t="shared" si="86"/>
        <v>14.000000000000064</v>
      </c>
      <c r="AG282" s="50">
        <f t="shared" si="87"/>
        <v>0</v>
      </c>
    </row>
    <row r="283" spans="2:33" x14ac:dyDescent="0.25">
      <c r="B283" s="13">
        <f t="shared" si="88"/>
        <v>14.050000000000065</v>
      </c>
      <c r="C283" s="13">
        <f>B283+Model!$B$4</f>
        <v>16.050000000000065</v>
      </c>
      <c r="D283" s="13">
        <f t="shared" si="89"/>
        <v>1</v>
      </c>
      <c r="E283" s="13">
        <f t="shared" si="73"/>
        <v>16.050000000000065</v>
      </c>
      <c r="F283" s="14">
        <f>IF(AB283&gt;0, VLOOKUP(B283,Model!$A$40:$B$60, 2), 0)</f>
        <v>300</v>
      </c>
      <c r="G283" s="13">
        <f>IF(AB283&gt;0, VLOOKUP(B283,Model!$A$39:$C$58, 3), 0)</f>
        <v>1</v>
      </c>
      <c r="H283" s="13">
        <f t="shared" si="78"/>
        <v>97</v>
      </c>
      <c r="I283" s="46">
        <f>Model!$B$21*EXP((-0.029*9.81*F283)/(8.31*(273+J283)))</f>
        <v>100357.4491247143</v>
      </c>
      <c r="J283" s="13">
        <f>IF(Model!$B$31="Summer",  IF(F283&lt;=2000,  Model!$B$20-Model!$B$35*F283/1000,  IF(F283&lt;Model!$B$36,  Model!$B$33-6.5*F283/1000,  Model!$B$38)),     IF(F283&lt;=2000,  Model!$B$20-Model!$B$35*F283/1000,  IF(F283&lt;Model!$B$36,  Model!$B$33-5.4*F283/1000,   Model!$B$38)))</f>
        <v>-19.088750000000001</v>
      </c>
      <c r="K283" s="13">
        <f t="shared" si="91"/>
        <v>253.91125</v>
      </c>
      <c r="L283" s="46">
        <f>IF(AB282-AA282*(B283-B282)&gt;0, L282-Y282*(B283-B282)*3600-AD283*Model!$B$16, 0)</f>
        <v>1002.0862108115228</v>
      </c>
      <c r="M283" s="57">
        <f t="shared" si="79"/>
        <v>38.247306356863191</v>
      </c>
      <c r="N283" s="57">
        <f>Model!$B$13*I283*K283/(Model!$B$13*I283-L283*287*K283)</f>
        <v>311.24730635686319</v>
      </c>
      <c r="O283" s="57">
        <f t="shared" si="80"/>
        <v>282.57927817843159</v>
      </c>
      <c r="P283" s="57">
        <f t="shared" si="81"/>
        <v>12.113537739965574</v>
      </c>
      <c r="Q283" s="63">
        <f t="shared" si="92"/>
        <v>2.4680128750668644E-2</v>
      </c>
      <c r="R283" s="17">
        <f t="shared" si="93"/>
        <v>1.4596244930556885E-5</v>
      </c>
      <c r="S283" s="46">
        <f>0.37*Model!$B$10*(Q283^2*(N283-K283)*I283/(R283*O283^2))^0.33333*(N283-K283)</f>
        <v>370011.30228543666</v>
      </c>
      <c r="T283" s="51">
        <f>Model!$B$32+(90-Model!$B$6)*SIN(RADIANS(-15*(E283+6)))</f>
        <v>10.231008391408601</v>
      </c>
      <c r="U283" s="46">
        <f t="shared" si="82"/>
        <v>10.231008391408601</v>
      </c>
      <c r="V283" s="51">
        <f t="shared" si="83"/>
        <v>5.6300803165264961</v>
      </c>
      <c r="W283" s="46">
        <f t="shared" si="84"/>
        <v>361.43569347534941</v>
      </c>
      <c r="X283" s="46">
        <f>0.3*W283*Model!$B$9</f>
        <v>32740.523279930625</v>
      </c>
      <c r="Y283" s="17">
        <f>(S283-X283)/Model!$B$11</f>
        <v>7.2352414245523116E-3</v>
      </c>
      <c r="Z283" s="46">
        <f t="shared" si="85"/>
        <v>8.8485197824237556</v>
      </c>
      <c r="AA283" s="57">
        <f>Y283/Model!$B$12*3600</f>
        <v>46.844780591499159</v>
      </c>
      <c r="AB283" s="51">
        <f t="shared" si="90"/>
        <v>667.39123386811968</v>
      </c>
      <c r="AC283" s="51">
        <f t="shared" si="94"/>
        <v>1132.6087661318802</v>
      </c>
      <c r="AD283" s="13">
        <f>IF(AE283=0, Model!$B$19, 0 )</f>
        <v>0</v>
      </c>
      <c r="AE283" s="51">
        <f>IF(AE282+AB282-AB283&lt;Model!$B$19*Model!$B$18, AE282+AB282-AB283,  0)</f>
        <v>226.43047178949257</v>
      </c>
      <c r="AF283" s="13">
        <f t="shared" si="86"/>
        <v>14.050000000000065</v>
      </c>
      <c r="AG283" s="50">
        <f t="shared" si="87"/>
        <v>0</v>
      </c>
    </row>
    <row r="284" spans="2:33" x14ac:dyDescent="0.25">
      <c r="B284" s="15">
        <f t="shared" si="88"/>
        <v>14.100000000000065</v>
      </c>
      <c r="C284" s="15">
        <f>B284+Model!$B$4</f>
        <v>16.100000000000065</v>
      </c>
      <c r="D284" s="15">
        <f t="shared" si="89"/>
        <v>1</v>
      </c>
      <c r="E284" s="15">
        <f t="shared" si="73"/>
        <v>16.100000000000065</v>
      </c>
      <c r="F284" s="16">
        <f>IF(AB284&gt;0, VLOOKUP(B284,Model!$A$40:$B$60, 2), 0)</f>
        <v>300</v>
      </c>
      <c r="G284" s="15">
        <f>IF(AB284&gt;0, VLOOKUP(B284,Model!$A$39:$C$58, 3), 0)</f>
        <v>1</v>
      </c>
      <c r="H284" s="15">
        <f t="shared" si="78"/>
        <v>97</v>
      </c>
      <c r="I284" s="45">
        <f>Model!$B$21*EXP((-0.029*9.81*F284)/(8.31*(273+J284)))</f>
        <v>100357.4491247143</v>
      </c>
      <c r="J284" s="15">
        <f>IF(Model!$B$31="Summer",  IF(F284&lt;=2000,  Model!$B$20-Model!$B$35*F284/1000,  IF(F284&lt;Model!$B$36,  Model!$B$33-6.5*F284/1000,  Model!$B$38)),     IF(F284&lt;=2000,  Model!$B$20-Model!$B$35*F284/1000,  IF(F284&lt;Model!$B$36,  Model!$B$33-5.4*F284/1000,   Model!$B$38)))</f>
        <v>-19.088750000000001</v>
      </c>
      <c r="K284" s="15">
        <f t="shared" si="91"/>
        <v>253.91125</v>
      </c>
      <c r="L284" s="45">
        <f>IF(AB283-AA283*(B284-B283)&gt;0, L283-Y283*(B284-B283)*3600-AD284*Model!$B$16, 0)</f>
        <v>1000.7838673551034</v>
      </c>
      <c r="M284" s="56">
        <f t="shared" si="79"/>
        <v>38.155990859657834</v>
      </c>
      <c r="N284" s="56">
        <f>Model!$B$13*I284*K284/(Model!$B$13*I284-L284*287*K284)</f>
        <v>311.15599085965783</v>
      </c>
      <c r="O284" s="56">
        <f t="shared" si="80"/>
        <v>282.53362042982894</v>
      </c>
      <c r="P284" s="56">
        <f t="shared" si="81"/>
        <v>11.943191719664579</v>
      </c>
      <c r="Q284" s="62">
        <f t="shared" si="92"/>
        <v>2.4676887050517855E-2</v>
      </c>
      <c r="R284" s="33">
        <f t="shared" si="93"/>
        <v>1.4591496524702209E-5</v>
      </c>
      <c r="S284" s="45">
        <f>0.37*Model!$B$10*(Q284^2*(N284-K284)*I284/(R284*O284^2))^0.33333*(N284-K284)</f>
        <v>369273.2770994571</v>
      </c>
      <c r="T284" s="50">
        <f>Model!$B$32+(90-Model!$B$6)*SIN(RADIANS(-15*(E284+6)))</f>
        <v>9.8298215481014637</v>
      </c>
      <c r="U284" s="45">
        <f t="shared" si="82"/>
        <v>9.8298215481014637</v>
      </c>
      <c r="V284" s="50">
        <f t="shared" si="83"/>
        <v>5.8574633619718126</v>
      </c>
      <c r="W284" s="45">
        <f t="shared" si="84"/>
        <v>342.10020863836394</v>
      </c>
      <c r="X284" s="45">
        <f>0.3*W284*Model!$B$9</f>
        <v>30989.025287723485</v>
      </c>
      <c r="Y284" s="33">
        <f>(S284-X284)/Model!$B$11</f>
        <v>7.2569827697465117E-3</v>
      </c>
      <c r="Z284" s="45">
        <f t="shared" si="85"/>
        <v>8.3918948945166019</v>
      </c>
      <c r="AA284" s="56">
        <f>Y284/Model!$B$12*3600</f>
        <v>46.985545561957537</v>
      </c>
      <c r="AB284" s="50">
        <f t="shared" si="90"/>
        <v>665.04899483854467</v>
      </c>
      <c r="AC284" s="50">
        <f t="shared" si="94"/>
        <v>1134.9510051614552</v>
      </c>
      <c r="AD284" s="15">
        <f>IF(AE284=0, Model!$B$19, 0 )</f>
        <v>0</v>
      </c>
      <c r="AE284" s="50">
        <f>IF(AE283+AB283-AB284&lt;Model!$B$19*Model!$B$18, AE283+AB283-AB284,  0)</f>
        <v>228.77271081906758</v>
      </c>
      <c r="AF284" s="15">
        <f t="shared" si="86"/>
        <v>14.100000000000065</v>
      </c>
      <c r="AG284" s="50">
        <f t="shared" si="87"/>
        <v>0</v>
      </c>
    </row>
    <row r="285" spans="2:33" x14ac:dyDescent="0.25">
      <c r="B285" s="13">
        <f t="shared" si="88"/>
        <v>14.150000000000066</v>
      </c>
      <c r="C285" s="13">
        <f>B285+Model!$B$4</f>
        <v>16.150000000000066</v>
      </c>
      <c r="D285" s="13">
        <f t="shared" si="89"/>
        <v>1</v>
      </c>
      <c r="E285" s="13">
        <f t="shared" si="73"/>
        <v>16.150000000000066</v>
      </c>
      <c r="F285" s="14">
        <f>IF(AB285&gt;0, VLOOKUP(B285,Model!$A$40:$B$60, 2), 0)</f>
        <v>300</v>
      </c>
      <c r="G285" s="13">
        <f>IF(AB285&gt;0, VLOOKUP(B285,Model!$A$39:$C$58, 3), 0)</f>
        <v>1</v>
      </c>
      <c r="H285" s="13">
        <f t="shared" si="78"/>
        <v>97</v>
      </c>
      <c r="I285" s="46">
        <f>Model!$B$21*EXP((-0.029*9.81*F285)/(8.31*(273+J285)))</f>
        <v>100357.4491247143</v>
      </c>
      <c r="J285" s="13">
        <f>IF(Model!$B$31="Summer",  IF(F285&lt;=2000,  Model!$B$20-Model!$B$35*F285/1000,  IF(F285&lt;Model!$B$36,  Model!$B$33-6.5*F285/1000,  Model!$B$38)),     IF(F285&lt;=2000,  Model!$B$20-Model!$B$35*F285/1000,  IF(F285&lt;Model!$B$36,  Model!$B$33-5.4*F285/1000,   Model!$B$38)))</f>
        <v>-19.088750000000001</v>
      </c>
      <c r="K285" s="13">
        <f t="shared" si="91"/>
        <v>253.91125</v>
      </c>
      <c r="L285" s="46">
        <f>IF(AB284-AA284*(B285-B284)&gt;0, L284-Y284*(B285-B284)*3600-AD285*Model!$B$16, 0)</f>
        <v>999.47761045654909</v>
      </c>
      <c r="M285" s="57">
        <f t="shared" si="79"/>
        <v>38.064454773626721</v>
      </c>
      <c r="N285" s="57">
        <f>Model!$B$13*I285*K285/(Model!$B$13*I285-L285*287*K285)</f>
        <v>311.06445477362672</v>
      </c>
      <c r="O285" s="57">
        <f t="shared" si="80"/>
        <v>282.48785238681336</v>
      </c>
      <c r="P285" s="57">
        <f t="shared" si="81"/>
        <v>11.768520444402453</v>
      </c>
      <c r="Q285" s="63">
        <f t="shared" si="92"/>
        <v>2.4673637519463748E-2</v>
      </c>
      <c r="R285" s="17">
        <f t="shared" si="93"/>
        <v>1.4586736648228589E-5</v>
      </c>
      <c r="S285" s="46">
        <f>0.37*Model!$B$10*(Q285^2*(N285-K285)*I285/(R285*O285^2))^0.33333*(N285-K285)</f>
        <v>368533.70683085389</v>
      </c>
      <c r="T285" s="51">
        <f>Model!$B$32+(90-Model!$B$6)*SIN(RADIANS(-15*(E285+6)))</f>
        <v>9.4257731503940647</v>
      </c>
      <c r="U285" s="46">
        <f t="shared" si="82"/>
        <v>9.4257731503940647</v>
      </c>
      <c r="V285" s="51">
        <f t="shared" si="83"/>
        <v>6.106134441099635</v>
      </c>
      <c r="W285" s="46">
        <f t="shared" si="84"/>
        <v>322.13680681802344</v>
      </c>
      <c r="X285" s="46">
        <f>0.3*W285*Model!$B$9</f>
        <v>29180.647659712478</v>
      </c>
      <c r="Y285" s="17">
        <f>(S285-X285)/Model!$B$11</f>
        <v>7.279911169605093E-3</v>
      </c>
      <c r="Z285" s="46">
        <f t="shared" si="85"/>
        <v>7.9180403634301859</v>
      </c>
      <c r="AA285" s="57">
        <f>Y285/Model!$B$12*3600</f>
        <v>47.133996152292319</v>
      </c>
      <c r="AB285" s="51">
        <f t="shared" si="90"/>
        <v>662.69971756044674</v>
      </c>
      <c r="AC285" s="51">
        <f t="shared" si="94"/>
        <v>1137.3002824395533</v>
      </c>
      <c r="AD285" s="13">
        <f>IF(AE285=0, Model!$B$19, 0 )</f>
        <v>0</v>
      </c>
      <c r="AE285" s="51">
        <f>IF(AE284+AB284-AB285&lt;Model!$B$19*Model!$B$18, AE284+AB284-AB285,  0)</f>
        <v>231.12198809716551</v>
      </c>
      <c r="AF285" s="13">
        <f t="shared" si="86"/>
        <v>14.150000000000066</v>
      </c>
      <c r="AG285" s="50">
        <f t="shared" si="87"/>
        <v>0</v>
      </c>
    </row>
    <row r="286" spans="2:33" x14ac:dyDescent="0.25">
      <c r="B286" s="15">
        <f t="shared" si="88"/>
        <v>14.200000000000067</v>
      </c>
      <c r="C286" s="15">
        <f>B286+Model!$B$4</f>
        <v>16.200000000000067</v>
      </c>
      <c r="D286" s="15">
        <f t="shared" si="89"/>
        <v>1</v>
      </c>
      <c r="E286" s="15">
        <f t="shared" si="73"/>
        <v>16.200000000000067</v>
      </c>
      <c r="F286" s="16">
        <f>IF(AB286&gt;0, VLOOKUP(B286,Model!$A$40:$B$60, 2), 0)</f>
        <v>300</v>
      </c>
      <c r="G286" s="15">
        <f>IF(AB286&gt;0, VLOOKUP(B286,Model!$A$39:$C$58, 3), 0)</f>
        <v>1</v>
      </c>
      <c r="H286" s="15">
        <f t="shared" si="78"/>
        <v>97</v>
      </c>
      <c r="I286" s="45">
        <f>Model!$B$21*EXP((-0.029*9.81*F286)/(8.31*(273+J286)))</f>
        <v>100357.4491247143</v>
      </c>
      <c r="J286" s="15">
        <f>IF(Model!$B$31="Summer",  IF(F286&lt;=2000,  Model!$B$20-Model!$B$35*F286/1000,  IF(F286&lt;Model!$B$36,  Model!$B$33-6.5*F286/1000,  Model!$B$38)),     IF(F286&lt;=2000,  Model!$B$20-Model!$B$35*F286/1000,  IF(F286&lt;Model!$B$36,  Model!$B$33-5.4*F286/1000,   Model!$B$38)))</f>
        <v>-19.088750000000001</v>
      </c>
      <c r="K286" s="15">
        <f t="shared" si="91"/>
        <v>253.91125</v>
      </c>
      <c r="L286" s="45">
        <f>IF(AB285-AA285*(B286-B285)&gt;0, L285-Y285*(B286-B285)*3600-AD286*Model!$B$16, 0)</f>
        <v>998.16722644602009</v>
      </c>
      <c r="M286" s="56">
        <f t="shared" si="79"/>
        <v>37.972683575642691</v>
      </c>
      <c r="N286" s="56">
        <f>Model!$B$13*I286*K286/(Model!$B$13*I286-L286*287*K286)</f>
        <v>310.97268357564269</v>
      </c>
      <c r="O286" s="56">
        <f t="shared" si="80"/>
        <v>282.44196678782134</v>
      </c>
      <c r="P286" s="56">
        <f t="shared" si="81"/>
        <v>11.589545499941501</v>
      </c>
      <c r="Q286" s="62">
        <f t="shared" si="92"/>
        <v>2.4670379641935317E-2</v>
      </c>
      <c r="R286" s="33">
        <f t="shared" si="93"/>
        <v>1.4581964545933418E-5</v>
      </c>
      <c r="S286" s="45">
        <f>0.37*Model!$B$10*(Q286^2*(N286-K286)*I286/(R286*O286^2))^0.33333*(N286-K286)</f>
        <v>367792.47640841757</v>
      </c>
      <c r="T286" s="50">
        <f>Model!$B$32+(90-Model!$B$6)*SIN(RADIANS(-15*(E286+6)))</f>
        <v>9.0189324298992677</v>
      </c>
      <c r="U286" s="45">
        <f t="shared" si="82"/>
        <v>9.0189324298992677</v>
      </c>
      <c r="V286" s="50">
        <f t="shared" si="83"/>
        <v>6.3791449299260821</v>
      </c>
      <c r="W286" s="45">
        <f t="shared" si="84"/>
        <v>301.55859571963049</v>
      </c>
      <c r="X286" s="45">
        <f>0.3*W286*Model!$B$9</f>
        <v>27316.577752703663</v>
      </c>
      <c r="Y286" s="33">
        <f>(S286-X286)/Model!$B$11</f>
        <v>7.3039986840226084E-3</v>
      </c>
      <c r="Z286" s="45">
        <f t="shared" si="85"/>
        <v>7.4271714363101298</v>
      </c>
      <c r="AA286" s="56">
        <f>Y286/Model!$B$12*3600</f>
        <v>47.289951463479866</v>
      </c>
      <c r="AB286" s="50">
        <f t="shared" si="90"/>
        <v>660.34301775283211</v>
      </c>
      <c r="AC286" s="50">
        <f t="shared" si="94"/>
        <v>1139.6569822471679</v>
      </c>
      <c r="AD286" s="15">
        <f>IF(AE286=0, Model!$B$19, 0 )</f>
        <v>0</v>
      </c>
      <c r="AE286" s="50">
        <f>IF(AE285+AB285-AB286&lt;Model!$B$19*Model!$B$18, AE285+AB285-AB286,  0)</f>
        <v>233.47868790478014</v>
      </c>
      <c r="AF286" s="15">
        <f t="shared" si="86"/>
        <v>14.200000000000067</v>
      </c>
      <c r="AG286" s="50">
        <f t="shared" si="87"/>
        <v>0</v>
      </c>
    </row>
    <row r="287" spans="2:33" x14ac:dyDescent="0.25">
      <c r="B287" s="13">
        <f t="shared" si="88"/>
        <v>14.250000000000068</v>
      </c>
      <c r="C287" s="13">
        <f>B287+Model!$B$4</f>
        <v>16.250000000000068</v>
      </c>
      <c r="D287" s="13">
        <f t="shared" si="89"/>
        <v>1</v>
      </c>
      <c r="E287" s="13">
        <f t="shared" si="73"/>
        <v>16.250000000000068</v>
      </c>
      <c r="F287" s="14">
        <f>IF(AB287&gt;0, VLOOKUP(B287,Model!$A$40:$B$60, 2), 0)</f>
        <v>300</v>
      </c>
      <c r="G287" s="13">
        <f>IF(AB287&gt;0, VLOOKUP(B287,Model!$A$39:$C$58, 3), 0)</f>
        <v>1</v>
      </c>
      <c r="H287" s="13">
        <f t="shared" si="78"/>
        <v>97</v>
      </c>
      <c r="I287" s="46">
        <f>Model!$B$21*EXP((-0.029*9.81*F287)/(8.31*(273+J287)))</f>
        <v>100357.4491247143</v>
      </c>
      <c r="J287" s="13">
        <f>IF(Model!$B$31="Summer",  IF(F287&lt;=2000,  Model!$B$20-Model!$B$35*F287/1000,  IF(F287&lt;Model!$B$36,  Model!$B$33-6.5*F287/1000,  Model!$B$38)),     IF(F287&lt;=2000,  Model!$B$20-Model!$B$35*F287/1000,  IF(F287&lt;Model!$B$36,  Model!$B$33-5.4*F287/1000,   Model!$B$38)))</f>
        <v>-19.088750000000001</v>
      </c>
      <c r="K287" s="13">
        <f t="shared" si="91"/>
        <v>253.91125</v>
      </c>
      <c r="L287" s="46">
        <f>IF(AB286-AA286*(B287-B286)&gt;0, L286-Y286*(B287-B286)*3600-AD287*Model!$B$16, 0)</f>
        <v>996.85250668289598</v>
      </c>
      <c r="M287" s="57">
        <f t="shared" si="79"/>
        <v>37.880663130531389</v>
      </c>
      <c r="N287" s="57">
        <f>Model!$B$13*I287*K287/(Model!$B$13*I287-L287*287*K287)</f>
        <v>310.88066313053139</v>
      </c>
      <c r="O287" s="57">
        <f t="shared" si="80"/>
        <v>282.39595656526569</v>
      </c>
      <c r="P287" s="57">
        <f t="shared" si="81"/>
        <v>11.406347203396564</v>
      </c>
      <c r="Q287" s="63">
        <f t="shared" si="92"/>
        <v>2.4667112916133865E-2</v>
      </c>
      <c r="R287" s="17">
        <f t="shared" si="93"/>
        <v>1.457717948278763E-5</v>
      </c>
      <c r="S287" s="46">
        <f>0.37*Model!$B$10*(Q287^2*(N287-K287)*I287/(R287*O287^2))^0.33333*(N287-K287)</f>
        <v>367049.47405822092</v>
      </c>
      <c r="T287" s="51">
        <f>Model!$B$32+(90-Model!$B$6)*SIN(RADIANS(-15*(E287+6)))</f>
        <v>8.6093690966801688</v>
      </c>
      <c r="U287" s="46">
        <f t="shared" si="82"/>
        <v>8.6093690966801688</v>
      </c>
      <c r="V287" s="51">
        <f t="shared" si="83"/>
        <v>6.6801594997957592</v>
      </c>
      <c r="W287" s="46">
        <f t="shared" si="84"/>
        <v>280.39011236513886</v>
      </c>
      <c r="X287" s="46">
        <f>0.3*W287*Model!$B$9</f>
        <v>25399.038244072301</v>
      </c>
      <c r="Y287" s="17">
        <f>(S287-X287)/Model!$B$11</f>
        <v>7.3291952335975252E-3</v>
      </c>
      <c r="Z287" s="46">
        <f t="shared" si="85"/>
        <v>6.9197860340874753</v>
      </c>
      <c r="AA287" s="57">
        <f>Y287/Model!$B$12*3600</f>
        <v>47.453087254981504</v>
      </c>
      <c r="AB287" s="51">
        <f t="shared" si="90"/>
        <v>657.97852017965806</v>
      </c>
      <c r="AC287" s="51">
        <f t="shared" si="94"/>
        <v>1142.0214798203419</v>
      </c>
      <c r="AD287" s="13">
        <f>IF(AE287=0, Model!$B$19, 0 )</f>
        <v>0</v>
      </c>
      <c r="AE287" s="51">
        <f>IF(AE286+AB286-AB287&lt;Model!$B$19*Model!$B$18, AE286+AB286-AB287,  0)</f>
        <v>235.84318547795419</v>
      </c>
      <c r="AF287" s="13">
        <f t="shared" si="86"/>
        <v>14.250000000000068</v>
      </c>
      <c r="AG287" s="50">
        <f t="shared" si="87"/>
        <v>0</v>
      </c>
    </row>
    <row r="288" spans="2:33" x14ac:dyDescent="0.25">
      <c r="B288" s="15">
        <f t="shared" si="88"/>
        <v>14.300000000000068</v>
      </c>
      <c r="C288" s="15">
        <f>B288+Model!$B$4</f>
        <v>16.300000000000068</v>
      </c>
      <c r="D288" s="15">
        <f t="shared" si="89"/>
        <v>1</v>
      </c>
      <c r="E288" s="15">
        <f t="shared" si="73"/>
        <v>16.300000000000068</v>
      </c>
      <c r="F288" s="16">
        <f>IF(AB288&gt;0, VLOOKUP(B288,Model!$A$40:$B$60, 2), 0)</f>
        <v>300</v>
      </c>
      <c r="G288" s="15">
        <f>IF(AB288&gt;0, VLOOKUP(B288,Model!$A$39:$C$58, 3), 0)</f>
        <v>1</v>
      </c>
      <c r="H288" s="15">
        <f t="shared" si="78"/>
        <v>97</v>
      </c>
      <c r="I288" s="45">
        <f>Model!$B$21*EXP((-0.029*9.81*F288)/(8.31*(273+J288)))</f>
        <v>100357.4491247143</v>
      </c>
      <c r="J288" s="15">
        <f>IF(Model!$B$31="Summer",  IF(F288&lt;=2000,  Model!$B$20-Model!$B$35*F288/1000,  IF(F288&lt;Model!$B$36,  Model!$B$33-6.5*F288/1000,  Model!$B$38)),     IF(F288&lt;=2000,  Model!$B$20-Model!$B$35*F288/1000,  IF(F288&lt;Model!$B$36,  Model!$B$33-5.4*F288/1000,   Model!$B$38)))</f>
        <v>-19.088750000000001</v>
      </c>
      <c r="K288" s="15">
        <f t="shared" si="91"/>
        <v>253.91125</v>
      </c>
      <c r="L288" s="45">
        <f>IF(AB287-AA287*(B288-B287)&gt;0, L287-Y287*(B288-B287)*3600-AD288*Model!$B$16, 0)</f>
        <v>995.53325154084837</v>
      </c>
      <c r="M288" s="56">
        <f t="shared" si="79"/>
        <v>37.788379968904906</v>
      </c>
      <c r="N288" s="56">
        <f>Model!$B$13*I288*K288/(Model!$B$13*I288-L288*287*K288)</f>
        <v>310.78837996890491</v>
      </c>
      <c r="O288" s="56">
        <f t="shared" si="80"/>
        <v>282.34981498445245</v>
      </c>
      <c r="P288" s="56">
        <f t="shared" si="81"/>
        <v>11.219082400220044</v>
      </c>
      <c r="Q288" s="62">
        <f t="shared" si="92"/>
        <v>2.4663836863896123E-2</v>
      </c>
      <c r="R288" s="33">
        <f t="shared" si="93"/>
        <v>1.4572380758383055E-5</v>
      </c>
      <c r="S288" s="45">
        <f>0.37*Model!$B$10*(Q288^2*(N288-K288)*I288/(R288*O288^2))^0.33333*(N288-K288)</f>
        <v>366304.59354259848</v>
      </c>
      <c r="T288" s="50">
        <f>Model!$B$32+(90-Model!$B$6)*SIN(RADIANS(-15*(E288+6)))</f>
        <v>8.1971533273054487</v>
      </c>
      <c r="U288" s="45">
        <f t="shared" si="82"/>
        <v>8.1971533273054487</v>
      </c>
      <c r="V288" s="50">
        <f t="shared" si="83"/>
        <v>7.0136183166057382</v>
      </c>
      <c r="W288" s="45">
        <f t="shared" si="84"/>
        <v>258.67065875217145</v>
      </c>
      <c r="X288" s="45">
        <f>0.3*W288*Model!$B$9</f>
        <v>23431.589291244316</v>
      </c>
      <c r="Y288" s="33">
        <f>(S288-X288)/Model!$B$11</f>
        <v>7.355422165640977E-3</v>
      </c>
      <c r="Z288" s="45">
        <f t="shared" si="85"/>
        <v>6.3967500556389822</v>
      </c>
      <c r="AA288" s="56">
        <f>Y288/Model!$B$12*3600</f>
        <v>47.622894287680438</v>
      </c>
      <c r="AB288" s="50">
        <f t="shared" si="90"/>
        <v>655.60586581690893</v>
      </c>
      <c r="AC288" s="50">
        <f t="shared" si="94"/>
        <v>1144.394134183091</v>
      </c>
      <c r="AD288" s="15">
        <f>IF(AE288=0, Model!$B$19, 0 )</f>
        <v>0</v>
      </c>
      <c r="AE288" s="50">
        <f>IF(AE287+AB287-AB288&lt;Model!$B$19*Model!$B$18, AE287+AB287-AB288,  0)</f>
        <v>238.21583984070332</v>
      </c>
      <c r="AF288" s="15">
        <f t="shared" si="86"/>
        <v>14.300000000000068</v>
      </c>
      <c r="AG288" s="50">
        <f t="shared" si="87"/>
        <v>0</v>
      </c>
    </row>
    <row r="289" spans="2:33" x14ac:dyDescent="0.25">
      <c r="B289" s="13">
        <f t="shared" si="88"/>
        <v>14.350000000000069</v>
      </c>
      <c r="C289" s="13">
        <f>B289+Model!$B$4</f>
        <v>16.350000000000069</v>
      </c>
      <c r="D289" s="13">
        <f t="shared" si="89"/>
        <v>1</v>
      </c>
      <c r="E289" s="13">
        <f t="shared" si="73"/>
        <v>16.350000000000069</v>
      </c>
      <c r="F289" s="14">
        <f>IF(AB289&gt;0, VLOOKUP(B289,Model!$A$40:$B$60, 2), 0)</f>
        <v>300</v>
      </c>
      <c r="G289" s="13">
        <f>IF(AB289&gt;0, VLOOKUP(B289,Model!$A$39:$C$58, 3), 0)</f>
        <v>1</v>
      </c>
      <c r="H289" s="13">
        <f t="shared" si="78"/>
        <v>97</v>
      </c>
      <c r="I289" s="46">
        <f>Model!$B$21*EXP((-0.029*9.81*F289)/(8.31*(273+J289)))</f>
        <v>100357.4491247143</v>
      </c>
      <c r="J289" s="13">
        <f>IF(Model!$B$31="Summer",  IF(F289&lt;=2000,  Model!$B$20-Model!$B$35*F289/1000,  IF(F289&lt;Model!$B$36,  Model!$B$33-6.5*F289/1000,  Model!$B$38)),     IF(F289&lt;=2000,  Model!$B$20-Model!$B$35*F289/1000,  IF(F289&lt;Model!$B$36,  Model!$B$33-5.4*F289/1000,   Model!$B$38)))</f>
        <v>-19.088750000000001</v>
      </c>
      <c r="K289" s="13">
        <f t="shared" si="91"/>
        <v>253.91125</v>
      </c>
      <c r="L289" s="46">
        <f>IF(AB288-AA288*(B289-B288)&gt;0, L288-Y288*(B289-B288)*3600-AD289*Model!$B$16, 0)</f>
        <v>994.20927555103299</v>
      </c>
      <c r="M289" s="57">
        <f t="shared" si="79"/>
        <v>37.695821644943805</v>
      </c>
      <c r="N289" s="57">
        <f>Model!$B$13*I289*K289/(Model!$B$13*I289-L289*287*K289)</f>
        <v>310.69582164494381</v>
      </c>
      <c r="O289" s="57">
        <f t="shared" si="80"/>
        <v>282.30353582247187</v>
      </c>
      <c r="P289" s="57">
        <f t="shared" si="81"/>
        <v>11.028006880819712</v>
      </c>
      <c r="Q289" s="63">
        <f t="shared" si="92"/>
        <v>2.4660551043395502E-2</v>
      </c>
      <c r="R289" s="17">
        <f t="shared" si="93"/>
        <v>1.4567567725537073E-5</v>
      </c>
      <c r="S289" s="46">
        <f>0.37*Model!$B$10*(Q289^2*(N289-K289)*I289/(R289*O289^2))^0.33333*(N289-K289)</f>
        <v>365557.73703970236</v>
      </c>
      <c r="T289" s="51">
        <f>Model!$B$32+(90-Model!$B$6)*SIN(RADIANS(-15*(E289+6)))</f>
        <v>7.7823557528250955</v>
      </c>
      <c r="U289" s="46">
        <f t="shared" si="82"/>
        <v>7.7823557528250955</v>
      </c>
      <c r="V289" s="51">
        <f t="shared" si="83"/>
        <v>7.3849535927041003</v>
      </c>
      <c r="W289" s="46">
        <f t="shared" si="84"/>
        <v>236.45847979974118</v>
      </c>
      <c r="X289" s="46">
        <f>0.3*W289*Model!$B$9</f>
        <v>21419.506989418118</v>
      </c>
      <c r="Y289" s="17">
        <f>(S289-X289)/Model!$B$11</f>
        <v>7.3825641971529384E-3</v>
      </c>
      <c r="Z289" s="46">
        <f t="shared" si="85"/>
        <v>5.8594046354685139</v>
      </c>
      <c r="AA289" s="57">
        <f>Y289/Model!$B$12*3600</f>
        <v>47.798626158447149</v>
      </c>
      <c r="AB289" s="51">
        <f t="shared" si="90"/>
        <v>653.22472110252488</v>
      </c>
      <c r="AC289" s="51">
        <f t="shared" si="94"/>
        <v>1146.7752788974751</v>
      </c>
      <c r="AD289" s="13">
        <f>IF(AE289=0, Model!$B$19, 0 )</f>
        <v>0</v>
      </c>
      <c r="AE289" s="51">
        <f>IF(AE288+AB288-AB289&lt;Model!$B$19*Model!$B$18, AE288+AB288-AB289,  0)</f>
        <v>240.59698455508737</v>
      </c>
      <c r="AF289" s="13">
        <f t="shared" si="86"/>
        <v>14.350000000000069</v>
      </c>
      <c r="AG289" s="50">
        <f t="shared" si="87"/>
        <v>0</v>
      </c>
    </row>
    <row r="290" spans="2:33" x14ac:dyDescent="0.25">
      <c r="B290" s="15">
        <f t="shared" si="88"/>
        <v>14.40000000000007</v>
      </c>
      <c r="C290" s="15">
        <f>B290+Model!$B$4</f>
        <v>16.40000000000007</v>
      </c>
      <c r="D290" s="15">
        <f t="shared" si="89"/>
        <v>1</v>
      </c>
      <c r="E290" s="15">
        <f t="shared" si="73"/>
        <v>16.40000000000007</v>
      </c>
      <c r="F290" s="16">
        <f>IF(AB290&gt;0, VLOOKUP(B290,Model!$A$40:$B$60, 2), 0)</f>
        <v>300</v>
      </c>
      <c r="G290" s="15">
        <f>IF(AB290&gt;0, VLOOKUP(B290,Model!$A$39:$C$58, 3), 0)</f>
        <v>1</v>
      </c>
      <c r="H290" s="15">
        <f t="shared" si="78"/>
        <v>97</v>
      </c>
      <c r="I290" s="45">
        <f>Model!$B$21*EXP((-0.029*9.81*F290)/(8.31*(273+J290)))</f>
        <v>100357.4491247143</v>
      </c>
      <c r="J290" s="15">
        <f>IF(Model!$B$31="Summer",  IF(F290&lt;=2000,  Model!$B$20-Model!$B$35*F290/1000,  IF(F290&lt;Model!$B$36,  Model!$B$33-6.5*F290/1000,  Model!$B$38)),     IF(F290&lt;=2000,  Model!$B$20-Model!$B$35*F290/1000,  IF(F290&lt;Model!$B$36,  Model!$B$33-5.4*F290/1000,   Model!$B$38)))</f>
        <v>-19.088750000000001</v>
      </c>
      <c r="K290" s="15">
        <f t="shared" si="91"/>
        <v>253.91125</v>
      </c>
      <c r="L290" s="45">
        <f>IF(AB289-AA289*(B290-B289)&gt;0, L289-Y289*(B290-B289)*3600-AD290*Model!$B$16, 0)</f>
        <v>992.8804139955455</v>
      </c>
      <c r="M290" s="56">
        <f t="shared" si="79"/>
        <v>37.602977194182699</v>
      </c>
      <c r="N290" s="56">
        <f>Model!$B$13*I290*K290/(Model!$B$13*I290-L290*287*K290)</f>
        <v>310.6029771941827</v>
      </c>
      <c r="O290" s="56">
        <f t="shared" si="80"/>
        <v>282.25711359709135</v>
      </c>
      <c r="P290" s="56">
        <f t="shared" si="81"/>
        <v>10.833503462422957</v>
      </c>
      <c r="Q290" s="62">
        <f t="shared" si="92"/>
        <v>2.4657255065393485E-2</v>
      </c>
      <c r="R290" s="33">
        <f t="shared" si="93"/>
        <v>1.4562739814097498E-5</v>
      </c>
      <c r="S290" s="45">
        <f>0.37*Model!$B$10*(Q290^2*(N290-K290)*I290/(R290*O290^2))^0.33333*(N290-K290)</f>
        <v>364808.8188237992</v>
      </c>
      <c r="T290" s="50">
        <f>Model!$B$32+(90-Model!$B$6)*SIN(RADIANS(-15*(E290+6)))</f>
        <v>7.3650474466681146</v>
      </c>
      <c r="U290" s="45">
        <f t="shared" si="82"/>
        <v>7.3650474466681146</v>
      </c>
      <c r="V290" s="50">
        <f t="shared" si="83"/>
        <v>7.8008829974186584</v>
      </c>
      <c r="W290" s="45">
        <f t="shared" si="84"/>
        <v>213.83595524248665</v>
      </c>
      <c r="X290" s="45">
        <f>0.3*W290*Model!$B$9</f>
        <v>19370.253677450717</v>
      </c>
      <c r="Y290" s="33">
        <f>(S290-X290)/Model!$B$11</f>
        <v>7.4104594046197252E-3</v>
      </c>
      <c r="Z290" s="45">
        <f t="shared" si="85"/>
        <v>5.3096999518551797</v>
      </c>
      <c r="AA290" s="56">
        <f>Y290/Model!$B$12*3600</f>
        <v>47.979234488792791</v>
      </c>
      <c r="AB290" s="50">
        <f t="shared" si="90"/>
        <v>650.83478979460244</v>
      </c>
      <c r="AC290" s="50">
        <f t="shared" si="94"/>
        <v>1149.1652102053977</v>
      </c>
      <c r="AD290" s="15">
        <f>IF(AE290=0, Model!$B$19, 0 )</f>
        <v>0</v>
      </c>
      <c r="AE290" s="50">
        <f>IF(AE289+AB289-AB290&lt;Model!$B$19*Model!$B$18, AE289+AB289-AB290,  0)</f>
        <v>242.98691586300981</v>
      </c>
      <c r="AF290" s="15">
        <f t="shared" si="86"/>
        <v>14.40000000000007</v>
      </c>
      <c r="AG290" s="50">
        <f t="shared" si="87"/>
        <v>0</v>
      </c>
    </row>
    <row r="291" spans="2:33" x14ac:dyDescent="0.25">
      <c r="B291" s="13">
        <f t="shared" si="88"/>
        <v>14.45000000000007</v>
      </c>
      <c r="C291" s="13">
        <f>B291+Model!$B$4</f>
        <v>16.45000000000007</v>
      </c>
      <c r="D291" s="13">
        <f t="shared" si="89"/>
        <v>1</v>
      </c>
      <c r="E291" s="13">
        <f t="shared" ref="E291:E354" si="95">C291-24*(D291-1)</f>
        <v>16.45000000000007</v>
      </c>
      <c r="F291" s="14">
        <f>IF(AB291&gt;0, VLOOKUP(B291,Model!$A$40:$B$60, 2), 0)</f>
        <v>300</v>
      </c>
      <c r="G291" s="13">
        <f>IF(AB291&gt;0, VLOOKUP(B291,Model!$A$39:$C$58, 3), 0)</f>
        <v>1</v>
      </c>
      <c r="H291" s="13">
        <f t="shared" si="78"/>
        <v>97</v>
      </c>
      <c r="I291" s="46">
        <f>Model!$B$21*EXP((-0.029*9.81*F291)/(8.31*(273+J291)))</f>
        <v>100357.4491247143</v>
      </c>
      <c r="J291" s="13">
        <f>IF(Model!$B$31="Summer",  IF(F291&lt;=2000,  Model!$B$20-Model!$B$35*F291/1000,  IF(F291&lt;Model!$B$36,  Model!$B$33-6.5*F291/1000,  Model!$B$38)),     IF(F291&lt;=2000,  Model!$B$20-Model!$B$35*F291/1000,  IF(F291&lt;Model!$B$36,  Model!$B$33-5.4*F291/1000,   Model!$B$38)))</f>
        <v>-19.088750000000001</v>
      </c>
      <c r="K291" s="13">
        <f t="shared" si="91"/>
        <v>253.91125</v>
      </c>
      <c r="L291" s="46">
        <f>IF(AB290-AA290*(B291-B290)&gt;0, L290-Y290*(B291-B290)*3600-AD291*Model!$B$16, 0)</f>
        <v>991.5465313027139</v>
      </c>
      <c r="M291" s="57">
        <f t="shared" si="79"/>
        <v>37.509837715401204</v>
      </c>
      <c r="N291" s="57">
        <f>Model!$B$13*I291*K291/(Model!$B$13*I291-L291*287*K291)</f>
        <v>310.5098377154012</v>
      </c>
      <c r="O291" s="57">
        <f t="shared" si="80"/>
        <v>282.2105438577006</v>
      </c>
      <c r="P291" s="57">
        <f t="shared" si="81"/>
        <v>10.636116892650513</v>
      </c>
      <c r="Q291" s="63">
        <f t="shared" si="92"/>
        <v>2.4653948613896744E-2</v>
      </c>
      <c r="R291" s="17">
        <f t="shared" si="93"/>
        <v>1.455789656120086E-5</v>
      </c>
      <c r="S291" s="46">
        <f>0.37*Model!$B$10*(Q291^2*(N291-K291)*I291/(R291*O291^2))^0.33333*(N291-K291)</f>
        <v>364057.76993863803</v>
      </c>
      <c r="T291" s="51">
        <f>Model!$B$32+(90-Model!$B$6)*SIN(RADIANS(-15*(E291+6)))</f>
        <v>6.9452999124644261</v>
      </c>
      <c r="U291" s="46">
        <f t="shared" si="82"/>
        <v>6.9452999124644261</v>
      </c>
      <c r="V291" s="51">
        <f t="shared" si="83"/>
        <v>8.2698137521903288</v>
      </c>
      <c r="W291" s="46">
        <f t="shared" si="84"/>
        <v>190.91597640449848</v>
      </c>
      <c r="X291" s="46">
        <f>0.3*W291*Model!$B$9</f>
        <v>17294.055575638595</v>
      </c>
      <c r="Y291" s="17">
        <f>(S291-X291)/Model!$B$11</f>
        <v>7.438886932596791E-3</v>
      </c>
      <c r="Z291" s="46">
        <f t="shared" si="85"/>
        <v>4.7503602459998344</v>
      </c>
      <c r="AA291" s="57">
        <f>Y291/Model!$B$12*3600</f>
        <v>48.163289343731755</v>
      </c>
      <c r="AB291" s="51">
        <f t="shared" si="90"/>
        <v>648.43582807016276</v>
      </c>
      <c r="AC291" s="51">
        <f t="shared" si="94"/>
        <v>1151.5641719298374</v>
      </c>
      <c r="AD291" s="13">
        <f>IF(AE291=0, Model!$B$19, 0 )</f>
        <v>0</v>
      </c>
      <c r="AE291" s="51">
        <f>IF(AE290+AB290-AB291&lt;Model!$B$19*Model!$B$18, AE290+AB290-AB291,  0)</f>
        <v>245.3858775874495</v>
      </c>
      <c r="AF291" s="13">
        <f t="shared" si="86"/>
        <v>14.45000000000007</v>
      </c>
      <c r="AG291" s="50">
        <f t="shared" si="87"/>
        <v>0</v>
      </c>
    </row>
    <row r="292" spans="2:33" x14ac:dyDescent="0.25">
      <c r="B292" s="15">
        <f t="shared" si="88"/>
        <v>14.500000000000071</v>
      </c>
      <c r="C292" s="15">
        <f>B292+Model!$B$4</f>
        <v>16.500000000000071</v>
      </c>
      <c r="D292" s="15">
        <f t="shared" si="89"/>
        <v>1</v>
      </c>
      <c r="E292" s="15">
        <f t="shared" si="95"/>
        <v>16.500000000000071</v>
      </c>
      <c r="F292" s="16">
        <f>IF(AB292&gt;0, VLOOKUP(B292,Model!$A$40:$B$60, 2), 0)</f>
        <v>300</v>
      </c>
      <c r="G292" s="15">
        <f>IF(AB292&gt;0, VLOOKUP(B292,Model!$A$39:$C$58, 3), 0)</f>
        <v>1</v>
      </c>
      <c r="H292" s="15">
        <f t="shared" si="78"/>
        <v>97</v>
      </c>
      <c r="I292" s="45">
        <f>Model!$B$21*EXP((-0.029*9.81*F292)/(8.31*(273+J292)))</f>
        <v>100357.4491247143</v>
      </c>
      <c r="J292" s="15">
        <f>IF(Model!$B$31="Summer",  IF(F292&lt;=2000,  Model!$B$20-Model!$B$35*F292/1000,  IF(F292&lt;Model!$B$36,  Model!$B$33-6.5*F292/1000,  Model!$B$38)),     IF(F292&lt;=2000,  Model!$B$20-Model!$B$35*F292/1000,  IF(F292&lt;Model!$B$36,  Model!$B$33-5.4*F292/1000,   Model!$B$38)))</f>
        <v>-19.088750000000001</v>
      </c>
      <c r="K292" s="15">
        <f t="shared" si="91"/>
        <v>253.91125</v>
      </c>
      <c r="L292" s="45">
        <f>IF(AB291-AA291*(B292-B291)&gt;0, L291-Y291*(B292-B291)*3600-AD292*Model!$B$16, 0)</f>
        <v>990.20753165484643</v>
      </c>
      <c r="M292" s="56">
        <f t="shared" si="79"/>
        <v>37.416397104716452</v>
      </c>
      <c r="N292" s="56">
        <f>Model!$B$13*I292*K292/(Model!$B$13*I292-L292*287*K292)</f>
        <v>310.41639710471645</v>
      </c>
      <c r="O292" s="56">
        <f t="shared" si="80"/>
        <v>282.16382355235822</v>
      </c>
      <c r="P292" s="56">
        <f t="shared" si="81"/>
        <v>10.436596728388215</v>
      </c>
      <c r="Q292" s="62">
        <f t="shared" si="92"/>
        <v>2.4650631472217435E-2</v>
      </c>
      <c r="R292" s="33">
        <f t="shared" si="93"/>
        <v>1.4553037649445254E-5</v>
      </c>
      <c r="S292" s="45">
        <f>0.37*Model!$B$10*(Q292^2*(N292-K292)*I292/(R292*O292^2))^0.33333*(N292-K292)</f>
        <v>363304.5440878357</v>
      </c>
      <c r="T292" s="50">
        <f>Model!$B$32+(90-Model!$B$6)*SIN(RADIANS(-15*(E292+6)))</f>
        <v>6.5231850717932094</v>
      </c>
      <c r="U292" s="45">
        <f t="shared" si="82"/>
        <v>6.5231850717932094</v>
      </c>
      <c r="V292" s="50">
        <f t="shared" si="83"/>
        <v>8.8024093914954396</v>
      </c>
      <c r="W292" s="45">
        <f t="shared" si="84"/>
        <v>167.84963893275179</v>
      </c>
      <c r="X292" s="45">
        <f>0.3*W292*Model!$B$9</f>
        <v>15204.59962922979</v>
      </c>
      <c r="Y292" s="33">
        <f>(S292-X292)/Model!$B$11</f>
        <v>7.4675521711596244E-3</v>
      </c>
      <c r="Z292" s="45">
        <f t="shared" si="85"/>
        <v>4.1850838027376263</v>
      </c>
      <c r="AA292" s="56">
        <f>Y292/Model!$B$12*3600</f>
        <v>48.34888326275734</v>
      </c>
      <c r="AB292" s="50">
        <f t="shared" si="90"/>
        <v>646.02766360297619</v>
      </c>
      <c r="AC292" s="50">
        <f t="shared" si="94"/>
        <v>1153.9723363970238</v>
      </c>
      <c r="AD292" s="15">
        <f>IF(AE292=0, Model!$B$19, 0 )</f>
        <v>0</v>
      </c>
      <c r="AE292" s="50">
        <f>IF(AE291+AB291-AB292&lt;Model!$B$19*Model!$B$18, AE291+AB291-AB292,  0)</f>
        <v>247.79404205463607</v>
      </c>
      <c r="AF292" s="15">
        <f t="shared" si="86"/>
        <v>14.500000000000071</v>
      </c>
      <c r="AG292" s="50">
        <f t="shared" si="87"/>
        <v>0</v>
      </c>
    </row>
    <row r="293" spans="2:33" x14ac:dyDescent="0.25">
      <c r="B293" s="13">
        <f t="shared" si="88"/>
        <v>14.550000000000072</v>
      </c>
      <c r="C293" s="13">
        <f>B293+Model!$B$4</f>
        <v>16.550000000000072</v>
      </c>
      <c r="D293" s="13">
        <f t="shared" si="89"/>
        <v>1</v>
      </c>
      <c r="E293" s="13">
        <f t="shared" si="95"/>
        <v>16.550000000000072</v>
      </c>
      <c r="F293" s="14">
        <f>IF(AB293&gt;0, VLOOKUP(B293,Model!$A$40:$B$60, 2), 0)</f>
        <v>300</v>
      </c>
      <c r="G293" s="13">
        <f>IF(AB293&gt;0, VLOOKUP(B293,Model!$A$39:$C$58, 3), 0)</f>
        <v>1</v>
      </c>
      <c r="H293" s="13">
        <f t="shared" si="78"/>
        <v>97</v>
      </c>
      <c r="I293" s="46">
        <f>Model!$B$21*EXP((-0.029*9.81*F293)/(8.31*(273+J293)))</f>
        <v>100357.4491247143</v>
      </c>
      <c r="J293" s="13">
        <f>IF(Model!$B$31="Summer",  IF(F293&lt;=2000,  Model!$B$20-Model!$B$35*F293/1000,  IF(F293&lt;Model!$B$36,  Model!$B$33-6.5*F293/1000,  Model!$B$38)),     IF(F293&lt;=2000,  Model!$B$20-Model!$B$35*F293/1000,  IF(F293&lt;Model!$B$36,  Model!$B$33-5.4*F293/1000,   Model!$B$38)))</f>
        <v>-19.088750000000001</v>
      </c>
      <c r="K293" s="13">
        <f t="shared" si="91"/>
        <v>253.91125</v>
      </c>
      <c r="L293" s="46">
        <f>IF(AB292-AA292*(B293-B292)&gt;0, L292-Y292*(B293-B292)*3600-AD293*Model!$B$16, 0)</f>
        <v>988.86337226403771</v>
      </c>
      <c r="M293" s="57">
        <f t="shared" si="79"/>
        <v>37.32265297296442</v>
      </c>
      <c r="N293" s="57">
        <f>Model!$B$13*I293*K293/(Model!$B$13*I293-L293*287*K293)</f>
        <v>310.32265297296442</v>
      </c>
      <c r="O293" s="57">
        <f t="shared" si="80"/>
        <v>282.11695148648221</v>
      </c>
      <c r="P293" s="57">
        <f t="shared" si="81"/>
        <v>10.235949079367222</v>
      </c>
      <c r="Q293" s="63">
        <f t="shared" si="92"/>
        <v>2.4647303555540238E-2</v>
      </c>
      <c r="R293" s="17">
        <f t="shared" si="93"/>
        <v>1.4548162954594148E-5</v>
      </c>
      <c r="S293" s="46">
        <f>0.37*Model!$B$10*(Q293^2*(N293-K293)*I293/(R293*O293^2))^0.33333*(N293-K293)</f>
        <v>362549.12498966552</v>
      </c>
      <c r="T293" s="51">
        <f>Model!$B$32+(90-Model!$B$6)*SIN(RADIANS(-15*(E293+6)))</f>
        <v>6.0987752518593279</v>
      </c>
      <c r="U293" s="46">
        <f t="shared" si="82"/>
        <v>6.0987752518593279</v>
      </c>
      <c r="V293" s="51">
        <f t="shared" si="83"/>
        <v>9.4124010766922908</v>
      </c>
      <c r="W293" s="46">
        <f t="shared" si="84"/>
        <v>144.83526183531734</v>
      </c>
      <c r="X293" s="46">
        <f>0.3*W293*Model!$B$9</f>
        <v>13119.85049478094</v>
      </c>
      <c r="Y293" s="17">
        <f>(S293-X293)/Model!$B$11</f>
        <v>7.4960693874264635E-3</v>
      </c>
      <c r="Z293" s="46">
        <f t="shared" si="85"/>
        <v>3.6187786952057657</v>
      </c>
      <c r="AA293" s="57">
        <f>Y293/Model!$B$12*3600</f>
        <v>48.533518807131458</v>
      </c>
      <c r="AB293" s="51">
        <f t="shared" si="90"/>
        <v>643.61021943983826</v>
      </c>
      <c r="AC293" s="51">
        <f t="shared" si="94"/>
        <v>1156.3897805601619</v>
      </c>
      <c r="AD293" s="13">
        <f>IF(AE293=0, Model!$B$19, 0 )</f>
        <v>0</v>
      </c>
      <c r="AE293" s="51">
        <f>IF(AE292+AB292-AB293&lt;Model!$B$19*Model!$B$18, AE292+AB292-AB293,  0)</f>
        <v>250.211486217774</v>
      </c>
      <c r="AF293" s="13">
        <f t="shared" si="86"/>
        <v>14.550000000000072</v>
      </c>
      <c r="AG293" s="50">
        <f t="shared" si="87"/>
        <v>0</v>
      </c>
    </row>
    <row r="294" spans="2:33" x14ac:dyDescent="0.25">
      <c r="B294" s="15">
        <f t="shared" si="88"/>
        <v>14.600000000000072</v>
      </c>
      <c r="C294" s="15">
        <f>B294+Model!$B$4</f>
        <v>16.600000000000072</v>
      </c>
      <c r="D294" s="15">
        <f t="shared" si="89"/>
        <v>1</v>
      </c>
      <c r="E294" s="15">
        <f t="shared" si="95"/>
        <v>16.600000000000072</v>
      </c>
      <c r="F294" s="16">
        <f>IF(AB294&gt;0, VLOOKUP(B294,Model!$A$40:$B$60, 2), 0)</f>
        <v>300</v>
      </c>
      <c r="G294" s="15">
        <f>IF(AB294&gt;0, VLOOKUP(B294,Model!$A$39:$C$58, 3), 0)</f>
        <v>1</v>
      </c>
      <c r="H294" s="15">
        <f t="shared" si="78"/>
        <v>97</v>
      </c>
      <c r="I294" s="45">
        <f>Model!$B$21*EXP((-0.029*9.81*F294)/(8.31*(273+J294)))</f>
        <v>100357.4491247143</v>
      </c>
      <c r="J294" s="15">
        <f>IF(Model!$B$31="Summer",  IF(F294&lt;=2000,  Model!$B$20-Model!$B$35*F294/1000,  IF(F294&lt;Model!$B$36,  Model!$B$33-6.5*F294/1000,  Model!$B$38)),     IF(F294&lt;=2000,  Model!$B$20-Model!$B$35*F294/1000,  IF(F294&lt;Model!$B$36,  Model!$B$33-5.4*F294/1000,   Model!$B$38)))</f>
        <v>-19.088750000000001</v>
      </c>
      <c r="K294" s="15">
        <f t="shared" si="91"/>
        <v>253.91125</v>
      </c>
      <c r="L294" s="45">
        <f>IF(AB293-AA293*(B294-B293)&gt;0, L293-Y293*(B294-B293)*3600-AD294*Model!$B$16, 0)</f>
        <v>987.51407977430097</v>
      </c>
      <c r="M294" s="56">
        <f t="shared" si="79"/>
        <v>37.228607777481955</v>
      </c>
      <c r="N294" s="56">
        <f>Model!$B$13*I294*K294/(Model!$B$13*I294-L294*287*K294)</f>
        <v>310.22860777748195</v>
      </c>
      <c r="O294" s="56">
        <f t="shared" si="80"/>
        <v>282.06992888874095</v>
      </c>
      <c r="P294" s="56">
        <f t="shared" si="81"/>
        <v>10.035497300976425</v>
      </c>
      <c r="Q294" s="62">
        <f t="shared" si="92"/>
        <v>2.4643964951100609E-2</v>
      </c>
      <c r="R294" s="33">
        <f t="shared" si="93"/>
        <v>1.4543272604429057E-5</v>
      </c>
      <c r="S294" s="45">
        <f>0.37*Model!$B$10*(Q294^2*(N294-K294)*I294/(R294*O294^2))^0.33333*(N294-K294)</f>
        <v>361791.53544309258</v>
      </c>
      <c r="T294" s="50">
        <f>Model!$B$32+(90-Model!$B$6)*SIN(RADIANS(-15*(E294+6)))</f>
        <v>5.6721431731005651</v>
      </c>
      <c r="U294" s="45">
        <f t="shared" si="82"/>
        <v>5.6721431731005651</v>
      </c>
      <c r="V294" s="50">
        <f t="shared" si="83"/>
        <v>10.11777611201766</v>
      </c>
      <c r="W294" s="45">
        <f t="shared" si="84"/>
        <v>122.12846468546489</v>
      </c>
      <c r="X294" s="45">
        <f>0.3*W294*Model!$B$9</f>
        <v>11062.963380093939</v>
      </c>
      <c r="Y294" s="33">
        <f>(S294-X294)/Model!$B$11</f>
        <v>7.5239423375093569E-3</v>
      </c>
      <c r="Z294" s="45">
        <f t="shared" si="85"/>
        <v>3.0578281403253205</v>
      </c>
      <c r="AA294" s="56">
        <f>Y294/Model!$B$12*3600</f>
        <v>48.713983031399103</v>
      </c>
      <c r="AB294" s="50">
        <f t="shared" si="90"/>
        <v>641.18354349948163</v>
      </c>
      <c r="AC294" s="50">
        <f t="shared" si="94"/>
        <v>1158.8164565005184</v>
      </c>
      <c r="AD294" s="15">
        <f>IF(AE294=0, Model!$B$19, 0 )</f>
        <v>0</v>
      </c>
      <c r="AE294" s="50">
        <f>IF(AE293+AB293-AB294&lt;Model!$B$19*Model!$B$18, AE293+AB293-AB294,  0)</f>
        <v>252.63816215813063</v>
      </c>
      <c r="AF294" s="15">
        <f t="shared" si="86"/>
        <v>14.600000000000072</v>
      </c>
      <c r="AG294" s="50">
        <f t="shared" si="87"/>
        <v>0</v>
      </c>
    </row>
    <row r="295" spans="2:33" x14ac:dyDescent="0.25">
      <c r="B295" s="13">
        <f t="shared" si="88"/>
        <v>14.650000000000073</v>
      </c>
      <c r="C295" s="13">
        <f>B295+Model!$B$4</f>
        <v>16.650000000000073</v>
      </c>
      <c r="D295" s="13">
        <f t="shared" si="89"/>
        <v>1</v>
      </c>
      <c r="E295" s="13">
        <f t="shared" si="95"/>
        <v>16.650000000000073</v>
      </c>
      <c r="F295" s="14">
        <f>IF(AB295&gt;0, VLOOKUP(B295,Model!$A$40:$B$60, 2), 0)</f>
        <v>300</v>
      </c>
      <c r="G295" s="13">
        <f>IF(AB295&gt;0, VLOOKUP(B295,Model!$A$39:$C$58, 3), 0)</f>
        <v>1</v>
      </c>
      <c r="H295" s="13">
        <f t="shared" si="78"/>
        <v>97</v>
      </c>
      <c r="I295" s="46">
        <f>Model!$B$21*EXP((-0.029*9.81*F295)/(8.31*(273+J295)))</f>
        <v>100357.4491247143</v>
      </c>
      <c r="J295" s="13">
        <f>IF(Model!$B$31="Summer",  IF(F295&lt;=2000,  Model!$B$20-Model!$B$35*F295/1000,  IF(F295&lt;Model!$B$36,  Model!$B$33-6.5*F295/1000,  Model!$B$38)),     IF(F295&lt;=2000,  Model!$B$20-Model!$B$35*F295/1000,  IF(F295&lt;Model!$B$36,  Model!$B$33-5.4*F295/1000,   Model!$B$38)))</f>
        <v>-19.088750000000001</v>
      </c>
      <c r="K295" s="13">
        <f t="shared" si="91"/>
        <v>253.91125</v>
      </c>
      <c r="L295" s="46">
        <f>IF(AB294-AA294*(B295-B294)&gt;0, L294-Y294*(B295-B294)*3600-AD295*Model!$B$16, 0)</f>
        <v>986.15977015354929</v>
      </c>
      <c r="M295" s="57">
        <f t="shared" si="79"/>
        <v>37.134270192640201</v>
      </c>
      <c r="N295" s="57">
        <f>Model!$B$13*I295*K295/(Model!$B$13*I295-L295*287*K295)</f>
        <v>310.1342701926402</v>
      </c>
      <c r="O295" s="57">
        <f t="shared" si="80"/>
        <v>282.0227600963201</v>
      </c>
      <c r="P295" s="57">
        <f t="shared" si="81"/>
        <v>9.8369498608898667</v>
      </c>
      <c r="Q295" s="63">
        <f t="shared" si="92"/>
        <v>2.4640615966838728E-2</v>
      </c>
      <c r="R295" s="17">
        <f t="shared" si="93"/>
        <v>1.4538367050017288E-5</v>
      </c>
      <c r="S295" s="46">
        <f>0.37*Model!$B$10*(Q295^2*(N295-K295)*I295/(R295*O295^2))^0.33333*(N295-K295)</f>
        <v>361031.84829670575</v>
      </c>
      <c r="T295" s="51">
        <f>Model!$B$32+(90-Model!$B$6)*SIN(RADIANS(-15*(E295+6)))</f>
        <v>5.2433619367273057</v>
      </c>
      <c r="U295" s="46">
        <f t="shared" si="82"/>
        <v>5.2433619367273057</v>
      </c>
      <c r="V295" s="51">
        <f t="shared" si="83"/>
        <v>10.942565448645114</v>
      </c>
      <c r="W295" s="46">
        <f t="shared" si="84"/>
        <v>100.05246124020664</v>
      </c>
      <c r="X295" s="46">
        <f>0.3*W295*Model!$B$9</f>
        <v>9063.2164879774264</v>
      </c>
      <c r="Y295" s="17">
        <f>(S295-X295)/Model!$B$11</f>
        <v>7.5505444987392116E-3</v>
      </c>
      <c r="Z295" s="46">
        <f t="shared" si="85"/>
        <v>2.5103648142778336</v>
      </c>
      <c r="AA295" s="57">
        <f>Y295/Model!$B$12*3600</f>
        <v>48.886219496355672</v>
      </c>
      <c r="AB295" s="51">
        <f t="shared" si="90"/>
        <v>638.74784434791161</v>
      </c>
      <c r="AC295" s="51">
        <f t="shared" si="94"/>
        <v>1161.2521556520883</v>
      </c>
      <c r="AD295" s="13">
        <f>IF(AE295=0, Model!$B$19, 0 )</f>
        <v>0</v>
      </c>
      <c r="AE295" s="51">
        <f>IF(AE294+AB294-AB295&lt;Model!$B$19*Model!$B$18, AE294+AB294-AB295,  0)</f>
        <v>255.07386130970065</v>
      </c>
      <c r="AF295" s="13">
        <f t="shared" si="86"/>
        <v>14.650000000000073</v>
      </c>
      <c r="AG295" s="50">
        <f t="shared" si="87"/>
        <v>0</v>
      </c>
    </row>
    <row r="296" spans="2:33" x14ac:dyDescent="0.25">
      <c r="B296" s="15">
        <f t="shared" si="88"/>
        <v>14.700000000000074</v>
      </c>
      <c r="C296" s="15">
        <f>B296+Model!$B$4</f>
        <v>16.700000000000074</v>
      </c>
      <c r="D296" s="15">
        <f t="shared" si="89"/>
        <v>1</v>
      </c>
      <c r="E296" s="15">
        <f t="shared" si="95"/>
        <v>16.700000000000074</v>
      </c>
      <c r="F296" s="16">
        <f>IF(AB296&gt;0, VLOOKUP(B296,Model!$A$40:$B$60, 2), 0)</f>
        <v>300</v>
      </c>
      <c r="G296" s="15">
        <f>IF(AB296&gt;0, VLOOKUP(B296,Model!$A$39:$C$58, 3), 0)</f>
        <v>1</v>
      </c>
      <c r="H296" s="15">
        <f t="shared" si="78"/>
        <v>97</v>
      </c>
      <c r="I296" s="45">
        <f>Model!$B$21*EXP((-0.029*9.81*F296)/(8.31*(273+J296)))</f>
        <v>100357.4491247143</v>
      </c>
      <c r="J296" s="15">
        <f>IF(Model!$B$31="Summer",  IF(F296&lt;=2000,  Model!$B$20-Model!$B$35*F296/1000,  IF(F296&lt;Model!$B$36,  Model!$B$33-6.5*F296/1000,  Model!$B$38)),     IF(F296&lt;=2000,  Model!$B$20-Model!$B$35*F296/1000,  IF(F296&lt;Model!$B$36,  Model!$B$33-5.4*F296/1000,   Model!$B$38)))</f>
        <v>-19.088750000000001</v>
      </c>
      <c r="K296" s="15">
        <f t="shared" si="91"/>
        <v>253.91125</v>
      </c>
      <c r="L296" s="45">
        <f>IF(AB295-AA295*(B296-B295)&gt;0, L295-Y295*(B296-B295)*3600-AD296*Model!$B$16, 0)</f>
        <v>984.80067214377618</v>
      </c>
      <c r="M296" s="56">
        <f t="shared" si="79"/>
        <v>37.039656722811685</v>
      </c>
      <c r="N296" s="56">
        <f>Model!$B$13*I296*K296/(Model!$B$13*I296-L296*287*K296)</f>
        <v>310.03965672281169</v>
      </c>
      <c r="O296" s="56">
        <f t="shared" si="80"/>
        <v>281.97545336140581</v>
      </c>
      <c r="P296" s="56">
        <f t="shared" si="81"/>
        <v>9.6424697696738857</v>
      </c>
      <c r="Q296" s="62">
        <f t="shared" si="92"/>
        <v>2.4637257188659813E-2</v>
      </c>
      <c r="R296" s="33">
        <f t="shared" si="93"/>
        <v>1.4533447149586202E-5</v>
      </c>
      <c r="S296" s="45">
        <f>0.37*Model!$B$10*(Q296^2*(N296-K296)*I296/(R296*O296^2))^0.33333*(N296-K296)</f>
        <v>360270.19934524369</v>
      </c>
      <c r="T296" s="50">
        <f>Model!$B$32+(90-Model!$B$6)*SIN(RADIANS(-15*(E296+6)))</f>
        <v>4.812505012196997</v>
      </c>
      <c r="U296" s="45">
        <f t="shared" si="82"/>
        <v>4.812505012196997</v>
      </c>
      <c r="V296" s="50">
        <f t="shared" si="83"/>
        <v>11.919614663119924</v>
      </c>
      <c r="W296" s="45">
        <f t="shared" si="84"/>
        <v>79.006623178595504</v>
      </c>
      <c r="X296" s="45">
        <f>0.3*W296*Model!$B$9</f>
        <v>7156.786759423725</v>
      </c>
      <c r="Y296" s="33">
        <f>(S296-X296)/Model!$B$11</f>
        <v>7.5751027048336361E-3</v>
      </c>
      <c r="Z296" s="45">
        <f t="shared" si="85"/>
        <v>1.9865053430537676</v>
      </c>
      <c r="AA296" s="56">
        <f>Y296/Model!$B$12*3600</f>
        <v>49.045222314466244</v>
      </c>
      <c r="AB296" s="50">
        <f t="shared" si="90"/>
        <v>636.30353337309384</v>
      </c>
      <c r="AC296" s="50">
        <f t="shared" si="94"/>
        <v>1163.6964666269062</v>
      </c>
      <c r="AD296" s="15">
        <f>IF(AE296=0, Model!$B$19, 0 )</f>
        <v>0</v>
      </c>
      <c r="AE296" s="50">
        <f>IF(AE295+AB295-AB296&lt;Model!$B$19*Model!$B$18, AE295+AB295-AB296,  0)</f>
        <v>257.51817228451841</v>
      </c>
      <c r="AF296" s="15">
        <f t="shared" si="86"/>
        <v>14.700000000000074</v>
      </c>
      <c r="AG296" s="50">
        <f t="shared" si="87"/>
        <v>0</v>
      </c>
    </row>
    <row r="297" spans="2:33" x14ac:dyDescent="0.25">
      <c r="B297" s="13">
        <f t="shared" si="88"/>
        <v>14.750000000000075</v>
      </c>
      <c r="C297" s="13">
        <f>B297+Model!$B$4</f>
        <v>16.750000000000075</v>
      </c>
      <c r="D297" s="13">
        <f t="shared" si="89"/>
        <v>1</v>
      </c>
      <c r="E297" s="13">
        <f t="shared" si="95"/>
        <v>16.750000000000075</v>
      </c>
      <c r="F297" s="14">
        <f>IF(AB297&gt;0, VLOOKUP(B297,Model!$A$40:$B$60, 2), 0)</f>
        <v>300</v>
      </c>
      <c r="G297" s="13">
        <f>IF(AB297&gt;0, VLOOKUP(B297,Model!$A$39:$C$58, 3), 0)</f>
        <v>1</v>
      </c>
      <c r="H297" s="13">
        <f t="shared" si="78"/>
        <v>97</v>
      </c>
      <c r="I297" s="46">
        <f>Model!$B$21*EXP((-0.029*9.81*F297)/(8.31*(273+J297)))</f>
        <v>100357.4491247143</v>
      </c>
      <c r="J297" s="13">
        <f>IF(Model!$B$31="Summer",  IF(F297&lt;=2000,  Model!$B$20-Model!$B$35*F297/1000,  IF(F297&lt;Model!$B$36,  Model!$B$33-6.5*F297/1000,  Model!$B$38)),     IF(F297&lt;=2000,  Model!$B$20-Model!$B$35*F297/1000,  IF(F297&lt;Model!$B$36,  Model!$B$33-5.4*F297/1000,   Model!$B$38)))</f>
        <v>-19.088750000000001</v>
      </c>
      <c r="K297" s="13">
        <f t="shared" si="91"/>
        <v>253.91125</v>
      </c>
      <c r="L297" s="46">
        <f>IF(AB296-AA296*(B297-B296)&gt;0, L296-Y296*(B297-B296)*3600-AD297*Model!$B$16, 0)</f>
        <v>983.43715365690616</v>
      </c>
      <c r="M297" s="57">
        <f t="shared" si="79"/>
        <v>36.944793514071648</v>
      </c>
      <c r="N297" s="57">
        <f>Model!$B$13*I297*K297/(Model!$B$13*I297-L297*287*K297)</f>
        <v>309.94479351407165</v>
      </c>
      <c r="O297" s="57">
        <f t="shared" si="80"/>
        <v>281.92802175703582</v>
      </c>
      <c r="P297" s="57">
        <f t="shared" si="81"/>
        <v>9.4547325782264604</v>
      </c>
      <c r="Q297" s="63">
        <f t="shared" si="92"/>
        <v>2.4633889544749543E-2</v>
      </c>
      <c r="R297" s="17">
        <f t="shared" si="93"/>
        <v>1.4528514262731726E-5</v>
      </c>
      <c r="S297" s="46">
        <f>0.37*Model!$B$10*(Q297^2*(N297-K297)*I297/(R297*O297^2))^0.33333*(N297-K297)</f>
        <v>359506.80179705255</v>
      </c>
      <c r="T297" s="51">
        <f>Model!$B$32+(90-Model!$B$6)*SIN(RADIANS(-15*(E297+6)))</f>
        <v>4.3796462246256667</v>
      </c>
      <c r="U297" s="46">
        <f t="shared" si="82"/>
        <v>4.3796462246256667</v>
      </c>
      <c r="V297" s="51">
        <f t="shared" si="83"/>
        <v>13.095033428069437</v>
      </c>
      <c r="W297" s="46">
        <f t="shared" si="84"/>
        <v>59.469354725783639</v>
      </c>
      <c r="X297" s="46">
        <f>0.3*W297*Model!$B$9</f>
        <v>5387.0102704030933</v>
      </c>
      <c r="Y297" s="17">
        <f>(S297-X297)/Model!$B$11</f>
        <v>7.5966918701415734E-3</v>
      </c>
      <c r="Z297" s="46">
        <f t="shared" si="85"/>
        <v>1.4984446034053476</v>
      </c>
      <c r="AA297" s="57">
        <f>Y297/Model!$B$12*3600</f>
        <v>49.185001991834298</v>
      </c>
      <c r="AB297" s="51">
        <f t="shared" si="90"/>
        <v>633.85127225737051</v>
      </c>
      <c r="AC297" s="51">
        <f t="shared" si="94"/>
        <v>1166.1487277426295</v>
      </c>
      <c r="AD297" s="13">
        <f>IF(AE297=0, Model!$B$19, 0 )</f>
        <v>0</v>
      </c>
      <c r="AE297" s="51">
        <f>IF(AE296+AB296-AB297&lt;Model!$B$19*Model!$B$18, AE296+AB296-AB297,  0)</f>
        <v>259.97043340024175</v>
      </c>
      <c r="AF297" s="13">
        <f t="shared" si="86"/>
        <v>14.750000000000075</v>
      </c>
      <c r="AG297" s="50">
        <f t="shared" si="87"/>
        <v>0</v>
      </c>
    </row>
    <row r="298" spans="2:33" x14ac:dyDescent="0.25">
      <c r="B298" s="15">
        <f t="shared" si="88"/>
        <v>14.800000000000075</v>
      </c>
      <c r="C298" s="15">
        <f>B298+Model!$B$4</f>
        <v>16.800000000000075</v>
      </c>
      <c r="D298" s="15">
        <f t="shared" si="89"/>
        <v>1</v>
      </c>
      <c r="E298" s="15">
        <f t="shared" si="95"/>
        <v>16.800000000000075</v>
      </c>
      <c r="F298" s="16">
        <f>IF(AB298&gt;0, VLOOKUP(B298,Model!$A$40:$B$60, 2), 0)</f>
        <v>300</v>
      </c>
      <c r="G298" s="15">
        <f>IF(AB298&gt;0, VLOOKUP(B298,Model!$A$39:$C$58, 3), 0)</f>
        <v>1</v>
      </c>
      <c r="H298" s="15">
        <f t="shared" si="78"/>
        <v>97</v>
      </c>
      <c r="I298" s="45">
        <f>Model!$B$21*EXP((-0.029*9.81*F298)/(8.31*(273+J298)))</f>
        <v>100357.4491247143</v>
      </c>
      <c r="J298" s="15">
        <f>IF(Model!$B$31="Summer",  IF(F298&lt;=2000,  Model!$B$20-Model!$B$35*F298/1000,  IF(F298&lt;Model!$B$36,  Model!$B$33-6.5*F298/1000,  Model!$B$38)),     IF(F298&lt;=2000,  Model!$B$20-Model!$B$35*F298/1000,  IF(F298&lt;Model!$B$36,  Model!$B$33-5.4*F298/1000,   Model!$B$38)))</f>
        <v>-19.088750000000001</v>
      </c>
      <c r="K298" s="15">
        <f t="shared" si="91"/>
        <v>253.91125</v>
      </c>
      <c r="L298" s="45">
        <f>IF(AB297-AA297*(B298-B297)&gt;0, L297-Y297*(B298-B297)*3600-AD298*Model!$B$16, 0)</f>
        <v>982.06974912028068</v>
      </c>
      <c r="M298" s="56">
        <f t="shared" si="79"/>
        <v>36.849718224994035</v>
      </c>
      <c r="N298" s="56">
        <f>Model!$B$13*I298*K298/(Model!$B$13*I298-L298*287*K298)</f>
        <v>309.84971822499404</v>
      </c>
      <c r="O298" s="56">
        <f t="shared" si="80"/>
        <v>281.88048411249702</v>
      </c>
      <c r="P298" s="56">
        <f t="shared" si="81"/>
        <v>9.2769464773355743</v>
      </c>
      <c r="Q298" s="62">
        <f t="shared" si="92"/>
        <v>2.4630514371987287E-2</v>
      </c>
      <c r="R298" s="33">
        <f t="shared" si="93"/>
        <v>1.4523570347699688E-5</v>
      </c>
      <c r="S298" s="45">
        <f>0.37*Model!$B$10*(Q298^2*(N298-K298)*I298/(R298*O298^2))^0.33333*(N298-K298)</f>
        <v>358741.96118512063</v>
      </c>
      <c r="T298" s="50">
        <f>Model!$B$32+(90-Model!$B$6)*SIN(RADIANS(-15*(E298+6)))</f>
        <v>3.9448597421381937</v>
      </c>
      <c r="U298" s="45">
        <f t="shared" si="82"/>
        <v>3.9448597421381937</v>
      </c>
      <c r="V298" s="50">
        <f t="shared" si="83"/>
        <v>14.535642860526789</v>
      </c>
      <c r="W298" s="45">
        <f t="shared" si="84"/>
        <v>41.987877567276584</v>
      </c>
      <c r="X298" s="45">
        <f>0.3*W298*Model!$B$9</f>
        <v>3803.4569019676892</v>
      </c>
      <c r="Y298" s="33">
        <f>(S298-X298)/Model!$B$11</f>
        <v>7.6142551599947001E-3</v>
      </c>
      <c r="Z298" s="45">
        <f t="shared" si="85"/>
        <v>1.0602208031095091</v>
      </c>
      <c r="AA298" s="56">
        <f>Y298/Model!$B$12*3600</f>
        <v>49.298716021727294</v>
      </c>
      <c r="AB298" s="50">
        <f t="shared" si="90"/>
        <v>631.3920221577788</v>
      </c>
      <c r="AC298" s="50">
        <f t="shared" si="94"/>
        <v>1168.6079778422213</v>
      </c>
      <c r="AD298" s="15">
        <f>IF(AE298=0, Model!$B$19, 0 )</f>
        <v>0</v>
      </c>
      <c r="AE298" s="50">
        <f>IF(AE297+AB297-AB298&lt;Model!$B$19*Model!$B$18, AE297+AB297-AB298,  0)</f>
        <v>262.42968349983346</v>
      </c>
      <c r="AF298" s="15">
        <f t="shared" si="86"/>
        <v>14.800000000000075</v>
      </c>
      <c r="AG298" s="50">
        <f t="shared" si="87"/>
        <v>0</v>
      </c>
    </row>
    <row r="299" spans="2:33" x14ac:dyDescent="0.25">
      <c r="B299" s="13">
        <f t="shared" si="88"/>
        <v>14.850000000000076</v>
      </c>
      <c r="C299" s="13">
        <f>B299+Model!$B$4</f>
        <v>16.850000000000076</v>
      </c>
      <c r="D299" s="13">
        <f t="shared" si="89"/>
        <v>1</v>
      </c>
      <c r="E299" s="13">
        <f t="shared" si="95"/>
        <v>16.850000000000076</v>
      </c>
      <c r="F299" s="14">
        <f>IF(AB299&gt;0, VLOOKUP(B299,Model!$A$40:$B$60, 2), 0)</f>
        <v>300</v>
      </c>
      <c r="G299" s="13">
        <f>IF(AB299&gt;0, VLOOKUP(B299,Model!$A$39:$C$58, 3), 0)</f>
        <v>1</v>
      </c>
      <c r="H299" s="13">
        <f t="shared" si="78"/>
        <v>97</v>
      </c>
      <c r="I299" s="46">
        <f>Model!$B$21*EXP((-0.029*9.81*F299)/(8.31*(273+J299)))</f>
        <v>100357.4491247143</v>
      </c>
      <c r="J299" s="13">
        <f>IF(Model!$B$31="Summer",  IF(F299&lt;=2000,  Model!$B$20-Model!$B$35*F299/1000,  IF(F299&lt;Model!$B$36,  Model!$B$33-6.5*F299/1000,  Model!$B$38)),     IF(F299&lt;=2000,  Model!$B$20-Model!$B$35*F299/1000,  IF(F299&lt;Model!$B$36,  Model!$B$33-5.4*F299/1000,   Model!$B$38)))</f>
        <v>-19.088750000000001</v>
      </c>
      <c r="K299" s="13">
        <f t="shared" si="91"/>
        <v>253.91125</v>
      </c>
      <c r="L299" s="46">
        <f>IF(AB298-AA298*(B299-B298)&gt;0, L298-Y298*(B299-B298)*3600-AD299*Model!$B$16, 0)</f>
        <v>980.69918319148167</v>
      </c>
      <c r="M299" s="57">
        <f t="shared" si="79"/>
        <v>36.754481638090112</v>
      </c>
      <c r="N299" s="57">
        <f>Model!$B$13*I299*K299/(Model!$B$13*I299-L299*287*K299)</f>
        <v>309.75448163809011</v>
      </c>
      <c r="O299" s="57">
        <f t="shared" si="80"/>
        <v>281.83286581904508</v>
      </c>
      <c r="P299" s="57">
        <f t="shared" si="81"/>
        <v>9.1127850028269002</v>
      </c>
      <c r="Q299" s="63">
        <f t="shared" si="92"/>
        <v>2.46271334731522E-2</v>
      </c>
      <c r="R299" s="17">
        <f t="shared" si="93"/>
        <v>1.4518618045180688E-5</v>
      </c>
      <c r="S299" s="46">
        <f>0.37*Model!$B$10*(Q299^2*(N299-K299)*I299/(R299*O299^2))^0.33333*(N299-K299)</f>
        <v>357976.0881598118</v>
      </c>
      <c r="T299" s="51">
        <f>Model!$B$32+(90-Model!$B$6)*SIN(RADIANS(-15*(E299+6)))</f>
        <v>3.508220063160012</v>
      </c>
      <c r="U299" s="46">
        <f t="shared" si="82"/>
        <v>3.508220063160012</v>
      </c>
      <c r="V299" s="51">
        <f t="shared" si="83"/>
        <v>16.342075333638686</v>
      </c>
      <c r="W299" s="46">
        <f t="shared" si="84"/>
        <v>27.142219583725893</v>
      </c>
      <c r="X299" s="46">
        <f>0.3*W299*Model!$B$9</f>
        <v>2458.6682726468853</v>
      </c>
      <c r="Y299" s="17">
        <f>(S299-X299)/Model!$B$11</f>
        <v>7.6266742440666072E-3</v>
      </c>
      <c r="Z299" s="46">
        <f t="shared" si="85"/>
        <v>0.68682472208849277</v>
      </c>
      <c r="AA299" s="57">
        <f>Y299/Model!$B$12*3600</f>
        <v>49.379123741989638</v>
      </c>
      <c r="AB299" s="51">
        <f t="shared" si="90"/>
        <v>628.92708635669237</v>
      </c>
      <c r="AC299" s="51">
        <f t="shared" si="94"/>
        <v>1171.0729136433076</v>
      </c>
      <c r="AD299" s="13">
        <f>IF(AE299=0, Model!$B$19, 0 )</f>
        <v>0</v>
      </c>
      <c r="AE299" s="51">
        <f>IF(AE298+AB298-AB299&lt;Model!$B$19*Model!$B$18, AE298+AB298-AB299,  0)</f>
        <v>264.89461930091989</v>
      </c>
      <c r="AF299" s="13">
        <f t="shared" si="86"/>
        <v>14.850000000000076</v>
      </c>
      <c r="AG299" s="50">
        <f t="shared" si="87"/>
        <v>0</v>
      </c>
    </row>
    <row r="300" spans="2:33" x14ac:dyDescent="0.25">
      <c r="B300" s="15">
        <f t="shared" si="88"/>
        <v>14.900000000000077</v>
      </c>
      <c r="C300" s="15">
        <f>B300+Model!$B$4</f>
        <v>16.900000000000077</v>
      </c>
      <c r="D300" s="15">
        <f t="shared" si="89"/>
        <v>1</v>
      </c>
      <c r="E300" s="15">
        <f t="shared" si="95"/>
        <v>16.900000000000077</v>
      </c>
      <c r="F300" s="16">
        <f>IF(AB300&gt;0, VLOOKUP(B300,Model!$A$40:$B$60, 2), 0)</f>
        <v>300</v>
      </c>
      <c r="G300" s="15">
        <f>IF(AB300&gt;0, VLOOKUP(B300,Model!$A$39:$C$58, 3), 0)</f>
        <v>1</v>
      </c>
      <c r="H300" s="15">
        <f t="shared" si="78"/>
        <v>97</v>
      </c>
      <c r="I300" s="45">
        <f>Model!$B$21*EXP((-0.029*9.81*F300)/(8.31*(273+J300)))</f>
        <v>100357.4491247143</v>
      </c>
      <c r="J300" s="15">
        <f>IF(Model!$B$31="Summer",  IF(F300&lt;=2000,  Model!$B$20-Model!$B$35*F300/1000,  IF(F300&lt;Model!$B$36,  Model!$B$33-6.5*F300/1000,  Model!$B$38)),     IF(F300&lt;=2000,  Model!$B$20-Model!$B$35*F300/1000,  IF(F300&lt;Model!$B$36,  Model!$B$33-5.4*F300/1000,   Model!$B$38)))</f>
        <v>-19.088750000000001</v>
      </c>
      <c r="K300" s="15">
        <f t="shared" si="91"/>
        <v>253.91125</v>
      </c>
      <c r="L300" s="45">
        <f>IF(AB299-AA299*(B300-B299)&gt;0, L299-Y299*(B300-B299)*3600-AD300*Model!$B$16, 0)</f>
        <v>979.32638182754965</v>
      </c>
      <c r="M300" s="56">
        <f t="shared" si="79"/>
        <v>36.659148387193454</v>
      </c>
      <c r="N300" s="56">
        <f>Model!$B$13*I300*K300/(Model!$B$13*I300-L300*287*K300)</f>
        <v>309.65914838719345</v>
      </c>
      <c r="O300" s="56">
        <f t="shared" si="80"/>
        <v>281.78519919359672</v>
      </c>
      <c r="P300" s="56">
        <f t="shared" si="81"/>
        <v>8.9661473241548997</v>
      </c>
      <c r="Q300" s="62">
        <f t="shared" si="92"/>
        <v>2.4623749142745368E-2</v>
      </c>
      <c r="R300" s="33">
        <f t="shared" si="93"/>
        <v>1.4513660716134058E-5</v>
      </c>
      <c r="S300" s="45">
        <f>0.37*Model!$B$10*(Q300^2*(N300-K300)*I300/(R300*O300^2))^0.33333*(N300-K300)</f>
        <v>357209.70414730121</v>
      </c>
      <c r="T300" s="50">
        <f>Model!$B$32+(90-Model!$B$6)*SIN(RADIANS(-15*(E300+6)))</f>
        <v>3.069802003652315</v>
      </c>
      <c r="U300" s="45">
        <f t="shared" si="82"/>
        <v>3.069802003652315</v>
      </c>
      <c r="V300" s="50">
        <f t="shared" si="83"/>
        <v>18.673256781639832</v>
      </c>
      <c r="W300" s="45">
        <f t="shared" si="84"/>
        <v>15.46422319915737</v>
      </c>
      <c r="X300" s="45">
        <f>0.3*W300*Model!$B$9</f>
        <v>1400.8211385812845</v>
      </c>
      <c r="Y300" s="33">
        <f>(S300-X300)/Model!$B$11</f>
        <v>7.6329268048636696E-3</v>
      </c>
      <c r="Z300" s="45">
        <f t="shared" si="85"/>
        <v>0.39215651823491138</v>
      </c>
      <c r="AA300" s="56">
        <f>Y300/Model!$B$12*3600</f>
        <v>49.419606128338131</v>
      </c>
      <c r="AB300" s="50">
        <f t="shared" si="90"/>
        <v>626.45813016959289</v>
      </c>
      <c r="AC300" s="50">
        <f t="shared" si="94"/>
        <v>1173.541869830407</v>
      </c>
      <c r="AD300" s="15">
        <f>IF(AE300=0, Model!$B$19, 0 )</f>
        <v>0</v>
      </c>
      <c r="AE300" s="50">
        <f>IF(AE299+AB299-AB300&lt;Model!$B$19*Model!$B$18, AE299+AB299-AB300,  0)</f>
        <v>267.36357548801936</v>
      </c>
      <c r="AF300" s="15">
        <f t="shared" si="86"/>
        <v>14.900000000000077</v>
      </c>
      <c r="AG300" s="50">
        <f t="shared" si="87"/>
        <v>0</v>
      </c>
    </row>
    <row r="301" spans="2:33" x14ac:dyDescent="0.25">
      <c r="B301" s="13">
        <f t="shared" si="88"/>
        <v>14.950000000000077</v>
      </c>
      <c r="C301" s="13">
        <f>B301+Model!$B$4</f>
        <v>16.950000000000077</v>
      </c>
      <c r="D301" s="13">
        <f t="shared" si="89"/>
        <v>1</v>
      </c>
      <c r="E301" s="13">
        <f t="shared" si="95"/>
        <v>16.950000000000077</v>
      </c>
      <c r="F301" s="14">
        <f>IF(AB301&gt;0, VLOOKUP(B301,Model!$A$40:$B$60, 2), 0)</f>
        <v>300</v>
      </c>
      <c r="G301" s="13">
        <f>IF(AB301&gt;0, VLOOKUP(B301,Model!$A$39:$C$58, 3), 0)</f>
        <v>1</v>
      </c>
      <c r="H301" s="13">
        <f t="shared" si="78"/>
        <v>97</v>
      </c>
      <c r="I301" s="46">
        <f>Model!$B$21*EXP((-0.029*9.81*F301)/(8.31*(273+J301)))</f>
        <v>100357.4491247143</v>
      </c>
      <c r="J301" s="13">
        <f>IF(Model!$B$31="Summer",  IF(F301&lt;=2000,  Model!$B$20-Model!$B$35*F301/1000,  IF(F301&lt;Model!$B$36,  Model!$B$33-6.5*F301/1000,  Model!$B$38)),     IF(F301&lt;=2000,  Model!$B$20-Model!$B$35*F301/1000,  IF(F301&lt;Model!$B$36,  Model!$B$33-5.4*F301/1000,   Model!$B$38)))</f>
        <v>-19.088750000000001</v>
      </c>
      <c r="K301" s="13">
        <f t="shared" si="91"/>
        <v>253.91125</v>
      </c>
      <c r="L301" s="46">
        <f>IF(AB300-AA300*(B301-B300)&gt;0, L300-Y300*(B301-B300)*3600-AD301*Model!$B$16, 0)</f>
        <v>977.95245500267413</v>
      </c>
      <c r="M301" s="57">
        <f t="shared" si="79"/>
        <v>36.563795715022366</v>
      </c>
      <c r="N301" s="57">
        <f>Model!$B$13*I301*K301/(Model!$B$13*I301-L301*287*K301)</f>
        <v>309.56379571502237</v>
      </c>
      <c r="O301" s="57">
        <f t="shared" si="80"/>
        <v>281.73752285751118</v>
      </c>
      <c r="P301" s="57">
        <f t="shared" si="81"/>
        <v>8.8406176788388979</v>
      </c>
      <c r="Q301" s="63">
        <f t="shared" si="92"/>
        <v>2.4620364122883293E-2</v>
      </c>
      <c r="R301" s="17">
        <f t="shared" si="93"/>
        <v>1.4508702377181162E-5</v>
      </c>
      <c r="S301" s="46">
        <f>0.37*Model!$B$10*(Q301^2*(N301-K301)*I301/(R301*O301^2))^0.33333*(N301-K301)</f>
        <v>356443.43116747838</v>
      </c>
      <c r="T301" s="51">
        <f>Model!$B$32+(90-Model!$B$6)*SIN(RADIANS(-15*(E301+6)))</f>
        <v>2.6296806842926177</v>
      </c>
      <c r="U301" s="46">
        <f t="shared" si="82"/>
        <v>2.6296806842926177</v>
      </c>
      <c r="V301" s="51">
        <f t="shared" si="83"/>
        <v>21.795764162978216</v>
      </c>
      <c r="W301" s="46">
        <f t="shared" si="84"/>
        <v>7.2900017885495059</v>
      </c>
      <c r="X301" s="46">
        <f>0.3*W301*Model!$B$9</f>
        <v>660.36220986851504</v>
      </c>
      <c r="Y301" s="17">
        <f>(S301-X301)/Model!$B$11</f>
        <v>7.6323730335216104E-3</v>
      </c>
      <c r="Z301" s="46">
        <f t="shared" si="85"/>
        <v>0.1852642389019753</v>
      </c>
      <c r="AA301" s="57">
        <f>Y301/Model!$B$12*3600</f>
        <v>49.416020719711874</v>
      </c>
      <c r="AB301" s="51">
        <f t="shared" si="90"/>
        <v>623.987149863176</v>
      </c>
      <c r="AC301" s="51">
        <f t="shared" si="94"/>
        <v>1176.012850136824</v>
      </c>
      <c r="AD301" s="13">
        <f>IF(AE301=0, Model!$B$19, 0 )</f>
        <v>0</v>
      </c>
      <c r="AE301" s="51">
        <f>IF(AE300+AB300-AB301&lt;Model!$B$19*Model!$B$18, AE300+AB300-AB301,  0)</f>
        <v>269.83455579443626</v>
      </c>
      <c r="AF301" s="13">
        <f t="shared" si="86"/>
        <v>14.950000000000077</v>
      </c>
      <c r="AG301" s="50">
        <f t="shared" si="87"/>
        <v>0</v>
      </c>
    </row>
    <row r="302" spans="2:33" x14ac:dyDescent="0.25">
      <c r="B302" s="15">
        <f t="shared" si="88"/>
        <v>15.000000000000078</v>
      </c>
      <c r="C302" s="15">
        <f>B302+Model!$B$4</f>
        <v>17.000000000000078</v>
      </c>
      <c r="D302" s="15">
        <f t="shared" si="89"/>
        <v>1</v>
      </c>
      <c r="E302" s="15">
        <f t="shared" si="95"/>
        <v>17.000000000000078</v>
      </c>
      <c r="F302" s="16">
        <f>IF(AB302&gt;0, VLOOKUP(B302,Model!$A$40:$B$60, 2), 0)</f>
        <v>300</v>
      </c>
      <c r="G302" s="15">
        <f>IF(AB302&gt;0, VLOOKUP(B302,Model!$A$39:$C$58, 3), 0)</f>
        <v>1</v>
      </c>
      <c r="H302" s="15">
        <f t="shared" si="78"/>
        <v>97</v>
      </c>
      <c r="I302" s="45">
        <f>Model!$B$21*EXP((-0.029*9.81*F302)/(8.31*(273+J302)))</f>
        <v>100357.4491247143</v>
      </c>
      <c r="J302" s="15">
        <f>IF(Model!$B$31="Summer",  IF(F302&lt;=2000,  Model!$B$20-Model!$B$35*F302/1000,  IF(F302&lt;Model!$B$36,  Model!$B$33-6.5*F302/1000,  Model!$B$38)),     IF(F302&lt;=2000,  Model!$B$20-Model!$B$35*F302/1000,  IF(F302&lt;Model!$B$36,  Model!$B$33-5.4*F302/1000,   Model!$B$38)))</f>
        <v>-19.088750000000001</v>
      </c>
      <c r="K302" s="15">
        <f t="shared" si="91"/>
        <v>253.91125</v>
      </c>
      <c r="L302" s="45">
        <f>IF(AB301-AA301*(B302-B301)&gt;0, L301-Y301*(B302-B301)*3600-AD302*Model!$B$16, 0)</f>
        <v>976.5786278566402</v>
      </c>
      <c r="M302" s="56">
        <f t="shared" si="79"/>
        <v>36.4685086597392</v>
      </c>
      <c r="N302" s="56">
        <f>Model!$B$13*I302*K302/(Model!$B$13*I302-L302*287*K302)</f>
        <v>309.4685086597392</v>
      </c>
      <c r="O302" s="56">
        <f t="shared" si="80"/>
        <v>281.6898793298696</v>
      </c>
      <c r="P302" s="56">
        <f t="shared" si="81"/>
        <v>8.7384793417932638</v>
      </c>
      <c r="Q302" s="62">
        <f t="shared" si="92"/>
        <v>2.4616981432420741E-2</v>
      </c>
      <c r="R302" s="33">
        <f t="shared" si="93"/>
        <v>1.4503747450306437E-5</v>
      </c>
      <c r="S302" s="45">
        <f>0.37*Model!$B$10*(Q302^2*(N302-K302)*I302/(R302*O302^2))^0.33333*(N302-K302)</f>
        <v>355677.95299019216</v>
      </c>
      <c r="T302" s="50">
        <f>Model!$B$32+(90-Model!$B$6)*SIN(RADIANS(-15*(E302+6)))</f>
        <v>2.1879315176032108</v>
      </c>
      <c r="U302" s="45">
        <f t="shared" si="82"/>
        <v>2.1879315176032108</v>
      </c>
      <c r="V302" s="50">
        <f t="shared" si="83"/>
        <v>26.193556045438033</v>
      </c>
      <c r="W302" s="45">
        <f t="shared" si="84"/>
        <v>2.5445080159779447</v>
      </c>
      <c r="X302" s="45">
        <f>0.3*W302*Model!$B$9</f>
        <v>230.49335037182149</v>
      </c>
      <c r="Y302" s="33">
        <f>(S302-X302)/Model!$B$11</f>
        <v>7.6251734342984087E-3</v>
      </c>
      <c r="Z302" s="45">
        <f t="shared" si="85"/>
        <v>6.4803946501057766E-2</v>
      </c>
      <c r="AA302" s="56">
        <f>Y302/Model!$B$12*3600</f>
        <v>49.369406705587465</v>
      </c>
      <c r="AB302" s="50">
        <f t="shared" si="90"/>
        <v>621.51634882719043</v>
      </c>
      <c r="AC302" s="50">
        <f t="shared" si="94"/>
        <v>1178.4836511728095</v>
      </c>
      <c r="AD302" s="15">
        <f>IF(AE302=0, Model!$B$19, 0 )</f>
        <v>0</v>
      </c>
      <c r="AE302" s="50">
        <f>IF(AE301+AB301-AB302&lt;Model!$B$19*Model!$B$18, AE301+AB301-AB302,  0)</f>
        <v>272.30535683042183</v>
      </c>
      <c r="AF302" s="15">
        <f t="shared" si="86"/>
        <v>15.000000000000078</v>
      </c>
      <c r="AG302" s="50">
        <f t="shared" si="87"/>
        <v>0</v>
      </c>
    </row>
    <row r="303" spans="2:33" x14ac:dyDescent="0.25">
      <c r="B303" s="13">
        <f t="shared" si="88"/>
        <v>15.050000000000079</v>
      </c>
      <c r="C303" s="13">
        <f>B303+Model!$B$4</f>
        <v>17.050000000000079</v>
      </c>
      <c r="D303" s="13">
        <f t="shared" si="89"/>
        <v>1</v>
      </c>
      <c r="E303" s="13">
        <f t="shared" si="95"/>
        <v>17.050000000000079</v>
      </c>
      <c r="F303" s="14">
        <f>IF(AB303&gt;0, VLOOKUP(B303,Model!$A$40:$B$60, 2), 0)</f>
        <v>300</v>
      </c>
      <c r="G303" s="13">
        <f>IF(AB303&gt;0, VLOOKUP(B303,Model!$A$39:$C$58, 3), 0)</f>
        <v>1</v>
      </c>
      <c r="H303" s="13">
        <f t="shared" si="78"/>
        <v>97</v>
      </c>
      <c r="I303" s="46">
        <f>Model!$B$21*EXP((-0.029*9.81*F303)/(8.31*(273+J303)))</f>
        <v>100357.4491247143</v>
      </c>
      <c r="J303" s="13">
        <f>IF(Model!$B$31="Summer",  IF(F303&lt;=2000,  Model!$B$20-Model!$B$35*F303/1000,  IF(F303&lt;Model!$B$36,  Model!$B$33-6.5*F303/1000,  Model!$B$38)),     IF(F303&lt;=2000,  Model!$B$20-Model!$B$35*F303/1000,  IF(F303&lt;Model!$B$36,  Model!$B$33-5.4*F303/1000,   Model!$B$38)))</f>
        <v>-19.088750000000001</v>
      </c>
      <c r="K303" s="13">
        <f t="shared" si="91"/>
        <v>253.91125</v>
      </c>
      <c r="L303" s="46">
        <f>IF(AB302-AA302*(B303-B302)&gt;0, L302-Y302*(B303-B302)*3600-AD303*Model!$B$16, 0)</f>
        <v>975.20609663846642</v>
      </c>
      <c r="M303" s="57">
        <f t="shared" si="79"/>
        <v>36.373370048277707</v>
      </c>
      <c r="N303" s="57">
        <f>Model!$B$13*I303*K303/(Model!$B$13*I303-L303*287*K303)</f>
        <v>309.37337004827771</v>
      </c>
      <c r="O303" s="57">
        <f t="shared" si="80"/>
        <v>281.64231002413885</v>
      </c>
      <c r="P303" s="57">
        <f t="shared" si="81"/>
        <v>8.6592734109120393</v>
      </c>
      <c r="Q303" s="63">
        <f t="shared" si="92"/>
        <v>2.461360401171386E-2</v>
      </c>
      <c r="R303" s="17">
        <f t="shared" si="93"/>
        <v>1.4498800242510438E-5</v>
      </c>
      <c r="S303" s="46">
        <f>0.37*Model!$B$10*(Q303^2*(N303-K303)*I303/(R303*O303^2))^0.33333*(N303-K303)</f>
        <v>354913.93467608967</v>
      </c>
      <c r="T303" s="51">
        <f>Model!$B$32+(90-Model!$B$6)*SIN(RADIANS(-15*(E303+6)))</f>
        <v>1.7446301950297354</v>
      </c>
      <c r="U303" s="46">
        <f t="shared" si="82"/>
        <v>1.7446301950297354</v>
      </c>
      <c r="V303" s="51">
        <f t="shared" si="83"/>
        <v>32.846292869956478</v>
      </c>
      <c r="W303" s="46">
        <f t="shared" si="84"/>
        <v>0.54302268713630442</v>
      </c>
      <c r="X303" s="46">
        <f>0.3*W303*Model!$B$9</f>
        <v>49.189516283701543</v>
      </c>
      <c r="Y303" s="17">
        <f>(S303-X303)/Model!$B$11</f>
        <v>7.6126728555144475E-3</v>
      </c>
      <c r="Z303" s="46">
        <f t="shared" si="85"/>
        <v>1.3859561848027774E-2</v>
      </c>
      <c r="AA303" s="57">
        <f>Y303/Model!$B$12*3600</f>
        <v>49.288471345446723</v>
      </c>
      <c r="AB303" s="51">
        <f t="shared" si="90"/>
        <v>619.04787849191098</v>
      </c>
      <c r="AC303" s="51">
        <f t="shared" si="94"/>
        <v>1180.952121508089</v>
      </c>
      <c r="AD303" s="13">
        <f>IF(AE303=0, Model!$B$19, 0 )</f>
        <v>0</v>
      </c>
      <c r="AE303" s="51">
        <f>IF(AE302+AB302-AB303&lt;Model!$B$19*Model!$B$18, AE302+AB302-AB303,  0)</f>
        <v>274.77382716570128</v>
      </c>
      <c r="AF303" s="13">
        <f t="shared" si="86"/>
        <v>15.050000000000079</v>
      </c>
      <c r="AG303" s="50">
        <f t="shared" si="87"/>
        <v>0</v>
      </c>
    </row>
    <row r="304" spans="2:33" x14ac:dyDescent="0.25">
      <c r="B304" s="15">
        <f t="shared" si="88"/>
        <v>15.10000000000008</v>
      </c>
      <c r="C304" s="15">
        <f>B304+Model!$B$4</f>
        <v>17.10000000000008</v>
      </c>
      <c r="D304" s="15">
        <f t="shared" si="89"/>
        <v>1</v>
      </c>
      <c r="E304" s="15">
        <f t="shared" si="95"/>
        <v>17.10000000000008</v>
      </c>
      <c r="F304" s="16">
        <f>IF(AB304&gt;0, VLOOKUP(B304,Model!$A$40:$B$60, 2), 0)</f>
        <v>300</v>
      </c>
      <c r="G304" s="15">
        <f>IF(AB304&gt;0, VLOOKUP(B304,Model!$A$39:$C$58, 3), 0)</f>
        <v>1</v>
      </c>
      <c r="H304" s="15">
        <f t="shared" si="78"/>
        <v>97</v>
      </c>
      <c r="I304" s="45">
        <f>Model!$B$21*EXP((-0.029*9.81*F304)/(8.31*(273+J304)))</f>
        <v>100357.4491247143</v>
      </c>
      <c r="J304" s="15">
        <f>IF(Model!$B$31="Summer",  IF(F304&lt;=2000,  Model!$B$20-Model!$B$35*F304/1000,  IF(F304&lt;Model!$B$36,  Model!$B$33-6.5*F304/1000,  Model!$B$38)),     IF(F304&lt;=2000,  Model!$B$20-Model!$B$35*F304/1000,  IF(F304&lt;Model!$B$36,  Model!$B$33-5.4*F304/1000,   Model!$B$38)))</f>
        <v>-19.088750000000001</v>
      </c>
      <c r="K304" s="15">
        <f t="shared" si="91"/>
        <v>253.91125</v>
      </c>
      <c r="L304" s="45">
        <f>IF(AB303-AA303*(B304-B303)&gt;0, L303-Y303*(B304-B303)*3600-AD304*Model!$B$16, 0)</f>
        <v>973.83581552447379</v>
      </c>
      <c r="M304" s="56">
        <f t="shared" si="79"/>
        <v>36.278445739887388</v>
      </c>
      <c r="N304" s="56">
        <f>Model!$B$13*I304*K304/(Model!$B$13*I304-L304*287*K304)</f>
        <v>309.27844573988739</v>
      </c>
      <c r="O304" s="56">
        <f t="shared" si="80"/>
        <v>281.59484786994369</v>
      </c>
      <c r="P304" s="56">
        <f t="shared" si="81"/>
        <v>8.5984680211912696</v>
      </c>
      <c r="Q304" s="62">
        <f t="shared" si="92"/>
        <v>2.4610234198766002E-2</v>
      </c>
      <c r="R304" s="33">
        <f t="shared" si="93"/>
        <v>1.4493864178474143E-5</v>
      </c>
      <c r="S304" s="45">
        <f>0.37*Model!$B$10*(Q304^2*(N304-K304)*I304/(R304*O304^2))^0.33333*(N304-K304)</f>
        <v>354151.90416452265</v>
      </c>
      <c r="T304" s="50">
        <f>Model!$B$32+(90-Model!$B$6)*SIN(RADIANS(-15*(E304+6)))</f>
        <v>1.2998526739716638</v>
      </c>
      <c r="U304" s="45">
        <f t="shared" si="82"/>
        <v>1.2998526739716638</v>
      </c>
      <c r="V304" s="50">
        <f t="shared" si="83"/>
        <v>44.082453228865141</v>
      </c>
      <c r="W304" s="45">
        <f t="shared" si="84"/>
        <v>7.5334348899582099E-2</v>
      </c>
      <c r="X304" s="45">
        <f>0.3*W304*Model!$B$9</f>
        <v>6.8241351046680805</v>
      </c>
      <c r="Y304" s="33">
        <f>(S304-X304)/Model!$B$11</f>
        <v>7.5972343672512706E-3</v>
      </c>
      <c r="Z304" s="45">
        <f t="shared" si="85"/>
        <v>1.9268949353150736E-3</v>
      </c>
      <c r="AA304" s="56">
        <f>Y304/Model!$B$12*3600</f>
        <v>49.188514405115917</v>
      </c>
      <c r="AB304" s="50">
        <f t="shared" si="90"/>
        <v>616.58345492463866</v>
      </c>
      <c r="AC304" s="50">
        <f t="shared" si="94"/>
        <v>1183.4165450753612</v>
      </c>
      <c r="AD304" s="15">
        <f>IF(AE304=0, Model!$B$19, 0 )</f>
        <v>0</v>
      </c>
      <c r="AE304" s="50">
        <f>IF(AE303+AB303-AB304&lt;Model!$B$19*Model!$B$18, AE303+AB303-AB304,  0)</f>
        <v>277.2382507329736</v>
      </c>
      <c r="AF304" s="15">
        <f t="shared" si="86"/>
        <v>15.10000000000008</v>
      </c>
      <c r="AG304" s="50">
        <f t="shared" si="87"/>
        <v>0</v>
      </c>
    </row>
    <row r="305" spans="2:33" x14ac:dyDescent="0.25">
      <c r="B305" s="13">
        <f t="shared" si="88"/>
        <v>15.15000000000008</v>
      </c>
      <c r="C305" s="13">
        <f>B305+Model!$B$4</f>
        <v>17.15000000000008</v>
      </c>
      <c r="D305" s="13">
        <f t="shared" si="89"/>
        <v>1</v>
      </c>
      <c r="E305" s="13">
        <f t="shared" si="95"/>
        <v>17.15000000000008</v>
      </c>
      <c r="F305" s="14">
        <f>IF(AB305&gt;0, VLOOKUP(B305,Model!$A$40:$B$60, 2), 0)</f>
        <v>300</v>
      </c>
      <c r="G305" s="13">
        <f>IF(AB305&gt;0, VLOOKUP(B305,Model!$A$39:$C$58, 3), 0)</f>
        <v>1</v>
      </c>
      <c r="H305" s="13">
        <f t="shared" si="78"/>
        <v>97</v>
      </c>
      <c r="I305" s="46">
        <f>Model!$B$21*EXP((-0.029*9.81*F305)/(8.31*(273+J305)))</f>
        <v>100357.4491247143</v>
      </c>
      <c r="J305" s="13">
        <f>IF(Model!$B$31="Summer",  IF(F305&lt;=2000,  Model!$B$20-Model!$B$35*F305/1000,  IF(F305&lt;Model!$B$36,  Model!$B$33-6.5*F305/1000,  Model!$B$38)),     IF(F305&lt;=2000,  Model!$B$20-Model!$B$35*F305/1000,  IF(F305&lt;Model!$B$36,  Model!$B$33-5.4*F305/1000,   Model!$B$38)))</f>
        <v>-19.088750000000001</v>
      </c>
      <c r="K305" s="13">
        <f t="shared" si="91"/>
        <v>253.91125</v>
      </c>
      <c r="L305" s="46">
        <f>IF(AB304-AA304*(B305-B304)&gt;0, L304-Y304*(B305-B304)*3600-AD305*Model!$B$16, 0)</f>
        <v>972.46831333836849</v>
      </c>
      <c r="M305" s="57">
        <f t="shared" si="79"/>
        <v>36.183771993792675</v>
      </c>
      <c r="N305" s="57">
        <f>Model!$B$13*I305*K305/(Model!$B$13*I305-L305*287*K305)</f>
        <v>309.18377199379267</v>
      </c>
      <c r="O305" s="57">
        <f t="shared" si="80"/>
        <v>281.54751099689634</v>
      </c>
      <c r="P305" s="57">
        <f t="shared" si="81"/>
        <v>8.5480132258890009</v>
      </c>
      <c r="Q305" s="63">
        <f t="shared" si="92"/>
        <v>2.460687328077964E-2</v>
      </c>
      <c r="R305" s="17">
        <f t="shared" si="93"/>
        <v>1.4488941143677218E-5</v>
      </c>
      <c r="S305" s="46">
        <f>0.37*Model!$B$10*(Q305^2*(N305-K305)*I305/(R305*O305^2))^0.33333*(N305-K305)</f>
        <v>353392.15115510259</v>
      </c>
      <c r="T305" s="51">
        <f>Model!$B$32+(90-Model!$B$6)*SIN(RADIANS(-15*(E305+6)))</f>
        <v>0.85367516476750804</v>
      </c>
      <c r="U305" s="46">
        <f t="shared" si="82"/>
        <v>0.85367516476750804</v>
      </c>
      <c r="V305" s="51">
        <f t="shared" si="83"/>
        <v>67.119089102521286</v>
      </c>
      <c r="W305" s="46">
        <f t="shared" si="84"/>
        <v>4.2379468053749016E-2</v>
      </c>
      <c r="X305" s="46">
        <f>0.3*W305*Model!$B$9</f>
        <v>3.8389289864075855</v>
      </c>
      <c r="Y305" s="17">
        <f>(S305-X305)/Model!$B$11</f>
        <v>7.5809999404937512E-3</v>
      </c>
      <c r="Z305" s="46">
        <f t="shared" si="85"/>
        <v>1.0863085028514662E-3</v>
      </c>
      <c r="AA305" s="57">
        <f>Y305/Model!$B$12*3600</f>
        <v>49.083404137902981</v>
      </c>
      <c r="AB305" s="51">
        <f t="shared" si="90"/>
        <v>614.12402920438285</v>
      </c>
      <c r="AC305" s="51">
        <f t="shared" si="94"/>
        <v>1185.8759707956171</v>
      </c>
      <c r="AD305" s="13">
        <f>IF(AE305=0, Model!$B$19, 0 )</f>
        <v>0</v>
      </c>
      <c r="AE305" s="51">
        <f>IF(AE304+AB304-AB305&lt;Model!$B$19*Model!$B$18, AE304+AB304-AB305,  0)</f>
        <v>279.69767645322941</v>
      </c>
      <c r="AF305" s="13">
        <f t="shared" si="86"/>
        <v>15.15000000000008</v>
      </c>
      <c r="AG305" s="50">
        <f t="shared" si="87"/>
        <v>0</v>
      </c>
    </row>
    <row r="306" spans="2:33" x14ac:dyDescent="0.25">
      <c r="B306" s="15">
        <f t="shared" si="88"/>
        <v>15.200000000000081</v>
      </c>
      <c r="C306" s="15">
        <f>B306+Model!$B$4</f>
        <v>17.200000000000081</v>
      </c>
      <c r="D306" s="15">
        <f t="shared" si="89"/>
        <v>1</v>
      </c>
      <c r="E306" s="15">
        <f t="shared" si="95"/>
        <v>17.200000000000081</v>
      </c>
      <c r="F306" s="16">
        <f>IF(AB306&gt;0, VLOOKUP(B306,Model!$A$40:$B$60, 2), 0)</f>
        <v>300</v>
      </c>
      <c r="G306" s="15">
        <f>IF(AB306&gt;0, VLOOKUP(B306,Model!$A$39:$C$58, 3), 0)</f>
        <v>1</v>
      </c>
      <c r="H306" s="15">
        <f t="shared" si="78"/>
        <v>97</v>
      </c>
      <c r="I306" s="45">
        <f>Model!$B$21*EXP((-0.029*9.81*F306)/(8.31*(273+J306)))</f>
        <v>100357.4491247143</v>
      </c>
      <c r="J306" s="15">
        <f>IF(Model!$B$31="Summer",  IF(F306&lt;=2000,  Model!$B$20-Model!$B$35*F306/1000,  IF(F306&lt;Model!$B$36,  Model!$B$33-6.5*F306/1000,  Model!$B$38)),     IF(F306&lt;=2000,  Model!$B$20-Model!$B$35*F306/1000,  IF(F306&lt;Model!$B$36,  Model!$B$33-5.4*F306/1000,   Model!$B$38)))</f>
        <v>-19.088750000000001</v>
      </c>
      <c r="K306" s="15">
        <f t="shared" si="91"/>
        <v>253.91125</v>
      </c>
      <c r="L306" s="45">
        <f>IF(AB305-AA305*(B306-B305)&gt;0, L305-Y305*(B306-B305)*3600-AD306*Model!$B$16, 0)</f>
        <v>971.10373334907956</v>
      </c>
      <c r="M306" s="56">
        <f t="shared" si="79"/>
        <v>36.089358312921888</v>
      </c>
      <c r="N306" s="56">
        <f>Model!$B$13*I306*K306/(Model!$B$13*I306-L306*287*K306)</f>
        <v>309.08935831292189</v>
      </c>
      <c r="O306" s="56">
        <f t="shared" si="80"/>
        <v>281.50030415646097</v>
      </c>
      <c r="P306" s="56">
        <f t="shared" si="81"/>
        <v>8.5005866862479689</v>
      </c>
      <c r="Q306" s="62">
        <f t="shared" si="92"/>
        <v>2.4603521595108729E-2</v>
      </c>
      <c r="R306" s="33">
        <f t="shared" si="93"/>
        <v>1.4484031632271938E-5</v>
      </c>
      <c r="S306" s="45">
        <f>0.37*Model!$B$10*(Q306^2*(N306-K306)*I306/(R306*O306^2))^0.33333*(N306-K306)</f>
        <v>352634.75033266802</v>
      </c>
      <c r="T306" s="50">
        <f>Model!$B$32+(90-Model!$B$6)*SIN(RADIANS(-15*(E306+6)))</f>
        <v>0.40617411763654143</v>
      </c>
      <c r="U306" s="45">
        <f t="shared" si="82"/>
        <v>0.40617411763654143</v>
      </c>
      <c r="V306" s="50">
        <f t="shared" si="83"/>
        <v>141.06329509407715</v>
      </c>
      <c r="W306" s="45">
        <f t="shared" si="84"/>
        <v>4.2253521128919828E-2</v>
      </c>
      <c r="X306" s="45">
        <f>0.3*W306*Model!$B$9</f>
        <v>3.827520129178362</v>
      </c>
      <c r="Y306" s="33">
        <f>(S306-X306)/Model!$B$11</f>
        <v>7.5647521787523082E-3</v>
      </c>
      <c r="Z306" s="45">
        <f t="shared" si="85"/>
        <v>1.0854063944541945E-3</v>
      </c>
      <c r="AA306" s="56">
        <f>Y306/Model!$B$12*3600</f>
        <v>48.978207532949618</v>
      </c>
      <c r="AB306" s="50">
        <f t="shared" si="90"/>
        <v>611.66985899748772</v>
      </c>
      <c r="AC306" s="50">
        <f t="shared" si="94"/>
        <v>1188.3301410025124</v>
      </c>
      <c r="AD306" s="15">
        <f>IF(AE306=0, Model!$B$19, 0 )</f>
        <v>0</v>
      </c>
      <c r="AE306" s="50">
        <f>IF(AE305+AB305-AB306&lt;Model!$B$19*Model!$B$18, AE305+AB305-AB306,  0)</f>
        <v>282.15184666012453</v>
      </c>
      <c r="AF306" s="15">
        <f t="shared" si="86"/>
        <v>15.200000000000081</v>
      </c>
      <c r="AG306" s="50">
        <f t="shared" si="87"/>
        <v>0</v>
      </c>
    </row>
    <row r="307" spans="2:33" x14ac:dyDescent="0.25">
      <c r="B307" s="13">
        <f t="shared" si="88"/>
        <v>15.250000000000082</v>
      </c>
      <c r="C307" s="13">
        <f>B307+Model!$B$4</f>
        <v>17.250000000000082</v>
      </c>
      <c r="D307" s="13">
        <f t="shared" si="89"/>
        <v>1</v>
      </c>
      <c r="E307" s="13">
        <f t="shared" si="95"/>
        <v>17.250000000000082</v>
      </c>
      <c r="F307" s="14">
        <f>IF(AB307&gt;0, VLOOKUP(B307,Model!$A$40:$B$60, 2), 0)</f>
        <v>300</v>
      </c>
      <c r="G307" s="13">
        <f>IF(AB307&gt;0, VLOOKUP(B307,Model!$A$39:$C$58, 3), 0)</f>
        <v>1</v>
      </c>
      <c r="H307" s="13">
        <f t="shared" si="78"/>
        <v>97</v>
      </c>
      <c r="I307" s="46">
        <f>Model!$B$21*EXP((-0.029*9.81*F307)/(8.31*(273+J307)))</f>
        <v>100357.4491247143</v>
      </c>
      <c r="J307" s="13">
        <f>IF(Model!$B$31="Summer",  IF(F307&lt;=2000,  Model!$B$20-Model!$B$35*F307/1000,  IF(F307&lt;Model!$B$36,  Model!$B$33-6.5*F307/1000,  Model!$B$38)),     IF(F307&lt;=2000,  Model!$B$20-Model!$B$35*F307/1000,  IF(F307&lt;Model!$B$36,  Model!$B$33-5.4*F307/1000,   Model!$B$38)))</f>
        <v>-19.088750000000001</v>
      </c>
      <c r="K307" s="13">
        <f t="shared" si="91"/>
        <v>253.91125</v>
      </c>
      <c r="L307" s="46">
        <f>IF(AB306-AA306*(B307-B306)&gt;0, L306-Y306*(B307-B306)*3600-AD307*Model!$B$16, 0)</f>
        <v>969.74207795690415</v>
      </c>
      <c r="M307" s="57">
        <f t="shared" si="79"/>
        <v>35.995204439863187</v>
      </c>
      <c r="N307" s="57">
        <f>Model!$B$13*I307*K307/(Model!$B$13*I307-L307*287*K307)</f>
        <v>308.99520443986319</v>
      </c>
      <c r="O307" s="57">
        <f t="shared" si="80"/>
        <v>281.45322721993159</v>
      </c>
      <c r="P307" s="57">
        <f t="shared" si="81"/>
        <v>8.4535089100724523</v>
      </c>
      <c r="Q307" s="63">
        <f t="shared" si="92"/>
        <v>2.4600179132615144E-2</v>
      </c>
      <c r="R307" s="17">
        <f t="shared" si="93"/>
        <v>1.4479135630872886E-5</v>
      </c>
      <c r="S307" s="46">
        <f>0.37*Model!$B$10*(Q307^2*(N307-K307)*I307/(R307*O307^2))^0.33333*(N307-K307)</f>
        <v>351879.69801582181</v>
      </c>
      <c r="T307" s="51">
        <f>Model!$B$32+(90-Model!$B$6)*SIN(RADIANS(-15*(E307+6)))</f>
        <v>-4.2573790420580515E-2</v>
      </c>
      <c r="U307" s="46">
        <f t="shared" si="82"/>
        <v>0</v>
      </c>
      <c r="V307" s="51">
        <f t="shared" si="83"/>
        <v>99999</v>
      </c>
      <c r="W307" s="46">
        <f t="shared" si="84"/>
        <v>4.2253521126760563E-2</v>
      </c>
      <c r="X307" s="46">
        <f>0.3*W307*Model!$B$9</f>
        <v>3.8275201289827652</v>
      </c>
      <c r="Y307" s="17">
        <f>(S307-X307)/Model!$B$11</f>
        <v>7.548554553162991E-3</v>
      </c>
      <c r="Z307" s="46">
        <f t="shared" si="85"/>
        <v>1.0877354250800413E-3</v>
      </c>
      <c r="AA307" s="57">
        <f>Y307/Model!$B$12*3600</f>
        <v>48.873335535968288</v>
      </c>
      <c r="AB307" s="51">
        <f t="shared" si="90"/>
        <v>609.2209486208402</v>
      </c>
      <c r="AC307" s="51">
        <f t="shared" si="94"/>
        <v>1190.7790513791597</v>
      </c>
      <c r="AD307" s="13">
        <f>IF(AE307=0, Model!$B$19, 0 )</f>
        <v>0</v>
      </c>
      <c r="AE307" s="51">
        <f>IF(AE306+AB306-AB307&lt;Model!$B$19*Model!$B$18, AE306+AB306-AB307,  0)</f>
        <v>284.60075703677205</v>
      </c>
      <c r="AF307" s="13">
        <f t="shared" si="86"/>
        <v>15.250000000000082</v>
      </c>
      <c r="AG307" s="50">
        <f t="shared" si="87"/>
        <v>0</v>
      </c>
    </row>
    <row r="308" spans="2:33" x14ac:dyDescent="0.25">
      <c r="B308" s="15">
        <f t="shared" si="88"/>
        <v>15.300000000000082</v>
      </c>
      <c r="C308" s="15">
        <f>B308+Model!$B$4</f>
        <v>17.300000000000082</v>
      </c>
      <c r="D308" s="15">
        <f t="shared" si="89"/>
        <v>1</v>
      </c>
      <c r="E308" s="15">
        <f t="shared" si="95"/>
        <v>17.300000000000082</v>
      </c>
      <c r="F308" s="16">
        <f>IF(AB308&gt;0, VLOOKUP(B308,Model!$A$40:$B$60, 2), 0)</f>
        <v>300</v>
      </c>
      <c r="G308" s="15">
        <f>IF(AB308&gt;0, VLOOKUP(B308,Model!$A$39:$C$58, 3), 0)</f>
        <v>1</v>
      </c>
      <c r="H308" s="15">
        <f t="shared" si="78"/>
        <v>97</v>
      </c>
      <c r="I308" s="45">
        <f>Model!$B$21*EXP((-0.029*9.81*F308)/(8.31*(273+J308)))</f>
        <v>100357.4491247143</v>
      </c>
      <c r="J308" s="15">
        <f>IF(Model!$B$31="Summer",  IF(F308&lt;=2000,  Model!$B$20-Model!$B$35*F308/1000,  IF(F308&lt;Model!$B$36,  Model!$B$33-6.5*F308/1000,  Model!$B$38)),     IF(F308&lt;=2000,  Model!$B$20-Model!$B$35*F308/1000,  IF(F308&lt;Model!$B$36,  Model!$B$33-5.4*F308/1000,   Model!$B$38)))</f>
        <v>-19.088750000000001</v>
      </c>
      <c r="K308" s="15">
        <f t="shared" ref="K308:K321" si="96">273+J308</f>
        <v>253.91125</v>
      </c>
      <c r="L308" s="45">
        <f>IF(AB307-AA307*(B308-B307)&gt;0, L307-Y307*(B308-B307)*3600-AD308*Model!$B$16, 0)</f>
        <v>968.38333813733482</v>
      </c>
      <c r="M308" s="56">
        <f t="shared" si="79"/>
        <v>35.901309329069704</v>
      </c>
      <c r="N308" s="56">
        <f>Model!$B$13*I308*K308/(Model!$B$13*I308-L308*287*K308)</f>
        <v>308.9013093290697</v>
      </c>
      <c r="O308" s="56">
        <f t="shared" si="80"/>
        <v>281.40627966453485</v>
      </c>
      <c r="P308" s="56">
        <f t="shared" si="81"/>
        <v>8.4065613546756968</v>
      </c>
      <c r="Q308" s="62">
        <f t="shared" ref="Q308:Q321" si="97">(O308-273)*7.1*0.00001+0.024</f>
        <v>2.4596845856181975E-2</v>
      </c>
      <c r="R308" s="33">
        <f t="shared" ref="R308:R321" si="98">((O308-273)*0.104+13.6)*0.000001</f>
        <v>1.4474253085111623E-5</v>
      </c>
      <c r="S308" s="45">
        <f>0.37*Model!$B$10*(Q308^2*(N308-K308)*I308/(R308*O308^2))^0.33333*(N308-K308)</f>
        <v>351126.98420742102</v>
      </c>
      <c r="T308" s="50">
        <f>Model!$B$32+(90-Model!$B$6)*SIN(RADIANS(-15*(E308+6)))</f>
        <v>-0.49249166875991257</v>
      </c>
      <c r="U308" s="45">
        <f t="shared" si="82"/>
        <v>0</v>
      </c>
      <c r="V308" s="50">
        <f t="shared" si="83"/>
        <v>99999</v>
      </c>
      <c r="W308" s="45">
        <f t="shared" si="84"/>
        <v>4.2253521126760563E-2</v>
      </c>
      <c r="X308" s="45">
        <f>0.3*W308*Model!$B$9</f>
        <v>3.8275201289827652</v>
      </c>
      <c r="Y308" s="33">
        <f>(S308-X308)/Model!$B$11</f>
        <v>7.5324070940103408E-3</v>
      </c>
      <c r="Z308" s="45">
        <f t="shared" si="85"/>
        <v>1.0900672124708412E-3</v>
      </c>
      <c r="AA308" s="56">
        <f>Y308/Model!$B$12*3600</f>
        <v>48.768788343037144</v>
      </c>
      <c r="AB308" s="50">
        <f t="shared" si="90"/>
        <v>606.7772818440418</v>
      </c>
      <c r="AC308" s="50">
        <f t="shared" ref="AC308:AC321" si="99">AC307+AB307-AB308</f>
        <v>1193.2227181559583</v>
      </c>
      <c r="AD308" s="15">
        <f>IF(AE308=0, Model!$B$19, 0 )</f>
        <v>0</v>
      </c>
      <c r="AE308" s="50">
        <f>IF(AE307+AB307-AB308&lt;Model!$B$19*Model!$B$18, AE307+AB307-AB308,  0)</f>
        <v>287.04442381357046</v>
      </c>
      <c r="AF308" s="15">
        <f t="shared" si="86"/>
        <v>15.300000000000082</v>
      </c>
      <c r="AG308" s="50">
        <f t="shared" si="87"/>
        <v>0</v>
      </c>
    </row>
    <row r="309" spans="2:33" x14ac:dyDescent="0.25">
      <c r="B309" s="13">
        <f t="shared" si="88"/>
        <v>15.350000000000083</v>
      </c>
      <c r="C309" s="13">
        <f>B309+Model!$B$4</f>
        <v>17.350000000000083</v>
      </c>
      <c r="D309" s="13">
        <f t="shared" si="89"/>
        <v>1</v>
      </c>
      <c r="E309" s="13">
        <f t="shared" si="95"/>
        <v>17.350000000000083</v>
      </c>
      <c r="F309" s="14">
        <f>IF(AB309&gt;0, VLOOKUP(B309,Model!$A$40:$B$60, 2), 0)</f>
        <v>300</v>
      </c>
      <c r="G309" s="13">
        <f>IF(AB309&gt;0, VLOOKUP(B309,Model!$A$39:$C$58, 3), 0)</f>
        <v>1</v>
      </c>
      <c r="H309" s="13">
        <f t="shared" si="78"/>
        <v>97</v>
      </c>
      <c r="I309" s="46">
        <f>Model!$B$21*EXP((-0.029*9.81*F309)/(8.31*(273+J309)))</f>
        <v>100357.4491247143</v>
      </c>
      <c r="J309" s="13">
        <f>IF(Model!$B$31="Summer",  IF(F309&lt;=2000,  Model!$B$20-Model!$B$35*F309/1000,  IF(F309&lt;Model!$B$36,  Model!$B$33-6.5*F309/1000,  Model!$B$38)),     IF(F309&lt;=2000,  Model!$B$20-Model!$B$35*F309/1000,  IF(F309&lt;Model!$B$36,  Model!$B$33-5.4*F309/1000,   Model!$B$38)))</f>
        <v>-19.088750000000001</v>
      </c>
      <c r="K309" s="13">
        <f t="shared" si="96"/>
        <v>253.91125</v>
      </c>
      <c r="L309" s="46">
        <f>IF(AB308-AA308*(B309-B308)&gt;0, L308-Y308*(B309-B308)*3600-AD309*Model!$B$16, 0)</f>
        <v>967.02750486041293</v>
      </c>
      <c r="M309" s="57">
        <f t="shared" si="79"/>
        <v>35.807671937661041</v>
      </c>
      <c r="N309" s="57">
        <f>Model!$B$13*I309*K309/(Model!$B$13*I309-L309*287*K309)</f>
        <v>308.80767193766104</v>
      </c>
      <c r="O309" s="57">
        <f t="shared" si="80"/>
        <v>281.35946096883049</v>
      </c>
      <c r="P309" s="57">
        <f t="shared" si="81"/>
        <v>8.3597426589713653</v>
      </c>
      <c r="Q309" s="63">
        <f t="shared" si="97"/>
        <v>2.4593521728786965E-2</v>
      </c>
      <c r="R309" s="17">
        <f t="shared" si="98"/>
        <v>1.446938394075837E-5</v>
      </c>
      <c r="S309" s="46">
        <f>0.37*Model!$B$10*(Q309^2*(N309-K309)*I309/(R309*O309^2))^0.33333*(N309-K309)</f>
        <v>350376.59894180589</v>
      </c>
      <c r="T309" s="51">
        <f>Model!$B$32+(90-Model!$B$6)*SIN(RADIANS(-15*(E309+6)))</f>
        <v>-0.94350242626921688</v>
      </c>
      <c r="U309" s="46">
        <f t="shared" si="82"/>
        <v>0</v>
      </c>
      <c r="V309" s="51">
        <f t="shared" si="83"/>
        <v>99999</v>
      </c>
      <c r="W309" s="46">
        <f t="shared" si="84"/>
        <v>4.2253521126760563E-2</v>
      </c>
      <c r="X309" s="46">
        <f>0.3*W309*Model!$B$9</f>
        <v>3.8275201289827652</v>
      </c>
      <c r="Y309" s="17">
        <f>(S309-X309)/Model!$B$11</f>
        <v>7.5163095875078172E-3</v>
      </c>
      <c r="Z309" s="46">
        <f t="shared" si="85"/>
        <v>1.0924017587197593E-3</v>
      </c>
      <c r="AA309" s="57">
        <f>Y309/Model!$B$12*3600</f>
        <v>48.664564569989018</v>
      </c>
      <c r="AB309" s="51">
        <f t="shared" si="90"/>
        <v>604.33884242688987</v>
      </c>
      <c r="AC309" s="51">
        <f t="shared" si="99"/>
        <v>1195.6611575731101</v>
      </c>
      <c r="AD309" s="13">
        <f>IF(AE309=0, Model!$B$19, 0 )</f>
        <v>0</v>
      </c>
      <c r="AE309" s="51">
        <f>IF(AE308+AB308-AB309&lt;Model!$B$19*Model!$B$18, AE308+AB308-AB309,  0)</f>
        <v>289.48286323072239</v>
      </c>
      <c r="AF309" s="13">
        <f t="shared" si="86"/>
        <v>15.350000000000083</v>
      </c>
      <c r="AG309" s="50">
        <f t="shared" si="87"/>
        <v>0</v>
      </c>
    </row>
    <row r="310" spans="2:33" x14ac:dyDescent="0.25">
      <c r="B310" s="15">
        <f t="shared" si="88"/>
        <v>15.400000000000084</v>
      </c>
      <c r="C310" s="15">
        <f>B310+Model!$B$4</f>
        <v>17.400000000000084</v>
      </c>
      <c r="D310" s="15">
        <f t="shared" si="89"/>
        <v>1</v>
      </c>
      <c r="E310" s="15">
        <f t="shared" si="95"/>
        <v>17.400000000000084</v>
      </c>
      <c r="F310" s="16">
        <f>IF(AB310&gt;0, VLOOKUP(B310,Model!$A$40:$B$60, 2), 0)</f>
        <v>300</v>
      </c>
      <c r="G310" s="15">
        <f>IF(AB310&gt;0, VLOOKUP(B310,Model!$A$39:$C$58, 3), 0)</f>
        <v>1</v>
      </c>
      <c r="H310" s="15">
        <f t="shared" si="78"/>
        <v>97</v>
      </c>
      <c r="I310" s="45">
        <f>Model!$B$21*EXP((-0.029*9.81*F310)/(8.31*(273+J310)))</f>
        <v>100357.4491247143</v>
      </c>
      <c r="J310" s="15">
        <f>IF(Model!$B$31="Summer",  IF(F310&lt;=2000,  Model!$B$20-Model!$B$35*F310/1000,  IF(F310&lt;Model!$B$36,  Model!$B$33-6.5*F310/1000,  Model!$B$38)),     IF(F310&lt;=2000,  Model!$B$20-Model!$B$35*F310/1000,  IF(F310&lt;Model!$B$36,  Model!$B$33-5.4*F310/1000,   Model!$B$38)))</f>
        <v>-19.088750000000001</v>
      </c>
      <c r="K310" s="15">
        <f t="shared" si="96"/>
        <v>253.91125</v>
      </c>
      <c r="L310" s="45">
        <f>IF(AB309-AA309*(B310-B309)&gt;0, L309-Y309*(B310-B309)*3600-AD310*Model!$B$16, 0)</f>
        <v>965.67456913466151</v>
      </c>
      <c r="M310" s="56">
        <f t="shared" si="79"/>
        <v>35.714291228438867</v>
      </c>
      <c r="N310" s="56">
        <f>Model!$B$13*I310*K310/(Model!$B$13*I310-L310*287*K310)</f>
        <v>308.71429122843887</v>
      </c>
      <c r="O310" s="56">
        <f t="shared" si="80"/>
        <v>281.3127706142194</v>
      </c>
      <c r="P310" s="56">
        <f t="shared" si="81"/>
        <v>8.3130523043602782</v>
      </c>
      <c r="Q310" s="62">
        <f t="shared" si="97"/>
        <v>2.4590206713609578E-2</v>
      </c>
      <c r="R310" s="33">
        <f t="shared" si="98"/>
        <v>1.4464528143878817E-5</v>
      </c>
      <c r="S310" s="45">
        <f>0.37*Model!$B$10*(Q310^2*(N310-K310)*I310/(R310*O310^2))^0.33333*(N310-K310)</f>
        <v>349628.53230892186</v>
      </c>
      <c r="T310" s="50">
        <f>Model!$B$32+(90-Model!$B$6)*SIN(RADIANS(-15*(E310+6)))</f>
        <v>-1.3955287845770021</v>
      </c>
      <c r="U310" s="45">
        <f t="shared" si="82"/>
        <v>0</v>
      </c>
      <c r="V310" s="50">
        <f t="shared" si="83"/>
        <v>99999</v>
      </c>
      <c r="W310" s="45">
        <f t="shared" si="84"/>
        <v>4.2253521126760563E-2</v>
      </c>
      <c r="X310" s="45">
        <f>0.3*W310*Model!$B$9</f>
        <v>3.8275201289827652</v>
      </c>
      <c r="Y310" s="33">
        <f>(S310-X310)/Model!$B$11</f>
        <v>7.5002618210617371E-3</v>
      </c>
      <c r="Z310" s="45">
        <f t="shared" si="85"/>
        <v>1.0947390659755644E-3</v>
      </c>
      <c r="AA310" s="56">
        <f>Y310/Model!$B$12*3600</f>
        <v>48.560662840379933</v>
      </c>
      <c r="AB310" s="50">
        <f t="shared" si="90"/>
        <v>601.90561419839037</v>
      </c>
      <c r="AC310" s="50">
        <f t="shared" si="99"/>
        <v>1198.0943858016096</v>
      </c>
      <c r="AD310" s="15">
        <f>IF(AE310=0, Model!$B$19, 0 )</f>
        <v>0</v>
      </c>
      <c r="AE310" s="50">
        <f>IF(AE309+AB309-AB310&lt;Model!$B$19*Model!$B$18, AE309+AB309-AB310,  0)</f>
        <v>291.91609145922189</v>
      </c>
      <c r="AF310" s="15">
        <f t="shared" si="86"/>
        <v>15.400000000000084</v>
      </c>
      <c r="AG310" s="50">
        <f t="shared" si="87"/>
        <v>0</v>
      </c>
    </row>
    <row r="311" spans="2:33" x14ac:dyDescent="0.25">
      <c r="B311" s="13">
        <f t="shared" si="88"/>
        <v>15.450000000000085</v>
      </c>
      <c r="C311" s="13">
        <f>B311+Model!$B$4</f>
        <v>17.450000000000085</v>
      </c>
      <c r="D311" s="13">
        <f t="shared" si="89"/>
        <v>1</v>
      </c>
      <c r="E311" s="13">
        <f t="shared" si="95"/>
        <v>17.450000000000085</v>
      </c>
      <c r="F311" s="14">
        <f>IF(AB311&gt;0, VLOOKUP(B311,Model!$A$40:$B$60, 2), 0)</f>
        <v>300</v>
      </c>
      <c r="G311" s="13">
        <f>IF(AB311&gt;0, VLOOKUP(B311,Model!$A$39:$C$58, 3), 0)</f>
        <v>1</v>
      </c>
      <c r="H311" s="13">
        <f t="shared" si="78"/>
        <v>97</v>
      </c>
      <c r="I311" s="46">
        <f>Model!$B$21*EXP((-0.029*9.81*F311)/(8.31*(273+J311)))</f>
        <v>100357.4491247143</v>
      </c>
      <c r="J311" s="13">
        <f>IF(Model!$B$31="Summer",  IF(F311&lt;=2000,  Model!$B$20-Model!$B$35*F311/1000,  IF(F311&lt;Model!$B$36,  Model!$B$33-6.5*F311/1000,  Model!$B$38)),     IF(F311&lt;=2000,  Model!$B$20-Model!$B$35*F311/1000,  IF(F311&lt;Model!$B$36,  Model!$B$33-5.4*F311/1000,   Model!$B$38)))</f>
        <v>-19.088750000000001</v>
      </c>
      <c r="K311" s="13">
        <f t="shared" si="96"/>
        <v>253.91125</v>
      </c>
      <c r="L311" s="46">
        <f>IF(AB310-AA310*(B311-B310)&gt;0, L310-Y310*(B311-B310)*3600-AD311*Model!$B$16, 0)</f>
        <v>964.32452200687032</v>
      </c>
      <c r="M311" s="57">
        <f t="shared" si="79"/>
        <v>35.621166169847868</v>
      </c>
      <c r="N311" s="57">
        <f>Model!$B$13*I311*K311/(Model!$B$13*I311-L311*287*K311)</f>
        <v>308.62116616984787</v>
      </c>
      <c r="O311" s="57">
        <f t="shared" si="80"/>
        <v>281.26620808492396</v>
      </c>
      <c r="P311" s="57">
        <f t="shared" si="81"/>
        <v>8.2664897750647786</v>
      </c>
      <c r="Q311" s="63">
        <f t="shared" si="97"/>
        <v>2.4586900774029603E-2</v>
      </c>
      <c r="R311" s="17">
        <f t="shared" si="98"/>
        <v>1.4459685640832091E-5</v>
      </c>
      <c r="S311" s="46">
        <f>0.37*Model!$B$10*(Q311^2*(N311-K311)*I311/(R311*O311^2))^0.33333*(N311-K311)</f>
        <v>348882.77445393335</v>
      </c>
      <c r="T311" s="51">
        <f>Model!$B$32+(90-Model!$B$6)*SIN(RADIANS(-15*(E311+6)))</f>
        <v>-1.8484932912938108</v>
      </c>
      <c r="U311" s="46">
        <f t="shared" si="82"/>
        <v>0</v>
      </c>
      <c r="V311" s="51">
        <f t="shared" si="83"/>
        <v>99999</v>
      </c>
      <c r="W311" s="46">
        <f t="shared" si="84"/>
        <v>4.2253521126760563E-2</v>
      </c>
      <c r="X311" s="46">
        <f>0.3*W311*Model!$B$9</f>
        <v>3.8275201289827652</v>
      </c>
      <c r="Y311" s="17">
        <f>(S311-X311)/Model!$B$11</f>
        <v>7.4842635832629923E-3</v>
      </c>
      <c r="Z311" s="46">
        <f t="shared" si="85"/>
        <v>1.0970791363871571E-3</v>
      </c>
      <c r="AA311" s="57">
        <f>Y311/Model!$B$12*3600</f>
        <v>48.457081785435498</v>
      </c>
      <c r="AB311" s="51">
        <f t="shared" si="90"/>
        <v>599.47758105637138</v>
      </c>
      <c r="AC311" s="51">
        <f t="shared" si="99"/>
        <v>1200.5224189436285</v>
      </c>
      <c r="AD311" s="13">
        <f>IF(AE311=0, Model!$B$19, 0 )</f>
        <v>0</v>
      </c>
      <c r="AE311" s="51">
        <f>IF(AE310+AB310-AB311&lt;Model!$B$19*Model!$B$18, AE310+AB310-AB311,  0)</f>
        <v>294.34412460124088</v>
      </c>
      <c r="AF311" s="13">
        <f t="shared" si="86"/>
        <v>15.450000000000085</v>
      </c>
      <c r="AG311" s="50">
        <f t="shared" si="87"/>
        <v>0</v>
      </c>
    </row>
    <row r="312" spans="2:33" x14ac:dyDescent="0.25">
      <c r="B312" s="15">
        <f t="shared" si="88"/>
        <v>15.500000000000085</v>
      </c>
      <c r="C312" s="15">
        <f>B312+Model!$B$4</f>
        <v>17.500000000000085</v>
      </c>
      <c r="D312" s="15">
        <f t="shared" si="89"/>
        <v>1</v>
      </c>
      <c r="E312" s="15">
        <f t="shared" si="95"/>
        <v>17.500000000000085</v>
      </c>
      <c r="F312" s="16">
        <f>IF(AB312&gt;0, VLOOKUP(B312,Model!$A$40:$B$60, 2), 0)</f>
        <v>300</v>
      </c>
      <c r="G312" s="15">
        <f>IF(AB312&gt;0, VLOOKUP(B312,Model!$A$39:$C$58, 3), 0)</f>
        <v>1</v>
      </c>
      <c r="H312" s="15">
        <f t="shared" si="78"/>
        <v>97</v>
      </c>
      <c r="I312" s="45">
        <f>Model!$B$21*EXP((-0.029*9.81*F312)/(8.31*(273+J312)))</f>
        <v>100357.4491247143</v>
      </c>
      <c r="J312" s="15">
        <f>IF(Model!$B$31="Summer",  IF(F312&lt;=2000,  Model!$B$20-Model!$B$35*F312/1000,  IF(F312&lt;Model!$B$36,  Model!$B$33-6.5*F312/1000,  Model!$B$38)),     IF(F312&lt;=2000,  Model!$B$20-Model!$B$35*F312/1000,  IF(F312&lt;Model!$B$36,  Model!$B$33-5.4*F312/1000,   Model!$B$38)))</f>
        <v>-19.088750000000001</v>
      </c>
      <c r="K312" s="15">
        <f t="shared" si="96"/>
        <v>253.91125</v>
      </c>
      <c r="L312" s="45">
        <f>IF(AB311-AA311*(B312-B311)&gt;0, L311-Y311*(B312-B311)*3600-AD312*Model!$B$16, 0)</f>
        <v>962.97735456188298</v>
      </c>
      <c r="M312" s="56">
        <f t="shared" si="79"/>
        <v>35.528295735936581</v>
      </c>
      <c r="N312" s="56">
        <f>Model!$B$13*I312*K312/(Model!$B$13*I312-L312*287*K312)</f>
        <v>308.52829573593658</v>
      </c>
      <c r="O312" s="56">
        <f t="shared" si="80"/>
        <v>281.21977286796829</v>
      </c>
      <c r="P312" s="56">
        <f t="shared" si="81"/>
        <v>8.2200545581091351</v>
      </c>
      <c r="Q312" s="62">
        <f t="shared" si="97"/>
        <v>2.4583603873625751E-2</v>
      </c>
      <c r="R312" s="33">
        <f t="shared" si="98"/>
        <v>1.4454856378268701E-5</v>
      </c>
      <c r="S312" s="45">
        <f>0.37*Model!$B$10*(Q312^2*(N312-K312)*I312/(R312*O312^2))^0.33333*(N312-K312)</f>
        <v>348139.31557683827</v>
      </c>
      <c r="T312" s="50">
        <f>Model!$B$32+(90-Model!$B$6)*SIN(RADIANS(-15*(E312+6)))</f>
        <v>-2.3023183332832842</v>
      </c>
      <c r="U312" s="45">
        <f t="shared" si="82"/>
        <v>0</v>
      </c>
      <c r="V312" s="50">
        <f t="shared" si="83"/>
        <v>99999</v>
      </c>
      <c r="W312" s="45">
        <f t="shared" si="84"/>
        <v>4.2253521126760563E-2</v>
      </c>
      <c r="X312" s="45">
        <f>0.3*W312*Model!$B$9</f>
        <v>3.8275201289827652</v>
      </c>
      <c r="Y312" s="33">
        <f>(S312-X312)/Model!$B$11</f>
        <v>7.4683146638787794E-3</v>
      </c>
      <c r="Z312" s="45">
        <f t="shared" si="85"/>
        <v>1.0994219721035753E-3</v>
      </c>
      <c r="AA312" s="56">
        <f>Y312/Model!$B$12*3600</f>
        <v>48.35382004399731</v>
      </c>
      <c r="AB312" s="50">
        <f t="shared" si="90"/>
        <v>597.05472696709955</v>
      </c>
      <c r="AC312" s="50">
        <f t="shared" si="99"/>
        <v>1202.9452730329003</v>
      </c>
      <c r="AD312" s="15">
        <f>IF(AE312=0, Model!$B$19, 0 )</f>
        <v>0</v>
      </c>
      <c r="AE312" s="50">
        <f>IF(AE311+AB311-AB312&lt;Model!$B$19*Model!$B$18, AE311+AB311-AB312,  0)</f>
        <v>296.7669786905127</v>
      </c>
      <c r="AF312" s="15">
        <f t="shared" si="86"/>
        <v>15.500000000000085</v>
      </c>
      <c r="AG312" s="50">
        <f t="shared" si="87"/>
        <v>0</v>
      </c>
    </row>
    <row r="313" spans="2:33" x14ac:dyDescent="0.25">
      <c r="B313" s="13">
        <f t="shared" si="88"/>
        <v>15.550000000000086</v>
      </c>
      <c r="C313" s="13">
        <f>B313+Model!$B$4</f>
        <v>17.550000000000086</v>
      </c>
      <c r="D313" s="13">
        <f t="shared" si="89"/>
        <v>1</v>
      </c>
      <c r="E313" s="13">
        <f t="shared" si="95"/>
        <v>17.550000000000086</v>
      </c>
      <c r="F313" s="14">
        <f>IF(AB313&gt;0, VLOOKUP(B313,Model!$A$40:$B$60, 2), 0)</f>
        <v>300</v>
      </c>
      <c r="G313" s="13">
        <f>IF(AB313&gt;0, VLOOKUP(B313,Model!$A$39:$C$58, 3), 0)</f>
        <v>1</v>
      </c>
      <c r="H313" s="13">
        <f t="shared" si="78"/>
        <v>97</v>
      </c>
      <c r="I313" s="46">
        <f>Model!$B$21*EXP((-0.029*9.81*F313)/(8.31*(273+J313)))</f>
        <v>100357.4491247143</v>
      </c>
      <c r="J313" s="13">
        <f>IF(Model!$B$31="Summer",  IF(F313&lt;=2000,  Model!$B$20-Model!$B$35*F313/1000,  IF(F313&lt;Model!$B$36,  Model!$B$33-6.5*F313/1000,  Model!$B$38)),     IF(F313&lt;=2000,  Model!$B$20-Model!$B$35*F313/1000,  IF(F313&lt;Model!$B$36,  Model!$B$33-5.4*F313/1000,   Model!$B$38)))</f>
        <v>-19.088750000000001</v>
      </c>
      <c r="K313" s="13">
        <f t="shared" si="96"/>
        <v>253.91125</v>
      </c>
      <c r="L313" s="46">
        <f>IF(AB312-AA312*(B313-B312)&gt;0, L312-Y312*(B313-B312)*3600-AD313*Model!$B$16, 0)</f>
        <v>961.63305792238475</v>
      </c>
      <c r="M313" s="57">
        <f t="shared" si="79"/>
        <v>35.435678906318913</v>
      </c>
      <c r="N313" s="57">
        <f>Model!$B$13*I313*K313/(Model!$B$13*I313-L313*287*K313)</f>
        <v>308.43567890631891</v>
      </c>
      <c r="O313" s="57">
        <f t="shared" si="80"/>
        <v>281.17346445315945</v>
      </c>
      <c r="P313" s="57">
        <f t="shared" si="81"/>
        <v>8.1737461433003009</v>
      </c>
      <c r="Q313" s="63">
        <f t="shared" si="97"/>
        <v>2.458031597617432E-2</v>
      </c>
      <c r="R313" s="17">
        <f t="shared" si="98"/>
        <v>1.4450040303128582E-5</v>
      </c>
      <c r="S313" s="46">
        <f>0.37*Model!$B$10*(Q313^2*(N313-K313)*I313/(R313*O313^2))^0.33333*(N313-K313)</f>
        <v>347398.145932085</v>
      </c>
      <c r="T313" s="51">
        <f>Model!$B$32+(90-Model!$B$6)*SIN(RADIANS(-15*(E313+6)))</f>
        <v>-2.7569261499608073</v>
      </c>
      <c r="U313" s="46">
        <f t="shared" si="82"/>
        <v>0</v>
      </c>
      <c r="V313" s="51">
        <f t="shared" si="83"/>
        <v>99999</v>
      </c>
      <c r="W313" s="46">
        <f t="shared" si="84"/>
        <v>4.2253521126760563E-2</v>
      </c>
      <c r="X313" s="46">
        <f>0.3*W313*Model!$B$9</f>
        <v>3.8275201289827652</v>
      </c>
      <c r="Y313" s="17">
        <f>(S313-X313)/Model!$B$11</f>
        <v>7.452414853844385E-3</v>
      </c>
      <c r="Z313" s="46">
        <f t="shared" si="85"/>
        <v>1.1017675752740001E-3</v>
      </c>
      <c r="AA313" s="57">
        <f>Y313/Model!$B$12*3600</f>
        <v>48.250876262469824</v>
      </c>
      <c r="AB313" s="51">
        <f t="shared" si="90"/>
        <v>594.63703596489961</v>
      </c>
      <c r="AC313" s="51">
        <f t="shared" si="99"/>
        <v>1205.3629640351005</v>
      </c>
      <c r="AD313" s="13">
        <f>IF(AE313=0, Model!$B$19, 0 )</f>
        <v>0</v>
      </c>
      <c r="AE313" s="51">
        <f>IF(AE312+AB312-AB313&lt;Model!$B$19*Model!$B$18, AE312+AB312-AB313,  0)</f>
        <v>299.18466969271265</v>
      </c>
      <c r="AF313" s="13">
        <f t="shared" si="86"/>
        <v>15.550000000000086</v>
      </c>
      <c r="AG313" s="50">
        <f t="shared" si="87"/>
        <v>0</v>
      </c>
    </row>
    <row r="314" spans="2:33" x14ac:dyDescent="0.25">
      <c r="B314" s="15">
        <f t="shared" si="88"/>
        <v>15.600000000000087</v>
      </c>
      <c r="C314" s="15">
        <f>B314+Model!$B$4</f>
        <v>17.600000000000087</v>
      </c>
      <c r="D314" s="15">
        <f t="shared" si="89"/>
        <v>1</v>
      </c>
      <c r="E314" s="15">
        <f t="shared" si="95"/>
        <v>17.600000000000087</v>
      </c>
      <c r="F314" s="16">
        <f>IF(AB314&gt;0, VLOOKUP(B314,Model!$A$40:$B$60, 2), 0)</f>
        <v>300</v>
      </c>
      <c r="G314" s="15">
        <f>IF(AB314&gt;0, VLOOKUP(B314,Model!$A$39:$C$58, 3), 0)</f>
        <v>1</v>
      </c>
      <c r="H314" s="15">
        <f t="shared" si="78"/>
        <v>97</v>
      </c>
      <c r="I314" s="45">
        <f>Model!$B$21*EXP((-0.029*9.81*F314)/(8.31*(273+J314)))</f>
        <v>100357.4491247143</v>
      </c>
      <c r="J314" s="15">
        <f>IF(Model!$B$31="Summer",  IF(F314&lt;=2000,  Model!$B$20-Model!$B$35*F314/1000,  IF(F314&lt;Model!$B$36,  Model!$B$33-6.5*F314/1000,  Model!$B$38)),     IF(F314&lt;=2000,  Model!$B$20-Model!$B$35*F314/1000,  IF(F314&lt;Model!$B$36,  Model!$B$33-5.4*F314/1000,   Model!$B$38)))</f>
        <v>-19.088750000000001</v>
      </c>
      <c r="K314" s="15">
        <f t="shared" si="96"/>
        <v>253.91125</v>
      </c>
      <c r="L314" s="45">
        <f>IF(AB313-AA313*(B314-B313)&gt;0, L313-Y313*(B314-B313)*3600-AD314*Model!$B$16, 0)</f>
        <v>960.29162324869276</v>
      </c>
      <c r="M314" s="56">
        <f t="shared" si="79"/>
        <v>35.34331466613537</v>
      </c>
      <c r="N314" s="56">
        <f>Model!$B$13*I314*K314/(Model!$B$13*I314-L314*287*K314)</f>
        <v>308.34331466613537</v>
      </c>
      <c r="O314" s="56">
        <f t="shared" si="80"/>
        <v>281.12728233306768</v>
      </c>
      <c r="P314" s="56">
        <f t="shared" si="81"/>
        <v>8.1275640232085298</v>
      </c>
      <c r="Q314" s="62">
        <f t="shared" si="97"/>
        <v>2.4577037045647804E-2</v>
      </c>
      <c r="R314" s="33">
        <f t="shared" si="98"/>
        <v>1.4445237362639038E-5</v>
      </c>
      <c r="S314" s="45">
        <f>0.37*Model!$B$10*(Q314^2*(N314-K314)*I314/(R314*O314^2))^0.33333*(N314-K314)</f>
        <v>346659.25582819292</v>
      </c>
      <c r="T314" s="50">
        <f>Model!$B$32+(90-Model!$B$6)*SIN(RADIANS(-15*(E314+6)))</f>
        <v>-3.2122388466172573</v>
      </c>
      <c r="U314" s="45">
        <f t="shared" si="82"/>
        <v>0</v>
      </c>
      <c r="V314" s="50">
        <f t="shared" si="83"/>
        <v>99999</v>
      </c>
      <c r="W314" s="45">
        <f t="shared" si="84"/>
        <v>4.2253521126760563E-2</v>
      </c>
      <c r="X314" s="45">
        <f>0.3*W314*Model!$B$9</f>
        <v>3.8275201289827652</v>
      </c>
      <c r="Y314" s="33">
        <f>(S314-X314)/Model!$B$11</f>
        <v>7.4365639452550454E-3</v>
      </c>
      <c r="Z314" s="45">
        <f t="shared" si="85"/>
        <v>1.1041159480477609E-3</v>
      </c>
      <c r="AA314" s="56">
        <f>Y314/Model!$B$12*3600</f>
        <v>48.148249094767614</v>
      </c>
      <c r="AB314" s="50">
        <f t="shared" si="90"/>
        <v>592.22449215177608</v>
      </c>
      <c r="AC314" s="50">
        <f t="shared" si="99"/>
        <v>1207.7755078482239</v>
      </c>
      <c r="AD314" s="15">
        <f>IF(AE314=0, Model!$B$19, 0 )</f>
        <v>0</v>
      </c>
      <c r="AE314" s="50">
        <f>IF(AE313+AB313-AB314&lt;Model!$B$19*Model!$B$18, AE313+AB313-AB314,  0)</f>
        <v>301.59721350583618</v>
      </c>
      <c r="AF314" s="15">
        <f t="shared" si="86"/>
        <v>15.600000000000087</v>
      </c>
      <c r="AG314" s="50">
        <f t="shared" si="87"/>
        <v>0</v>
      </c>
    </row>
    <row r="315" spans="2:33" x14ac:dyDescent="0.25">
      <c r="B315" s="13">
        <f t="shared" si="88"/>
        <v>15.650000000000087</v>
      </c>
      <c r="C315" s="13">
        <f>B315+Model!$B$4</f>
        <v>17.650000000000087</v>
      </c>
      <c r="D315" s="13">
        <f t="shared" si="89"/>
        <v>1</v>
      </c>
      <c r="E315" s="13">
        <f t="shared" si="95"/>
        <v>17.650000000000087</v>
      </c>
      <c r="F315" s="14">
        <f>IF(AB315&gt;0, VLOOKUP(B315,Model!$A$40:$B$60, 2), 0)</f>
        <v>300</v>
      </c>
      <c r="G315" s="13">
        <f>IF(AB315&gt;0, VLOOKUP(B315,Model!$A$39:$C$58, 3), 0)</f>
        <v>1</v>
      </c>
      <c r="H315" s="13">
        <f t="shared" si="78"/>
        <v>97</v>
      </c>
      <c r="I315" s="46">
        <f>Model!$B$21*EXP((-0.029*9.81*F315)/(8.31*(273+J315)))</f>
        <v>100357.4491247143</v>
      </c>
      <c r="J315" s="13">
        <f>IF(Model!$B$31="Summer",  IF(F315&lt;=2000,  Model!$B$20-Model!$B$35*F315/1000,  IF(F315&lt;Model!$B$36,  Model!$B$33-6.5*F315/1000,  Model!$B$38)),     IF(F315&lt;=2000,  Model!$B$20-Model!$B$35*F315/1000,  IF(F315&lt;Model!$B$36,  Model!$B$33-5.4*F315/1000,   Model!$B$38)))</f>
        <v>-19.088750000000001</v>
      </c>
      <c r="K315" s="13">
        <f t="shared" si="96"/>
        <v>253.91125</v>
      </c>
      <c r="L315" s="46">
        <f>IF(AB314-AA314*(B315-B314)&gt;0, L314-Y314*(B315-B314)*3600-AD315*Model!$B$16, 0)</f>
        <v>958.95304173854686</v>
      </c>
      <c r="M315" s="57">
        <f t="shared" si="79"/>
        <v>35.25120200601566</v>
      </c>
      <c r="N315" s="57">
        <f>Model!$B$13*I315*K315/(Model!$B$13*I315-L315*287*K315)</f>
        <v>308.25120200601566</v>
      </c>
      <c r="O315" s="57">
        <f t="shared" si="80"/>
        <v>281.08122600300783</v>
      </c>
      <c r="P315" s="57">
        <f t="shared" si="81"/>
        <v>8.0815076931486747</v>
      </c>
      <c r="Q315" s="63">
        <f t="shared" si="97"/>
        <v>2.4573767046213557E-2</v>
      </c>
      <c r="R315" s="17">
        <f t="shared" si="98"/>
        <v>1.4440447504312814E-5</v>
      </c>
      <c r="S315" s="46">
        <f>0.37*Model!$B$10*(Q315^2*(N315-K315)*I315/(R315*O315^2))^0.33333*(N315-K315)</f>
        <v>345922.63562737935</v>
      </c>
      <c r="T315" s="51">
        <f>Model!$B$32+(90-Model!$B$6)*SIN(RADIANS(-15*(E315+6)))</f>
        <v>-3.668178407766018</v>
      </c>
      <c r="U315" s="46">
        <f t="shared" si="82"/>
        <v>0</v>
      </c>
      <c r="V315" s="51">
        <f t="shared" si="83"/>
        <v>99999</v>
      </c>
      <c r="W315" s="46">
        <f t="shared" si="84"/>
        <v>4.2253521126760563E-2</v>
      </c>
      <c r="X315" s="46">
        <f>0.3*W315*Model!$B$9</f>
        <v>3.8275201289827652</v>
      </c>
      <c r="Y315" s="17">
        <f>(S315-X315)/Model!$B$11</f>
        <v>7.42076173135794E-3</v>
      </c>
      <c r="Z315" s="46">
        <f t="shared" si="85"/>
        <v>1.1064670925743322E-3</v>
      </c>
      <c r="AA315" s="57">
        <f>Y315/Model!$B$12*3600</f>
        <v>48.045937202263538</v>
      </c>
      <c r="AB315" s="51">
        <f t="shared" si="90"/>
        <v>589.81707969703768</v>
      </c>
      <c r="AC315" s="51">
        <f t="shared" si="99"/>
        <v>1210.1829203029624</v>
      </c>
      <c r="AD315" s="13">
        <f>IF(AE315=0, Model!$B$19, 0 )</f>
        <v>0</v>
      </c>
      <c r="AE315" s="51">
        <f>IF(AE314+AB314-AB315&lt;Model!$B$19*Model!$B$18, AE314+AB314-AB315,  0)</f>
        <v>304.00462596057457</v>
      </c>
      <c r="AF315" s="13">
        <f t="shared" si="86"/>
        <v>15.650000000000087</v>
      </c>
      <c r="AG315" s="50">
        <f t="shared" si="87"/>
        <v>0</v>
      </c>
    </row>
    <row r="316" spans="2:33" x14ac:dyDescent="0.25">
      <c r="B316" s="15">
        <f t="shared" si="88"/>
        <v>15.700000000000088</v>
      </c>
      <c r="C316" s="15">
        <f>B316+Model!$B$4</f>
        <v>17.700000000000088</v>
      </c>
      <c r="D316" s="15">
        <f t="shared" si="89"/>
        <v>1</v>
      </c>
      <c r="E316" s="15">
        <f t="shared" si="95"/>
        <v>17.700000000000088</v>
      </c>
      <c r="F316" s="16">
        <f>IF(AB316&gt;0, VLOOKUP(B316,Model!$A$40:$B$60, 2), 0)</f>
        <v>300</v>
      </c>
      <c r="G316" s="15">
        <f>IF(AB316&gt;0, VLOOKUP(B316,Model!$A$39:$C$58, 3), 0)</f>
        <v>1</v>
      </c>
      <c r="H316" s="15">
        <f t="shared" si="78"/>
        <v>97</v>
      </c>
      <c r="I316" s="45">
        <f>Model!$B$21*EXP((-0.029*9.81*F316)/(8.31*(273+J316)))</f>
        <v>100357.4491247143</v>
      </c>
      <c r="J316" s="15">
        <f>IF(Model!$B$31="Summer",  IF(F316&lt;=2000,  Model!$B$20-Model!$B$35*F316/1000,  IF(F316&lt;Model!$B$36,  Model!$B$33-6.5*F316/1000,  Model!$B$38)),     IF(F316&lt;=2000,  Model!$B$20-Model!$B$35*F316/1000,  IF(F316&lt;Model!$B$36,  Model!$B$33-5.4*F316/1000,   Model!$B$38)))</f>
        <v>-19.088750000000001</v>
      </c>
      <c r="K316" s="15">
        <f t="shared" si="96"/>
        <v>253.91125</v>
      </c>
      <c r="L316" s="45">
        <f>IF(AB315-AA315*(B316-B315)&gt;0, L315-Y315*(B316-B315)*3600-AD316*Model!$B$16, 0)</f>
        <v>957.61730462690241</v>
      </c>
      <c r="M316" s="56">
        <f t="shared" si="79"/>
        <v>35.15933992204026</v>
      </c>
      <c r="N316" s="56">
        <f>Model!$B$13*I316*K316/(Model!$B$13*I316-L316*287*K316)</f>
        <v>308.15933992204026</v>
      </c>
      <c r="O316" s="56">
        <f t="shared" si="80"/>
        <v>281.0352949610201</v>
      </c>
      <c r="P316" s="56">
        <f t="shared" si="81"/>
        <v>8.0355766511609747</v>
      </c>
      <c r="Q316" s="62">
        <f t="shared" si="97"/>
        <v>2.4570505942232427E-2</v>
      </c>
      <c r="R316" s="33">
        <f t="shared" si="98"/>
        <v>1.4435670675946089E-5</v>
      </c>
      <c r="S316" s="45">
        <f>0.37*Model!$B$10*(Q316^2*(N316-K316)*I316/(R316*O316^2))^0.33333*(N316-K316)</f>
        <v>345188.27574518346</v>
      </c>
      <c r="T316" s="50">
        <f>Model!$B$32+(90-Model!$B$6)*SIN(RADIANS(-15*(E316+6)))</f>
        <v>-4.1246667105105317</v>
      </c>
      <c r="U316" s="45">
        <f t="shared" si="82"/>
        <v>0</v>
      </c>
      <c r="V316" s="50">
        <f t="shared" si="83"/>
        <v>99999</v>
      </c>
      <c r="W316" s="45">
        <f t="shared" si="84"/>
        <v>4.2253521126760563E-2</v>
      </c>
      <c r="X316" s="45">
        <f>0.3*W316*Model!$B$9</f>
        <v>3.8275201289827652</v>
      </c>
      <c r="Y316" s="33">
        <f>(S316-X316)/Model!$B$11</f>
        <v>7.4050080065441275E-3</v>
      </c>
      <c r="Z316" s="45">
        <f t="shared" si="85"/>
        <v>1.1088210110033472E-3</v>
      </c>
      <c r="AA316" s="56">
        <f>Y316/Model!$B$12*3600</f>
        <v>47.943939253736545</v>
      </c>
      <c r="AB316" s="50">
        <f t="shared" si="90"/>
        <v>587.41478283692447</v>
      </c>
      <c r="AC316" s="50">
        <f t="shared" si="99"/>
        <v>1212.5852171630754</v>
      </c>
      <c r="AD316" s="15">
        <f>IF(AE316=0, Model!$B$19, 0 )</f>
        <v>0</v>
      </c>
      <c r="AE316" s="50">
        <f>IF(AE315+AB315-AB316&lt;Model!$B$19*Model!$B$18, AE315+AB315-AB316,  0)</f>
        <v>306.40692282068778</v>
      </c>
      <c r="AF316" s="15">
        <f t="shared" si="86"/>
        <v>15.700000000000088</v>
      </c>
      <c r="AG316" s="50">
        <f t="shared" si="87"/>
        <v>0</v>
      </c>
    </row>
    <row r="317" spans="2:33" x14ac:dyDescent="0.25">
      <c r="B317" s="13">
        <f t="shared" si="88"/>
        <v>15.750000000000089</v>
      </c>
      <c r="C317" s="13">
        <f>B317+Model!$B$4</f>
        <v>17.750000000000089</v>
      </c>
      <c r="D317" s="13">
        <f t="shared" si="89"/>
        <v>1</v>
      </c>
      <c r="E317" s="13">
        <f t="shared" si="95"/>
        <v>17.750000000000089</v>
      </c>
      <c r="F317" s="14">
        <f>IF(AB317&gt;0, VLOOKUP(B317,Model!$A$40:$B$60, 2), 0)</f>
        <v>300</v>
      </c>
      <c r="G317" s="13">
        <f>IF(AB317&gt;0, VLOOKUP(B317,Model!$A$39:$C$58, 3), 0)</f>
        <v>1</v>
      </c>
      <c r="H317" s="13">
        <f t="shared" si="78"/>
        <v>97</v>
      </c>
      <c r="I317" s="46">
        <f>Model!$B$21*EXP((-0.029*9.81*F317)/(8.31*(273+J317)))</f>
        <v>100357.4491247143</v>
      </c>
      <c r="J317" s="13">
        <f>IF(Model!$B$31="Summer",  IF(F317&lt;=2000,  Model!$B$20-Model!$B$35*F317/1000,  IF(F317&lt;Model!$B$36,  Model!$B$33-6.5*F317/1000,  Model!$B$38)),     IF(F317&lt;=2000,  Model!$B$20-Model!$B$35*F317/1000,  IF(F317&lt;Model!$B$36,  Model!$B$33-5.4*F317/1000,   Model!$B$38)))</f>
        <v>-19.088750000000001</v>
      </c>
      <c r="K317" s="13">
        <f t="shared" si="96"/>
        <v>253.91125</v>
      </c>
      <c r="L317" s="46">
        <f>IF(AB316-AA316*(B317-B316)&gt;0, L316-Y316*(B317-B316)*3600-AD317*Model!$B$16, 0)</f>
        <v>956.2844031857245</v>
      </c>
      <c r="M317" s="57">
        <f t="shared" si="79"/>
        <v>35.0677274157037</v>
      </c>
      <c r="N317" s="57">
        <f>Model!$B$13*I317*K317/(Model!$B$13*I317-L317*287*K317)</f>
        <v>308.0677274157037</v>
      </c>
      <c r="O317" s="57">
        <f t="shared" si="80"/>
        <v>280.98948870785182</v>
      </c>
      <c r="P317" s="57">
        <f t="shared" si="81"/>
        <v>7.9897703979926948</v>
      </c>
      <c r="Q317" s="63">
        <f t="shared" si="97"/>
        <v>2.456725369825748E-2</v>
      </c>
      <c r="R317" s="17">
        <f t="shared" si="98"/>
        <v>1.4430906825616587E-5</v>
      </c>
      <c r="S317" s="46">
        <f>0.37*Model!$B$10*(Q317^2*(N317-K317)*I317/(R317*O317^2))^0.33333*(N317-K317)</f>
        <v>344456.16665010055</v>
      </c>
      <c r="T317" s="51">
        <f>Model!$B$32+(90-Model!$B$6)*SIN(RADIANS(-15*(E317+6)))</f>
        <v>-4.5816255379301012</v>
      </c>
      <c r="U317" s="46">
        <f t="shared" si="82"/>
        <v>0</v>
      </c>
      <c r="V317" s="51">
        <f t="shared" si="83"/>
        <v>99999</v>
      </c>
      <c r="W317" s="46">
        <f t="shared" si="84"/>
        <v>4.2253521126760563E-2</v>
      </c>
      <c r="X317" s="46">
        <f>0.3*W317*Model!$B$9</f>
        <v>3.8275201289827652</v>
      </c>
      <c r="Y317" s="17">
        <f>(S317-X317)/Model!$B$11</f>
        <v>7.3893025663406969E-3</v>
      </c>
      <c r="Z317" s="46">
        <f t="shared" si="85"/>
        <v>1.1111777054845908E-3</v>
      </c>
      <c r="AA317" s="57">
        <f>Y317/Model!$B$12*3600</f>
        <v>47.842253925320819</v>
      </c>
      <c r="AB317" s="51">
        <f t="shared" si="90"/>
        <v>585.01758587423762</v>
      </c>
      <c r="AC317" s="51">
        <f t="shared" si="99"/>
        <v>1214.9824141257623</v>
      </c>
      <c r="AD317" s="13">
        <f>IF(AE317=0, Model!$B$19, 0 )</f>
        <v>0</v>
      </c>
      <c r="AE317" s="51">
        <f>IF(AE316+AB316-AB317&lt;Model!$B$19*Model!$B$18, AE316+AB316-AB317,  0)</f>
        <v>308.80411978337463</v>
      </c>
      <c r="AF317" s="13">
        <f t="shared" si="86"/>
        <v>15.750000000000089</v>
      </c>
      <c r="AG317" s="50">
        <f t="shared" si="87"/>
        <v>0</v>
      </c>
    </row>
    <row r="318" spans="2:33" x14ac:dyDescent="0.25">
      <c r="B318" s="15">
        <f t="shared" si="88"/>
        <v>15.80000000000009</v>
      </c>
      <c r="C318" s="15">
        <f>B318+Model!$B$4</f>
        <v>17.80000000000009</v>
      </c>
      <c r="D318" s="15">
        <f t="shared" si="89"/>
        <v>1</v>
      </c>
      <c r="E318" s="15">
        <f t="shared" si="95"/>
        <v>17.80000000000009</v>
      </c>
      <c r="F318" s="16">
        <f>IF(AB318&gt;0, VLOOKUP(B318,Model!$A$40:$B$60, 2), 0)</f>
        <v>300</v>
      </c>
      <c r="G318" s="15">
        <f>IF(AB318&gt;0, VLOOKUP(B318,Model!$A$39:$C$58, 3), 0)</f>
        <v>1</v>
      </c>
      <c r="H318" s="15">
        <f t="shared" si="78"/>
        <v>97</v>
      </c>
      <c r="I318" s="45">
        <f>Model!$B$21*EXP((-0.029*9.81*F318)/(8.31*(273+J318)))</f>
        <v>100357.4491247143</v>
      </c>
      <c r="J318" s="15">
        <f>IF(Model!$B$31="Summer",  IF(F318&lt;=2000,  Model!$B$20-Model!$B$35*F318/1000,  IF(F318&lt;Model!$B$36,  Model!$B$33-6.5*F318/1000,  Model!$B$38)),     IF(F318&lt;=2000,  Model!$B$20-Model!$B$35*F318/1000,  IF(F318&lt;Model!$B$36,  Model!$B$33-5.4*F318/1000,   Model!$B$38)))</f>
        <v>-19.088750000000001</v>
      </c>
      <c r="K318" s="15">
        <f t="shared" si="96"/>
        <v>253.91125</v>
      </c>
      <c r="L318" s="45">
        <f>IF(AB317-AA317*(B318-B317)&gt;0, L317-Y317*(B318-B317)*3600-AD318*Model!$B$16, 0)</f>
        <v>954.95432872378319</v>
      </c>
      <c r="M318" s="56">
        <f t="shared" si="79"/>
        <v>34.976363493876988</v>
      </c>
      <c r="N318" s="56">
        <f>Model!$B$13*I318*K318/(Model!$B$13*I318-L318*287*K318)</f>
        <v>307.97636349387699</v>
      </c>
      <c r="O318" s="56">
        <f t="shared" si="80"/>
        <v>280.94380674693849</v>
      </c>
      <c r="P318" s="56">
        <f t="shared" si="81"/>
        <v>7.9440884370793388</v>
      </c>
      <c r="Q318" s="62">
        <f t="shared" si="97"/>
        <v>2.4564010279032635E-2</v>
      </c>
      <c r="R318" s="33">
        <f t="shared" si="98"/>
        <v>1.4426155901681603E-5</v>
      </c>
      <c r="S318" s="45">
        <f>0.37*Model!$B$10*(Q318^2*(N318-K318)*I318/(R318*O318^2))^0.33333*(N318-K318)</f>
        <v>343726.29886321281</v>
      </c>
      <c r="T318" s="50">
        <f>Model!$B$32+(90-Model!$B$6)*SIN(RADIANS(-15*(E318+6)))</f>
        <v>-5.0389765924821086</v>
      </c>
      <c r="U318" s="45">
        <f t="shared" si="82"/>
        <v>0</v>
      </c>
      <c r="V318" s="50">
        <f t="shared" si="83"/>
        <v>99999</v>
      </c>
      <c r="W318" s="45">
        <f t="shared" si="84"/>
        <v>4.2253521126760563E-2</v>
      </c>
      <c r="X318" s="45">
        <f>0.3*W318*Model!$B$9</f>
        <v>3.8275201289827652</v>
      </c>
      <c r="Y318" s="33">
        <f>(S318-X318)/Model!$B$11</f>
        <v>7.37364520740285E-3</v>
      </c>
      <c r="Z318" s="45">
        <f t="shared" si="85"/>
        <v>1.1135371781680113E-3</v>
      </c>
      <c r="AA318" s="56">
        <f>Y318/Model!$B$12*3600</f>
        <v>47.740879900454587</v>
      </c>
      <c r="AB318" s="50">
        <f t="shared" si="90"/>
        <v>582.62547317797157</v>
      </c>
      <c r="AC318" s="50">
        <f t="shared" si="99"/>
        <v>1217.3745268220284</v>
      </c>
      <c r="AD318" s="15">
        <f>IF(AE318=0, Model!$B$19, 0 )</f>
        <v>0</v>
      </c>
      <c r="AE318" s="50">
        <f>IF(AE317+AB317-AB318&lt;Model!$B$19*Model!$B$18, AE317+AB317-AB318,  0)</f>
        <v>311.19623247964068</v>
      </c>
      <c r="AF318" s="15">
        <f t="shared" si="86"/>
        <v>15.80000000000009</v>
      </c>
      <c r="AG318" s="50">
        <f t="shared" si="87"/>
        <v>0</v>
      </c>
    </row>
    <row r="319" spans="2:33" x14ac:dyDescent="0.25">
      <c r="B319" s="13">
        <f t="shared" si="88"/>
        <v>15.85000000000009</v>
      </c>
      <c r="C319" s="13">
        <f>B319+Model!$B$4</f>
        <v>17.85000000000009</v>
      </c>
      <c r="D319" s="13">
        <f t="shared" si="89"/>
        <v>1</v>
      </c>
      <c r="E319" s="13">
        <f t="shared" si="95"/>
        <v>17.85000000000009</v>
      </c>
      <c r="F319" s="14">
        <f>IF(AB319&gt;0, VLOOKUP(B319,Model!$A$40:$B$60, 2), 0)</f>
        <v>300</v>
      </c>
      <c r="G319" s="13">
        <f>IF(AB319&gt;0, VLOOKUP(B319,Model!$A$39:$C$58, 3), 0)</f>
        <v>1</v>
      </c>
      <c r="H319" s="13">
        <f t="shared" si="78"/>
        <v>97</v>
      </c>
      <c r="I319" s="46">
        <f>Model!$B$21*EXP((-0.029*9.81*F319)/(8.31*(273+J319)))</f>
        <v>100357.4491247143</v>
      </c>
      <c r="J319" s="13">
        <f>IF(Model!$B$31="Summer",  IF(F319&lt;=2000,  Model!$B$20-Model!$B$35*F319/1000,  IF(F319&lt;Model!$B$36,  Model!$B$33-6.5*F319/1000,  Model!$B$38)),     IF(F319&lt;=2000,  Model!$B$20-Model!$B$35*F319/1000,  IF(F319&lt;Model!$B$36,  Model!$B$33-5.4*F319/1000,   Model!$B$38)))</f>
        <v>-19.088750000000001</v>
      </c>
      <c r="K319" s="13">
        <f t="shared" si="96"/>
        <v>253.91125</v>
      </c>
      <c r="L319" s="46">
        <f>IF(AB318-AA318*(B319-B318)&gt;0, L318-Y318*(B319-B318)*3600-AD319*Model!$B$16, 0)</f>
        <v>953.62707258645071</v>
      </c>
      <c r="M319" s="57">
        <f t="shared" si="79"/>
        <v>34.885247168771059</v>
      </c>
      <c r="N319" s="57">
        <f>Model!$B$13*I319*K319/(Model!$B$13*I319-L319*287*K319)</f>
        <v>307.88524716877106</v>
      </c>
      <c r="O319" s="57">
        <f t="shared" si="80"/>
        <v>280.89824858438556</v>
      </c>
      <c r="P319" s="57">
        <f t="shared" si="81"/>
        <v>7.8985302745263741</v>
      </c>
      <c r="Q319" s="63">
        <f t="shared" si="97"/>
        <v>2.4560775649491374E-2</v>
      </c>
      <c r="R319" s="17">
        <f t="shared" si="98"/>
        <v>1.4421417852776097E-5</v>
      </c>
      <c r="S319" s="46">
        <f>0.37*Model!$B$10*(Q319^2*(N319-K319)*I319/(R319*O319^2))^0.33333*(N319-K319)</f>
        <v>342998.66295782739</v>
      </c>
      <c r="T319" s="51">
        <f>Model!$B$32+(90-Model!$B$6)*SIN(RADIANS(-15*(E319+6)))</f>
        <v>-5.4966415094177439</v>
      </c>
      <c r="U319" s="46">
        <f t="shared" si="82"/>
        <v>0</v>
      </c>
      <c r="V319" s="51">
        <f t="shared" si="83"/>
        <v>99999</v>
      </c>
      <c r="W319" s="46">
        <f t="shared" si="84"/>
        <v>4.2253521126760563E-2</v>
      </c>
      <c r="X319" s="46">
        <f>0.3*W319*Model!$B$9</f>
        <v>3.8275201289827652</v>
      </c>
      <c r="Y319" s="17">
        <f>(S319-X319)/Model!$B$11</f>
        <v>7.3580357275061332E-3</v>
      </c>
      <c r="Z319" s="46">
        <f t="shared" si="85"/>
        <v>1.1158994312037214E-3</v>
      </c>
      <c r="AA319" s="57">
        <f>Y319/Model!$B$12*3600</f>
        <v>47.639815869829739</v>
      </c>
      <c r="AB319" s="51">
        <f t="shared" si="90"/>
        <v>580.23842918294883</v>
      </c>
      <c r="AC319" s="51">
        <f t="shared" si="99"/>
        <v>1219.7615708170511</v>
      </c>
      <c r="AD319" s="13">
        <f>IF(AE319=0, Model!$B$19, 0 )</f>
        <v>0</v>
      </c>
      <c r="AE319" s="51">
        <f>IF(AE318+AB318-AB319&lt;Model!$B$19*Model!$B$18, AE318+AB318-AB319,  0)</f>
        <v>313.58327647466342</v>
      </c>
      <c r="AF319" s="13">
        <f t="shared" si="86"/>
        <v>15.85000000000009</v>
      </c>
      <c r="AG319" s="50">
        <f t="shared" si="87"/>
        <v>0</v>
      </c>
    </row>
    <row r="320" spans="2:33" x14ac:dyDescent="0.25">
      <c r="B320" s="15">
        <f t="shared" si="88"/>
        <v>15.900000000000091</v>
      </c>
      <c r="C320" s="15">
        <f>B320+Model!$B$4</f>
        <v>17.900000000000091</v>
      </c>
      <c r="D320" s="15">
        <f t="shared" si="89"/>
        <v>1</v>
      </c>
      <c r="E320" s="15">
        <f t="shared" si="95"/>
        <v>17.900000000000091</v>
      </c>
      <c r="F320" s="16">
        <f>IF(AB320&gt;0, VLOOKUP(B320,Model!$A$40:$B$60, 2), 0)</f>
        <v>300</v>
      </c>
      <c r="G320" s="15">
        <f>IF(AB320&gt;0, VLOOKUP(B320,Model!$A$39:$C$58, 3), 0)</f>
        <v>1</v>
      </c>
      <c r="H320" s="15">
        <f t="shared" si="78"/>
        <v>97</v>
      </c>
      <c r="I320" s="45">
        <f>Model!$B$21*EXP((-0.029*9.81*F320)/(8.31*(273+J320)))</f>
        <v>100357.4491247143</v>
      </c>
      <c r="J320" s="15">
        <f>IF(Model!$B$31="Summer",  IF(F320&lt;=2000,  Model!$B$20-Model!$B$35*F320/1000,  IF(F320&lt;Model!$B$36,  Model!$B$33-6.5*F320/1000,  Model!$B$38)),     IF(F320&lt;=2000,  Model!$B$20-Model!$B$35*F320/1000,  IF(F320&lt;Model!$B$36,  Model!$B$33-5.4*F320/1000,   Model!$B$38)))</f>
        <v>-19.088750000000001</v>
      </c>
      <c r="K320" s="15">
        <f t="shared" si="96"/>
        <v>253.91125</v>
      </c>
      <c r="L320" s="45">
        <f>IF(AB319-AA319*(B320-B319)&gt;0, L319-Y319*(B320-B319)*3600-AD320*Model!$B$16, 0)</f>
        <v>952.30262615549964</v>
      </c>
      <c r="M320" s="56">
        <f t="shared" si="79"/>
        <v>34.794377457900339</v>
      </c>
      <c r="N320" s="56">
        <f>Model!$B$13*I320*K320/(Model!$B$13*I320-L320*287*K320)</f>
        <v>307.79437745790034</v>
      </c>
      <c r="O320" s="56">
        <f t="shared" si="80"/>
        <v>280.8528137289502</v>
      </c>
      <c r="P320" s="56">
        <f t="shared" si="81"/>
        <v>7.8530954190910141</v>
      </c>
      <c r="Q320" s="62">
        <f t="shared" si="97"/>
        <v>2.4557549774755466E-2</v>
      </c>
      <c r="R320" s="33">
        <f t="shared" si="98"/>
        <v>1.4416692627810819E-5</v>
      </c>
      <c r="S320" s="45">
        <f>0.37*Model!$B$10*(Q320^2*(N320-K320)*I320/(R320*O320^2))^0.33333*(N320-K320)</f>
        <v>342273.24955911719</v>
      </c>
      <c r="T320" s="50">
        <f>Model!$B$32+(90-Model!$B$6)*SIN(RADIANS(-15*(E320+6)))</f>
        <v>-5.9545418702095887</v>
      </c>
      <c r="U320" s="45">
        <f t="shared" si="82"/>
        <v>0</v>
      </c>
      <c r="V320" s="50">
        <f t="shared" si="83"/>
        <v>99999</v>
      </c>
      <c r="W320" s="45">
        <f t="shared" si="84"/>
        <v>4.2253521126760563E-2</v>
      </c>
      <c r="X320" s="45">
        <f>0.3*W320*Model!$B$9</f>
        <v>3.8275201289827652</v>
      </c>
      <c r="Y320" s="33">
        <f>(S320-X320)/Model!$B$11</f>
        <v>7.3424739255387363E-3</v>
      </c>
      <c r="Z320" s="45">
        <f t="shared" si="85"/>
        <v>1.1182644667419967E-3</v>
      </c>
      <c r="AA320" s="56">
        <f>Y320/Model!$B$12*3600</f>
        <v>47.539060531342024</v>
      </c>
      <c r="AB320" s="50">
        <f t="shared" si="90"/>
        <v>577.85643838945737</v>
      </c>
      <c r="AC320" s="50">
        <f t="shared" si="99"/>
        <v>1222.1435616105427</v>
      </c>
      <c r="AD320" s="15">
        <f>IF(AE320=0, Model!$B$19, 0 )</f>
        <v>0</v>
      </c>
      <c r="AE320" s="50">
        <f>IF(AE319+AB319-AB320&lt;Model!$B$19*Model!$B$18, AE319+AB319-AB320,  0)</f>
        <v>315.96526726815489</v>
      </c>
      <c r="AF320" s="15">
        <f t="shared" si="86"/>
        <v>15.900000000000091</v>
      </c>
      <c r="AG320" s="50">
        <f t="shared" si="87"/>
        <v>0</v>
      </c>
    </row>
    <row r="321" spans="2:33" x14ac:dyDescent="0.25">
      <c r="B321" s="13">
        <f t="shared" si="88"/>
        <v>15.950000000000092</v>
      </c>
      <c r="C321" s="13">
        <f>B321+Model!$B$4</f>
        <v>17.950000000000092</v>
      </c>
      <c r="D321" s="13">
        <f t="shared" si="89"/>
        <v>1</v>
      </c>
      <c r="E321" s="13">
        <f t="shared" si="95"/>
        <v>17.950000000000092</v>
      </c>
      <c r="F321" s="14">
        <f>IF(AB321&gt;0, VLOOKUP(B321,Model!$A$40:$B$60, 2), 0)</f>
        <v>300</v>
      </c>
      <c r="G321" s="13">
        <f>IF(AB321&gt;0, VLOOKUP(B321,Model!$A$39:$C$58, 3), 0)</f>
        <v>1</v>
      </c>
      <c r="H321" s="13">
        <f t="shared" si="78"/>
        <v>97</v>
      </c>
      <c r="I321" s="46">
        <f>Model!$B$21*EXP((-0.029*9.81*F321)/(8.31*(273+J321)))</f>
        <v>100357.4491247143</v>
      </c>
      <c r="J321" s="13">
        <f>IF(Model!$B$31="Summer",  IF(F321&lt;=2000,  Model!$B$20-Model!$B$35*F321/1000,  IF(F321&lt;Model!$B$36,  Model!$B$33-6.5*F321/1000,  Model!$B$38)),     IF(F321&lt;=2000,  Model!$B$20-Model!$B$35*F321/1000,  IF(F321&lt;Model!$B$36,  Model!$B$33-5.4*F321/1000,   Model!$B$38)))</f>
        <v>-19.088750000000001</v>
      </c>
      <c r="K321" s="13">
        <f t="shared" si="96"/>
        <v>253.91125</v>
      </c>
      <c r="L321" s="46">
        <f>IF(AB320-AA320*(B321-B320)&gt;0, L320-Y320*(B321-B320)*3600-AD321*Model!$B$16, 0)</f>
        <v>950.98098084890262</v>
      </c>
      <c r="M321" s="57">
        <f t="shared" si="79"/>
        <v>34.703753384046479</v>
      </c>
      <c r="N321" s="57">
        <f>Model!$B$13*I321*K321/(Model!$B$13*I321-L321*287*K321)</f>
        <v>307.70375338404648</v>
      </c>
      <c r="O321" s="57">
        <f t="shared" si="80"/>
        <v>280.80750169202327</v>
      </c>
      <c r="P321" s="57">
        <f t="shared" si="81"/>
        <v>7.8077833821640841</v>
      </c>
      <c r="Q321" s="63">
        <f t="shared" si="97"/>
        <v>2.4554332620133651E-2</v>
      </c>
      <c r="R321" s="17">
        <f t="shared" si="98"/>
        <v>1.4411980175970418E-5</v>
      </c>
      <c r="S321" s="46">
        <f>0.37*Model!$B$10*(Q321^2*(N321-K321)*I321/(R321*O321^2))^0.33333*(N321-K321)</f>
        <v>341550.04934376146</v>
      </c>
      <c r="T321" s="51">
        <f>Model!$B$32+(90-Model!$B$6)*SIN(RADIANS(-15*(E321+6)))</f>
        <v>-6.412599215988096</v>
      </c>
      <c r="U321" s="46">
        <f t="shared" si="82"/>
        <v>0</v>
      </c>
      <c r="V321" s="51">
        <f t="shared" si="83"/>
        <v>99999</v>
      </c>
      <c r="W321" s="46">
        <f t="shared" si="84"/>
        <v>4.2253521126760563E-2</v>
      </c>
      <c r="X321" s="46">
        <f>0.3*W321*Model!$B$9</f>
        <v>3.8275201289827652</v>
      </c>
      <c r="Y321" s="17">
        <f>(S321-X321)/Model!$B$11</f>
        <v>7.3269596014937785E-3</v>
      </c>
      <c r="Z321" s="46">
        <f t="shared" si="85"/>
        <v>1.1206322869332873E-3</v>
      </c>
      <c r="AA321" s="57">
        <f>Y321/Model!$B$12*3600</f>
        <v>47.438612590041096</v>
      </c>
      <c r="AB321" s="51">
        <f t="shared" si="90"/>
        <v>575.47948536289027</v>
      </c>
      <c r="AC321" s="51">
        <f t="shared" si="99"/>
        <v>1224.5205146371097</v>
      </c>
      <c r="AD321" s="13">
        <f>IF(AE321=0, Model!$B$19, 0 )</f>
        <v>0</v>
      </c>
      <c r="AE321" s="51">
        <f>IF(AE320+AB320-AB321&lt;Model!$B$19*Model!$B$18, AE320+AB320-AB321,  0)</f>
        <v>318.34222029472198</v>
      </c>
      <c r="AF321" s="13">
        <f t="shared" si="86"/>
        <v>15.950000000000092</v>
      </c>
      <c r="AG321" s="50">
        <f t="shared" si="87"/>
        <v>0</v>
      </c>
    </row>
    <row r="322" spans="2:33" x14ac:dyDescent="0.25">
      <c r="B322" s="15">
        <f t="shared" si="88"/>
        <v>16.000000000000092</v>
      </c>
      <c r="C322" s="15">
        <f>B322+Model!$B$4</f>
        <v>18.000000000000092</v>
      </c>
      <c r="D322" s="15">
        <f t="shared" si="89"/>
        <v>1</v>
      </c>
      <c r="E322" s="15">
        <f t="shared" si="95"/>
        <v>18.000000000000092</v>
      </c>
      <c r="F322" s="16">
        <f>IF(AB322&gt;0, VLOOKUP(B322,Model!$A$40:$B$60, 2), 0)</f>
        <v>300</v>
      </c>
      <c r="G322" s="15">
        <f>IF(AB322&gt;0, VLOOKUP(B322,Model!$A$39:$C$58, 3), 0)</f>
        <v>1</v>
      </c>
      <c r="H322" s="15">
        <f t="shared" ref="H322:H385" si="100">IF(B322=1, 0, G322*97)</f>
        <v>97</v>
      </c>
      <c r="I322" s="45">
        <f>Model!$B$21*EXP((-0.029*9.81*F322)/(8.31*(273+J322)))</f>
        <v>100357.4491247143</v>
      </c>
      <c r="J322" s="15">
        <f>IF(Model!$B$31="Summer",  IF(F322&lt;=2000,  Model!$B$20-Model!$B$35*F322/1000,  IF(F322&lt;Model!$B$36,  Model!$B$33-6.5*F322/1000,  Model!$B$38)),     IF(F322&lt;=2000,  Model!$B$20-Model!$B$35*F322/1000,  IF(F322&lt;Model!$B$36,  Model!$B$33-5.4*F322/1000,   Model!$B$38)))</f>
        <v>-19.088750000000001</v>
      </c>
      <c r="K322" s="15">
        <f t="shared" ref="K322:K385" si="101">273+J322</f>
        <v>253.91125</v>
      </c>
      <c r="L322" s="45">
        <f>IF(AB321-AA321*(B322-B321)&gt;0, L321-Y321*(B322-B321)*3600-AD322*Model!$B$16, 0)</f>
        <v>949.66212812063372</v>
      </c>
      <c r="M322" s="56">
        <f t="shared" ref="M322:M385" si="102">IF(AB322=0, 0, N322-273)</f>
        <v>34.61337397522243</v>
      </c>
      <c r="N322" s="56">
        <f>Model!$B$13*I322*K322/(Model!$B$13*I322-L322*287*K322)</f>
        <v>307.61337397522243</v>
      </c>
      <c r="O322" s="56">
        <f t="shared" ref="O322:O385" si="103">(K322+N322)/2</f>
        <v>280.76231198761121</v>
      </c>
      <c r="P322" s="56">
        <f t="shared" ref="P322:P385" si="104">(J322+M322)/2+W321/150</f>
        <v>7.7625936777520597</v>
      </c>
      <c r="Q322" s="62">
        <f t="shared" ref="Q322:Q385" si="105">(O322-273)*7.1*0.00001+0.024</f>
        <v>2.4551124151120398E-2</v>
      </c>
      <c r="R322" s="33">
        <f t="shared" ref="R322:R385" si="106">((O322-273)*0.104+13.6)*0.000001</f>
        <v>1.4407280446711565E-5</v>
      </c>
      <c r="S322" s="45">
        <f>0.37*Model!$B$10*(Q322^2*(N322-K322)*I322/(R322*O322^2))^0.33333*(N322-K322)</f>
        <v>340829.05303959275</v>
      </c>
      <c r="T322" s="50">
        <f>Model!$B$32+(90-Model!$B$6)*SIN(RADIANS(-15*(E322+6)))</f>
        <v>-6.8707350609851536</v>
      </c>
      <c r="U322" s="45">
        <f t="shared" ref="U322:U385" si="107">IF(OR(T322&lt;0, AB322=0),  0, T322)</f>
        <v>0</v>
      </c>
      <c r="V322" s="50">
        <f t="shared" ref="V322:V385" si="108">IF(T322&lt;0,99999,1/SIN(RADIANS(T322)))</f>
        <v>99999</v>
      </c>
      <c r="W322" s="45">
        <f t="shared" ref="W322:W385" si="109">IF(G322=0,0, 1353*((1+F322/7100)*0.7^V322^0.678)+F322/7100)</f>
        <v>4.2253521126760563E-2</v>
      </c>
      <c r="X322" s="45">
        <f>0.3*W322*Model!$B$9</f>
        <v>3.8275201289827652</v>
      </c>
      <c r="Y322" s="33">
        <f>(S322-X322)/Model!$B$11</f>
        <v>7.3114925564617345E-3</v>
      </c>
      <c r="Z322" s="45">
        <f t="shared" ref="Z322:Z385" si="110">100*X322/S322</f>
        <v>1.1230028939282174E-3</v>
      </c>
      <c r="AA322" s="56">
        <f>Y322/Model!$B$12*3600</f>
        <v>47.338470758081463</v>
      </c>
      <c r="AB322" s="50">
        <f t="shared" si="90"/>
        <v>573.10755473338816</v>
      </c>
      <c r="AC322" s="50">
        <f t="shared" ref="AC322:AC385" si="111">AC321+AB321-AB322</f>
        <v>1226.892445266612</v>
      </c>
      <c r="AD322" s="15">
        <f>IF(AE322=0, Model!$B$19, 0 )</f>
        <v>0</v>
      </c>
      <c r="AE322" s="50">
        <f>IF(AE321+AB321-AB322&lt;Model!$B$19*Model!$B$18, AE321+AB321-AB322,  0)</f>
        <v>320.7141509242241</v>
      </c>
      <c r="AF322" s="15">
        <f t="shared" ref="AF322:AF385" si="112">B322</f>
        <v>16.000000000000092</v>
      </c>
      <c r="AG322" s="50">
        <f t="shared" ref="AG322:AG385" si="113">IF(OR(P322&gt;0, AB322&lt;=0),0, IF(P322&lt;-2,0.99,ABS(P322/2)))</f>
        <v>0</v>
      </c>
    </row>
    <row r="323" spans="2:33" x14ac:dyDescent="0.25">
      <c r="B323" s="13">
        <f t="shared" ref="B323:B386" si="114">IF(AB322&gt;0, B322+0.05, 1)</f>
        <v>16.050000000000093</v>
      </c>
      <c r="C323" s="13">
        <f>B323+Model!$B$4</f>
        <v>18.050000000000093</v>
      </c>
      <c r="D323" s="13">
        <f t="shared" ref="D323:D386" si="115">INT(C323/24+1)</f>
        <v>1</v>
      </c>
      <c r="E323" s="13">
        <f t="shared" si="95"/>
        <v>18.050000000000093</v>
      </c>
      <c r="F323" s="14">
        <f>IF(AB323&gt;0, VLOOKUP(B323,Model!$A$40:$B$60, 2), 0)</f>
        <v>300</v>
      </c>
      <c r="G323" s="13">
        <f>IF(AB323&gt;0, VLOOKUP(B323,Model!$A$39:$C$58, 3), 0)</f>
        <v>1</v>
      </c>
      <c r="H323" s="13">
        <f t="shared" si="100"/>
        <v>97</v>
      </c>
      <c r="I323" s="46">
        <f>Model!$B$21*EXP((-0.029*9.81*F323)/(8.31*(273+J323)))</f>
        <v>100357.4491247143</v>
      </c>
      <c r="J323" s="13">
        <f>IF(Model!$B$31="Summer",  IF(F323&lt;=2000,  Model!$B$20-Model!$B$35*F323/1000,  IF(F323&lt;Model!$B$36,  Model!$B$33-6.5*F323/1000,  Model!$B$38)),     IF(F323&lt;=2000,  Model!$B$20-Model!$B$35*F323/1000,  IF(F323&lt;Model!$B$36,  Model!$B$33-5.4*F323/1000,   Model!$B$38)))</f>
        <v>-19.088750000000001</v>
      </c>
      <c r="K323" s="13">
        <f t="shared" si="101"/>
        <v>253.91125</v>
      </c>
      <c r="L323" s="46">
        <f>IF(AB322-AA322*(B323-B322)&gt;0, L322-Y322*(B323-B322)*3600-AD323*Model!$B$16, 0)</f>
        <v>948.34605946047054</v>
      </c>
      <c r="M323" s="57">
        <f t="shared" si="102"/>
        <v>34.523238264636916</v>
      </c>
      <c r="N323" s="57">
        <f>Model!$B$13*I323*K323/(Model!$B$13*I323-L323*287*K323)</f>
        <v>307.52323826463692</v>
      </c>
      <c r="O323" s="57">
        <f t="shared" si="103"/>
        <v>280.71724413231846</v>
      </c>
      <c r="P323" s="57">
        <f t="shared" si="104"/>
        <v>7.7175258224593026</v>
      </c>
      <c r="Q323" s="63">
        <f t="shared" si="105"/>
        <v>2.4547924333394609E-2</v>
      </c>
      <c r="R323" s="17">
        <f t="shared" si="106"/>
        <v>1.4402593389761119E-5</v>
      </c>
      <c r="S323" s="46">
        <f>0.37*Model!$B$10*(Q323^2*(N323-K323)*I323/(R323*O323^2))^0.33333*(N323-K323)</f>
        <v>340110.25142524438</v>
      </c>
      <c r="T323" s="51">
        <f>Model!$B$32+(90-Model!$B$6)*SIN(RADIANS(-15*(E323+6)))</f>
        <v>-7.3288709059822432</v>
      </c>
      <c r="U323" s="46">
        <f t="shared" si="107"/>
        <v>0</v>
      </c>
      <c r="V323" s="51">
        <f t="shared" si="108"/>
        <v>99999</v>
      </c>
      <c r="W323" s="46">
        <f t="shared" si="109"/>
        <v>4.2253521126760563E-2</v>
      </c>
      <c r="X323" s="46">
        <f>0.3*W323*Model!$B$9</f>
        <v>3.8275201289827652</v>
      </c>
      <c r="Y323" s="17">
        <f>(S323-X323)/Model!$B$11</f>
        <v>7.2960725926228768E-3</v>
      </c>
      <c r="Z323" s="46">
        <f t="shared" si="110"/>
        <v>1.125376289877592E-3</v>
      </c>
      <c r="AA323" s="57">
        <f>Y323/Model!$B$12*3600</f>
        <v>47.238633754673543</v>
      </c>
      <c r="AB323" s="51">
        <f t="shared" ref="AB323:AB386" si="116">IF(AB322-AA322*(B323-B322)&gt;0, AB322-AA322*(B323-B322), 0)</f>
        <v>570.74063119548407</v>
      </c>
      <c r="AC323" s="51">
        <f t="shared" si="111"/>
        <v>1229.2593688045158</v>
      </c>
      <c r="AD323" s="13">
        <f>IF(AE323=0, Model!$B$19, 0 )</f>
        <v>0</v>
      </c>
      <c r="AE323" s="51">
        <f>IF(AE322+AB322-AB323&lt;Model!$B$19*Model!$B$18, AE322+AB322-AB323,  0)</f>
        <v>323.08107446212819</v>
      </c>
      <c r="AF323" s="13">
        <f t="shared" si="112"/>
        <v>16.050000000000093</v>
      </c>
      <c r="AG323" s="50">
        <f t="shared" si="113"/>
        <v>0</v>
      </c>
    </row>
    <row r="324" spans="2:33" x14ac:dyDescent="0.25">
      <c r="B324" s="15">
        <f t="shared" si="114"/>
        <v>16.100000000000094</v>
      </c>
      <c r="C324" s="15">
        <f>B324+Model!$B$4</f>
        <v>18.100000000000094</v>
      </c>
      <c r="D324" s="15">
        <f t="shared" si="115"/>
        <v>1</v>
      </c>
      <c r="E324" s="15">
        <f t="shared" si="95"/>
        <v>18.100000000000094</v>
      </c>
      <c r="F324" s="16">
        <f>IF(AB324&gt;0, VLOOKUP(B324,Model!$A$40:$B$60, 2), 0)</f>
        <v>300</v>
      </c>
      <c r="G324" s="15">
        <f>IF(AB324&gt;0, VLOOKUP(B324,Model!$A$39:$C$58, 3), 0)</f>
        <v>1</v>
      </c>
      <c r="H324" s="15">
        <f t="shared" si="100"/>
        <v>97</v>
      </c>
      <c r="I324" s="45">
        <f>Model!$B$21*EXP((-0.029*9.81*F324)/(8.31*(273+J324)))</f>
        <v>100357.4491247143</v>
      </c>
      <c r="J324" s="15">
        <f>IF(Model!$B$31="Summer",  IF(F324&lt;=2000,  Model!$B$20-Model!$B$35*F324/1000,  IF(F324&lt;Model!$B$36,  Model!$B$33-6.5*F324/1000,  Model!$B$38)),     IF(F324&lt;=2000,  Model!$B$20-Model!$B$35*F324/1000,  IF(F324&lt;Model!$B$36,  Model!$B$33-5.4*F324/1000,   Model!$B$38)))</f>
        <v>-19.088750000000001</v>
      </c>
      <c r="K324" s="15">
        <f t="shared" si="101"/>
        <v>253.91125</v>
      </c>
      <c r="L324" s="45">
        <f>IF(AB323-AA323*(B324-B323)&gt;0, L323-Y323*(B324-B323)*3600-AD324*Model!$B$16, 0)</f>
        <v>947.0327663937984</v>
      </c>
      <c r="M324" s="56">
        <f t="shared" si="102"/>
        <v>34.433345290659531</v>
      </c>
      <c r="N324" s="56">
        <f>Model!$B$13*I324*K324/(Model!$B$13*I324-L324*287*K324)</f>
        <v>307.43334529065953</v>
      </c>
      <c r="O324" s="56">
        <f t="shared" si="103"/>
        <v>280.67229764532976</v>
      </c>
      <c r="P324" s="56">
        <f t="shared" si="104"/>
        <v>7.6725793354706102</v>
      </c>
      <c r="Q324" s="62">
        <f t="shared" si="105"/>
        <v>2.4544733132818415E-2</v>
      </c>
      <c r="R324" s="33">
        <f t="shared" si="106"/>
        <v>1.4397918955114294E-5</v>
      </c>
      <c r="S324" s="45">
        <f>0.37*Model!$B$10*(Q324^2*(N324-K324)*I324/(R324*O324^2))^0.33333*(N324-K324)</f>
        <v>339393.63532980642</v>
      </c>
      <c r="T324" s="50">
        <f>Model!$B$32+(90-Model!$B$6)*SIN(RADIANS(-15*(E324+6)))</f>
        <v>-7.7869282517607505</v>
      </c>
      <c r="U324" s="45">
        <f t="shared" si="107"/>
        <v>0</v>
      </c>
      <c r="V324" s="50">
        <f t="shared" si="108"/>
        <v>99999</v>
      </c>
      <c r="W324" s="45">
        <f t="shared" si="109"/>
        <v>4.2253521126760563E-2</v>
      </c>
      <c r="X324" s="45">
        <f>0.3*W324*Model!$B$9</f>
        <v>3.8275201289827652</v>
      </c>
      <c r="Y324" s="33">
        <f>(S324-X324)/Model!$B$11</f>
        <v>7.2806995132398897E-3</v>
      </c>
      <c r="Z324" s="45">
        <f t="shared" si="110"/>
        <v>1.1277524769323871E-3</v>
      </c>
      <c r="AA324" s="56">
        <f>Y324/Model!$B$12*3600</f>
        <v>47.139100306035886</v>
      </c>
      <c r="AB324" s="50">
        <f t="shared" si="116"/>
        <v>568.37869950775041</v>
      </c>
      <c r="AC324" s="50">
        <f t="shared" si="111"/>
        <v>1231.6213004922497</v>
      </c>
      <c r="AD324" s="15">
        <f>IF(AE324=0, Model!$B$19, 0 )</f>
        <v>0</v>
      </c>
      <c r="AE324" s="50">
        <f>IF(AE323+AB323-AB324&lt;Model!$B$19*Model!$B$18, AE323+AB323-AB324,  0)</f>
        <v>325.44300614986184</v>
      </c>
      <c r="AF324" s="15">
        <f t="shared" si="112"/>
        <v>16.100000000000094</v>
      </c>
      <c r="AG324" s="50">
        <f t="shared" si="113"/>
        <v>0</v>
      </c>
    </row>
    <row r="325" spans="2:33" x14ac:dyDescent="0.25">
      <c r="B325" s="13">
        <f t="shared" si="114"/>
        <v>16.150000000000095</v>
      </c>
      <c r="C325" s="13">
        <f>B325+Model!$B$4</f>
        <v>18.150000000000095</v>
      </c>
      <c r="D325" s="13">
        <f t="shared" si="115"/>
        <v>1</v>
      </c>
      <c r="E325" s="13">
        <f t="shared" si="95"/>
        <v>18.150000000000095</v>
      </c>
      <c r="F325" s="14">
        <f>IF(AB325&gt;0, VLOOKUP(B325,Model!$A$40:$B$60, 2), 0)</f>
        <v>300</v>
      </c>
      <c r="G325" s="13">
        <f>IF(AB325&gt;0, VLOOKUP(B325,Model!$A$39:$C$58, 3), 0)</f>
        <v>1</v>
      </c>
      <c r="H325" s="13">
        <f t="shared" si="100"/>
        <v>97</v>
      </c>
      <c r="I325" s="46">
        <f>Model!$B$21*EXP((-0.029*9.81*F325)/(8.31*(273+J325)))</f>
        <v>100357.4491247143</v>
      </c>
      <c r="J325" s="13">
        <f>IF(Model!$B$31="Summer",  IF(F325&lt;=2000,  Model!$B$20-Model!$B$35*F325/1000,  IF(F325&lt;Model!$B$36,  Model!$B$33-6.5*F325/1000,  Model!$B$38)),     IF(F325&lt;=2000,  Model!$B$20-Model!$B$35*F325/1000,  IF(F325&lt;Model!$B$36,  Model!$B$33-5.4*F325/1000,   Model!$B$38)))</f>
        <v>-19.088750000000001</v>
      </c>
      <c r="K325" s="13">
        <f t="shared" si="101"/>
        <v>253.91125</v>
      </c>
      <c r="L325" s="46">
        <f>IF(AB324-AA324*(B325-B324)&gt;0, L324-Y324*(B325-B324)*3600-AD325*Model!$B$16, 0)</f>
        <v>945.72224048141516</v>
      </c>
      <c r="M325" s="57">
        <f t="shared" si="102"/>
        <v>34.343694096784986</v>
      </c>
      <c r="N325" s="57">
        <f>Model!$B$13*I325*K325/(Model!$B$13*I325-L325*287*K325)</f>
        <v>307.34369409678499</v>
      </c>
      <c r="O325" s="57">
        <f t="shared" si="103"/>
        <v>280.62747204839252</v>
      </c>
      <c r="P325" s="57">
        <f t="shared" si="104"/>
        <v>7.6277537385333378</v>
      </c>
      <c r="Q325" s="63">
        <f t="shared" si="105"/>
        <v>2.454155051543587E-2</v>
      </c>
      <c r="R325" s="17">
        <f t="shared" si="106"/>
        <v>1.4393257093032823E-5</v>
      </c>
      <c r="S325" s="46">
        <f>0.37*Model!$B$10*(Q325^2*(N325-K325)*I325/(R325*O325^2))^0.33333*(N325-K325)</f>
        <v>338679.19563247316</v>
      </c>
      <c r="T325" s="51">
        <f>Model!$B$32+(90-Model!$B$6)*SIN(RADIANS(-15*(E325+6)))</f>
        <v>-8.2448286125525936</v>
      </c>
      <c r="U325" s="46">
        <f t="shared" si="107"/>
        <v>0</v>
      </c>
      <c r="V325" s="51">
        <f t="shared" si="108"/>
        <v>99999</v>
      </c>
      <c r="W325" s="46">
        <f t="shared" si="109"/>
        <v>4.2253521126760563E-2</v>
      </c>
      <c r="X325" s="46">
        <f>0.3*W325*Model!$B$9</f>
        <v>3.8275201289827652</v>
      </c>
      <c r="Y325" s="17">
        <f>(S325-X325)/Model!$B$11</f>
        <v>7.2653731226503095E-3</v>
      </c>
      <c r="Z325" s="46">
        <f t="shared" si="110"/>
        <v>1.1301314572437751E-3</v>
      </c>
      <c r="AA325" s="57">
        <f>Y325/Model!$B$12*3600</f>
        <v>47.039869145346188</v>
      </c>
      <c r="AB325" s="51">
        <f t="shared" si="116"/>
        <v>566.02174449244853</v>
      </c>
      <c r="AC325" s="51">
        <f t="shared" si="111"/>
        <v>1233.9782555075515</v>
      </c>
      <c r="AD325" s="13">
        <f>IF(AE325=0, Model!$B$19, 0 )</f>
        <v>0</v>
      </c>
      <c r="AE325" s="51">
        <f>IF(AE324+AB324-AB325&lt;Model!$B$19*Model!$B$18, AE324+AB324-AB325,  0)</f>
        <v>327.79996116516372</v>
      </c>
      <c r="AF325" s="13">
        <f t="shared" si="112"/>
        <v>16.150000000000095</v>
      </c>
      <c r="AG325" s="50">
        <f t="shared" si="113"/>
        <v>0</v>
      </c>
    </row>
    <row r="326" spans="2:33" x14ac:dyDescent="0.25">
      <c r="B326" s="15">
        <f t="shared" si="114"/>
        <v>16.200000000000095</v>
      </c>
      <c r="C326" s="15">
        <f>B326+Model!$B$4</f>
        <v>18.200000000000095</v>
      </c>
      <c r="D326" s="15">
        <f t="shared" si="115"/>
        <v>1</v>
      </c>
      <c r="E326" s="15">
        <f t="shared" si="95"/>
        <v>18.200000000000095</v>
      </c>
      <c r="F326" s="16">
        <f>IF(AB326&gt;0, VLOOKUP(B326,Model!$A$40:$B$60, 2), 0)</f>
        <v>300</v>
      </c>
      <c r="G326" s="15">
        <f>IF(AB326&gt;0, VLOOKUP(B326,Model!$A$39:$C$58, 3), 0)</f>
        <v>1</v>
      </c>
      <c r="H326" s="15">
        <f t="shared" si="100"/>
        <v>97</v>
      </c>
      <c r="I326" s="45">
        <f>Model!$B$21*EXP((-0.029*9.81*F326)/(8.31*(273+J326)))</f>
        <v>100357.4491247143</v>
      </c>
      <c r="J326" s="15">
        <f>IF(Model!$B$31="Summer",  IF(F326&lt;=2000,  Model!$B$20-Model!$B$35*F326/1000,  IF(F326&lt;Model!$B$36,  Model!$B$33-6.5*F326/1000,  Model!$B$38)),     IF(F326&lt;=2000,  Model!$B$20-Model!$B$35*F326/1000,  IF(F326&lt;Model!$B$36,  Model!$B$33-5.4*F326/1000,   Model!$B$38)))</f>
        <v>-19.088750000000001</v>
      </c>
      <c r="K326" s="15">
        <f t="shared" si="101"/>
        <v>253.91125</v>
      </c>
      <c r="L326" s="45">
        <f>IF(AB325-AA325*(B326-B325)&gt;0, L325-Y325*(B326-B325)*3600-AD326*Model!$B$16, 0)</f>
        <v>944.41447331933807</v>
      </c>
      <c r="M326" s="56">
        <f t="shared" si="102"/>
        <v>34.254283731599116</v>
      </c>
      <c r="N326" s="56">
        <f>Model!$B$13*I326*K326/(Model!$B$13*I326-L326*287*K326)</f>
        <v>307.25428373159912</v>
      </c>
      <c r="O326" s="56">
        <f t="shared" si="103"/>
        <v>280.58276686579956</v>
      </c>
      <c r="P326" s="56">
        <f t="shared" si="104"/>
        <v>7.5830485559404028</v>
      </c>
      <c r="Q326" s="62">
        <f t="shared" si="105"/>
        <v>2.4538376447471769E-2</v>
      </c>
      <c r="R326" s="33">
        <f t="shared" si="106"/>
        <v>1.4388607754043154E-5</v>
      </c>
      <c r="S326" s="45">
        <f>0.37*Model!$B$10*(Q326^2*(N326-K326)*I326/(R326*O326^2))^0.33333*(N326-K326)</f>
        <v>337966.92326220626</v>
      </c>
      <c r="T326" s="50">
        <f>Model!$B$32+(90-Model!$B$6)*SIN(RADIANS(-15*(E326+6)))</f>
        <v>-8.702493529488228</v>
      </c>
      <c r="U326" s="45">
        <f t="shared" si="107"/>
        <v>0</v>
      </c>
      <c r="V326" s="50">
        <f t="shared" si="108"/>
        <v>99999</v>
      </c>
      <c r="W326" s="45">
        <f t="shared" si="109"/>
        <v>4.2253521126760563E-2</v>
      </c>
      <c r="X326" s="45">
        <f>0.3*W326*Model!$B$9</f>
        <v>3.8275201289827652</v>
      </c>
      <c r="Y326" s="33">
        <f>(S326-X326)/Model!$B$11</f>
        <v>7.2500932262593003E-3</v>
      </c>
      <c r="Z326" s="45">
        <f t="shared" si="110"/>
        <v>1.1325132329631101E-3</v>
      </c>
      <c r="AA326" s="56">
        <f>Y326/Model!$B$12*3600</f>
        <v>46.940939012694542</v>
      </c>
      <c r="AB326" s="50">
        <f t="shared" si="116"/>
        <v>563.66975103518121</v>
      </c>
      <c r="AC326" s="50">
        <f t="shared" si="111"/>
        <v>1236.3302489648188</v>
      </c>
      <c r="AD326" s="15">
        <f>IF(AE326=0, Model!$B$19, 0 )</f>
        <v>0</v>
      </c>
      <c r="AE326" s="50">
        <f>IF(AE325+AB325-AB326&lt;Model!$B$19*Model!$B$18, AE325+AB325-AB326,  0)</f>
        <v>330.15195462243105</v>
      </c>
      <c r="AF326" s="15">
        <f t="shared" si="112"/>
        <v>16.200000000000095</v>
      </c>
      <c r="AG326" s="50">
        <f t="shared" si="113"/>
        <v>0</v>
      </c>
    </row>
    <row r="327" spans="2:33" x14ac:dyDescent="0.25">
      <c r="B327" s="13">
        <f t="shared" si="114"/>
        <v>16.250000000000096</v>
      </c>
      <c r="C327" s="13">
        <f>B327+Model!$B$4</f>
        <v>18.250000000000096</v>
      </c>
      <c r="D327" s="13">
        <f t="shared" si="115"/>
        <v>1</v>
      </c>
      <c r="E327" s="13">
        <f t="shared" si="95"/>
        <v>18.250000000000096</v>
      </c>
      <c r="F327" s="14">
        <f>IF(AB327&gt;0, VLOOKUP(B327,Model!$A$40:$B$60, 2), 0)</f>
        <v>300</v>
      </c>
      <c r="G327" s="13">
        <f>IF(AB327&gt;0, VLOOKUP(B327,Model!$A$39:$C$58, 3), 0)</f>
        <v>1</v>
      </c>
      <c r="H327" s="13">
        <f t="shared" si="100"/>
        <v>97</v>
      </c>
      <c r="I327" s="46">
        <f>Model!$B$21*EXP((-0.029*9.81*F327)/(8.31*(273+J327)))</f>
        <v>100357.4491247143</v>
      </c>
      <c r="J327" s="13">
        <f>IF(Model!$B$31="Summer",  IF(F327&lt;=2000,  Model!$B$20-Model!$B$35*F327/1000,  IF(F327&lt;Model!$B$36,  Model!$B$33-6.5*F327/1000,  Model!$B$38)),     IF(F327&lt;=2000,  Model!$B$20-Model!$B$35*F327/1000,  IF(F327&lt;Model!$B$36,  Model!$B$33-5.4*F327/1000,   Model!$B$38)))</f>
        <v>-19.088750000000001</v>
      </c>
      <c r="K327" s="13">
        <f t="shared" si="101"/>
        <v>253.91125</v>
      </c>
      <c r="L327" s="46">
        <f>IF(AB326-AA326*(B327-B326)&gt;0, L326-Y326*(B327-B326)*3600-AD327*Model!$B$16, 0)</f>
        <v>943.10945653861143</v>
      </c>
      <c r="M327" s="57">
        <f t="shared" si="102"/>
        <v>34.165113248744092</v>
      </c>
      <c r="N327" s="57">
        <f>Model!$B$13*I327*K327/(Model!$B$13*I327-L327*287*K327)</f>
        <v>307.16511324874409</v>
      </c>
      <c r="O327" s="57">
        <f t="shared" si="103"/>
        <v>280.53818162437204</v>
      </c>
      <c r="P327" s="57">
        <f t="shared" si="104"/>
        <v>7.5384633145128905</v>
      </c>
      <c r="Q327" s="63">
        <f t="shared" si="105"/>
        <v>2.4535210895330416E-2</v>
      </c>
      <c r="R327" s="17">
        <f t="shared" si="106"/>
        <v>1.4383970888934693E-5</v>
      </c>
      <c r="S327" s="46">
        <f>0.37*Model!$B$10*(Q327^2*(N327-K327)*I327/(R327*O327^2))^0.33333*(N327-K327)</f>
        <v>337256.80919739237</v>
      </c>
      <c r="T327" s="51">
        <f>Model!$B$32+(90-Model!$B$6)*SIN(RADIANS(-15*(E327+6)))</f>
        <v>-9.1598445840402043</v>
      </c>
      <c r="U327" s="46">
        <f t="shared" si="107"/>
        <v>0</v>
      </c>
      <c r="V327" s="51">
        <f t="shared" si="108"/>
        <v>99999</v>
      </c>
      <c r="W327" s="46">
        <f t="shared" si="109"/>
        <v>4.2253521126760563E-2</v>
      </c>
      <c r="X327" s="46">
        <f>0.3*W327*Model!$B$9</f>
        <v>3.8275201289827652</v>
      </c>
      <c r="Y327" s="17">
        <f>(S327-X327)/Model!$B$11</f>
        <v>7.2348596305323049E-3</v>
      </c>
      <c r="Z327" s="46">
        <f t="shared" si="110"/>
        <v>1.1348978062419382E-3</v>
      </c>
      <c r="AA327" s="57">
        <f>Y327/Model!$B$12*3600</f>
        <v>46.842308655035829</v>
      </c>
      <c r="AB327" s="51">
        <f t="shared" si="116"/>
        <v>561.32270408454644</v>
      </c>
      <c r="AC327" s="51">
        <f t="shared" si="111"/>
        <v>1238.6772959154537</v>
      </c>
      <c r="AD327" s="13">
        <f>IF(AE327=0, Model!$B$19, 0 )</f>
        <v>0</v>
      </c>
      <c r="AE327" s="51">
        <f>IF(AE326+AB326-AB327&lt;Model!$B$19*Model!$B$18, AE326+AB326-AB327,  0)</f>
        <v>332.49900157306581</v>
      </c>
      <c r="AF327" s="13">
        <f t="shared" si="112"/>
        <v>16.250000000000096</v>
      </c>
      <c r="AG327" s="50">
        <f t="shared" si="113"/>
        <v>0</v>
      </c>
    </row>
    <row r="328" spans="2:33" x14ac:dyDescent="0.25">
      <c r="B328" s="15">
        <f t="shared" si="114"/>
        <v>16.300000000000097</v>
      </c>
      <c r="C328" s="15">
        <f>B328+Model!$B$4</f>
        <v>18.300000000000097</v>
      </c>
      <c r="D328" s="15">
        <f t="shared" si="115"/>
        <v>1</v>
      </c>
      <c r="E328" s="15">
        <f t="shared" si="95"/>
        <v>18.300000000000097</v>
      </c>
      <c r="F328" s="16">
        <f>IF(AB328&gt;0, VLOOKUP(B328,Model!$A$40:$B$60, 2), 0)</f>
        <v>300</v>
      </c>
      <c r="G328" s="15">
        <f>IF(AB328&gt;0, VLOOKUP(B328,Model!$A$39:$C$58, 3), 0)</f>
        <v>1</v>
      </c>
      <c r="H328" s="15">
        <f t="shared" si="100"/>
        <v>97</v>
      </c>
      <c r="I328" s="45">
        <f>Model!$B$21*EXP((-0.029*9.81*F328)/(8.31*(273+J328)))</f>
        <v>100357.4491247143</v>
      </c>
      <c r="J328" s="15">
        <f>IF(Model!$B$31="Summer",  IF(F328&lt;=2000,  Model!$B$20-Model!$B$35*F328/1000,  IF(F328&lt;Model!$B$36,  Model!$B$33-6.5*F328/1000,  Model!$B$38)),     IF(F328&lt;=2000,  Model!$B$20-Model!$B$35*F328/1000,  IF(F328&lt;Model!$B$36,  Model!$B$33-5.4*F328/1000,   Model!$B$38)))</f>
        <v>-19.088750000000001</v>
      </c>
      <c r="K328" s="15">
        <f t="shared" si="101"/>
        <v>253.91125</v>
      </c>
      <c r="L328" s="45">
        <f>IF(AB327-AA327*(B328-B327)&gt;0, L327-Y327*(B328-B327)*3600-AD328*Model!$B$16, 0)</f>
        <v>941.80718180511565</v>
      </c>
      <c r="M328" s="56">
        <f t="shared" si="102"/>
        <v>34.076181706884483</v>
      </c>
      <c r="N328" s="56">
        <f>Model!$B$13*I328*K328/(Model!$B$13*I328-L328*287*K328)</f>
        <v>307.07618170688448</v>
      </c>
      <c r="O328" s="56">
        <f t="shared" si="103"/>
        <v>280.49371585344227</v>
      </c>
      <c r="P328" s="56">
        <f t="shared" si="104"/>
        <v>7.4939975435830863</v>
      </c>
      <c r="Q328" s="62">
        <f t="shared" si="105"/>
        <v>2.45320538255944E-2</v>
      </c>
      <c r="R328" s="33">
        <f t="shared" si="106"/>
        <v>1.4379346448757995E-5</v>
      </c>
      <c r="S328" s="45">
        <f>0.37*Model!$B$10*(Q328^2*(N328-K328)*I328/(R328*O328^2))^0.33333*(N328-K328)</f>
        <v>336548.84446550708</v>
      </c>
      <c r="T328" s="50">
        <f>Model!$B$32+(90-Model!$B$6)*SIN(RADIANS(-15*(E328+6)))</f>
        <v>-9.6168034114598022</v>
      </c>
      <c r="U328" s="45">
        <f t="shared" si="107"/>
        <v>0</v>
      </c>
      <c r="V328" s="50">
        <f t="shared" si="108"/>
        <v>99999</v>
      </c>
      <c r="W328" s="45">
        <f t="shared" si="109"/>
        <v>4.2253521126760563E-2</v>
      </c>
      <c r="X328" s="45">
        <f>0.3*W328*Model!$B$9</f>
        <v>3.8275201289827652</v>
      </c>
      <c r="Y328" s="33">
        <f>(S328-X328)/Model!$B$11</f>
        <v>7.2196721429878385E-3</v>
      </c>
      <c r="Z328" s="45">
        <f t="shared" si="110"/>
        <v>1.1372851792319995E-3</v>
      </c>
      <c r="AA328" s="56">
        <f>Y328/Model!$B$12*3600</f>
        <v>46.743976826143104</v>
      </c>
      <c r="AB328" s="50">
        <f t="shared" si="116"/>
        <v>558.98058865179462</v>
      </c>
      <c r="AC328" s="50">
        <f t="shared" si="111"/>
        <v>1241.0194113482053</v>
      </c>
      <c r="AD328" s="15">
        <f>IF(AE328=0, Model!$B$19, 0 )</f>
        <v>0</v>
      </c>
      <c r="AE328" s="50">
        <f>IF(AE327+AB327-AB328&lt;Model!$B$19*Model!$B$18, AE327+AB327-AB328,  0)</f>
        <v>334.84111700581764</v>
      </c>
      <c r="AF328" s="15">
        <f t="shared" si="112"/>
        <v>16.300000000000097</v>
      </c>
      <c r="AG328" s="50">
        <f t="shared" si="113"/>
        <v>0</v>
      </c>
    </row>
    <row r="329" spans="2:33" x14ac:dyDescent="0.25">
      <c r="B329" s="13">
        <f t="shared" si="114"/>
        <v>16.350000000000097</v>
      </c>
      <c r="C329" s="13">
        <f>B329+Model!$B$4</f>
        <v>18.350000000000097</v>
      </c>
      <c r="D329" s="13">
        <f t="shared" si="115"/>
        <v>1</v>
      </c>
      <c r="E329" s="13">
        <f t="shared" si="95"/>
        <v>18.350000000000097</v>
      </c>
      <c r="F329" s="14">
        <f>IF(AB329&gt;0, VLOOKUP(B329,Model!$A$40:$B$60, 2), 0)</f>
        <v>300</v>
      </c>
      <c r="G329" s="13">
        <f>IF(AB329&gt;0, VLOOKUP(B329,Model!$A$39:$C$58, 3), 0)</f>
        <v>1</v>
      </c>
      <c r="H329" s="13">
        <f t="shared" si="100"/>
        <v>97</v>
      </c>
      <c r="I329" s="46">
        <f>Model!$B$21*EXP((-0.029*9.81*F329)/(8.31*(273+J329)))</f>
        <v>100357.4491247143</v>
      </c>
      <c r="J329" s="13">
        <f>IF(Model!$B$31="Summer",  IF(F329&lt;=2000,  Model!$B$20-Model!$B$35*F329/1000,  IF(F329&lt;Model!$B$36,  Model!$B$33-6.5*F329/1000,  Model!$B$38)),     IF(F329&lt;=2000,  Model!$B$20-Model!$B$35*F329/1000,  IF(F329&lt;Model!$B$36,  Model!$B$33-5.4*F329/1000,   Model!$B$38)))</f>
        <v>-19.088750000000001</v>
      </c>
      <c r="K329" s="13">
        <f t="shared" si="101"/>
        <v>253.91125</v>
      </c>
      <c r="L329" s="46">
        <f>IF(AB328-AA328*(B329-B328)&gt;0, L328-Y328*(B329-B328)*3600-AD329*Model!$B$16, 0)</f>
        <v>940.5076408193778</v>
      </c>
      <c r="M329" s="57">
        <f t="shared" si="102"/>
        <v>33.987488169673099</v>
      </c>
      <c r="N329" s="57">
        <f>Model!$B$13*I329*K329/(Model!$B$13*I329-L329*287*K329)</f>
        <v>306.9874881696731</v>
      </c>
      <c r="O329" s="57">
        <f t="shared" si="103"/>
        <v>280.44936908483658</v>
      </c>
      <c r="P329" s="57">
        <f t="shared" si="104"/>
        <v>7.4496507749773944</v>
      </c>
      <c r="Q329" s="63">
        <f t="shared" si="105"/>
        <v>2.4528905205023398E-2</v>
      </c>
      <c r="R329" s="17">
        <f t="shared" si="106"/>
        <v>1.4374734384823003E-5</v>
      </c>
      <c r="S329" s="46">
        <f>0.37*Model!$B$10*(Q329^2*(N329-K329)*I329/(R329*O329^2))^0.33333*(N329-K329)</f>
        <v>335843.02014277852</v>
      </c>
      <c r="T329" s="51">
        <f>Model!$B$32+(90-Model!$B$6)*SIN(RADIANS(-15*(E329+6)))</f>
        <v>-10.073291714204313</v>
      </c>
      <c r="U329" s="46">
        <f t="shared" si="107"/>
        <v>0</v>
      </c>
      <c r="V329" s="51">
        <f t="shared" si="108"/>
        <v>99999</v>
      </c>
      <c r="W329" s="46">
        <f t="shared" si="109"/>
        <v>4.2253521126760563E-2</v>
      </c>
      <c r="X329" s="46">
        <f>0.3*W329*Model!$B$9</f>
        <v>3.8275201289827652</v>
      </c>
      <c r="Y329" s="17">
        <f>(S329-X329)/Model!$B$11</f>
        <v>7.2045305721902724E-3</v>
      </c>
      <c r="Z329" s="46">
        <f t="shared" si="110"/>
        <v>1.139675354085237E-3</v>
      </c>
      <c r="AA329" s="57">
        <f>Y329/Model!$B$12*3600</f>
        <v>46.645942286560825</v>
      </c>
      <c r="AB329" s="51">
        <f t="shared" si="116"/>
        <v>556.64338981048741</v>
      </c>
      <c r="AC329" s="51">
        <f t="shared" si="111"/>
        <v>1243.3566101895126</v>
      </c>
      <c r="AD329" s="13">
        <f>IF(AE329=0, Model!$B$19, 0 )</f>
        <v>0</v>
      </c>
      <c r="AE329" s="51">
        <f>IF(AE328+AB328-AB329&lt;Model!$B$19*Model!$B$18, AE328+AB328-AB329,  0)</f>
        <v>337.17831584712485</v>
      </c>
      <c r="AF329" s="13">
        <f t="shared" si="112"/>
        <v>16.350000000000097</v>
      </c>
      <c r="AG329" s="50">
        <f t="shared" si="113"/>
        <v>0</v>
      </c>
    </row>
    <row r="330" spans="2:33" x14ac:dyDescent="0.25">
      <c r="B330" s="15">
        <f t="shared" si="114"/>
        <v>16.400000000000098</v>
      </c>
      <c r="C330" s="15">
        <f>B330+Model!$B$4</f>
        <v>18.400000000000098</v>
      </c>
      <c r="D330" s="15">
        <f t="shared" si="115"/>
        <v>1</v>
      </c>
      <c r="E330" s="15">
        <f t="shared" si="95"/>
        <v>18.400000000000098</v>
      </c>
      <c r="F330" s="16">
        <f>IF(AB330&gt;0, VLOOKUP(B330,Model!$A$40:$B$60, 2), 0)</f>
        <v>300</v>
      </c>
      <c r="G330" s="15">
        <f>IF(AB330&gt;0, VLOOKUP(B330,Model!$A$39:$C$58, 3), 0)</f>
        <v>1</v>
      </c>
      <c r="H330" s="15">
        <f t="shared" si="100"/>
        <v>97</v>
      </c>
      <c r="I330" s="45">
        <f>Model!$B$21*EXP((-0.029*9.81*F330)/(8.31*(273+J330)))</f>
        <v>100357.4491247143</v>
      </c>
      <c r="J330" s="15">
        <f>IF(Model!$B$31="Summer",  IF(F330&lt;=2000,  Model!$B$20-Model!$B$35*F330/1000,  IF(F330&lt;Model!$B$36,  Model!$B$33-6.5*F330/1000,  Model!$B$38)),     IF(F330&lt;=2000,  Model!$B$20-Model!$B$35*F330/1000,  IF(F330&lt;Model!$B$36,  Model!$B$33-5.4*F330/1000,   Model!$B$38)))</f>
        <v>-19.088750000000001</v>
      </c>
      <c r="K330" s="15">
        <f t="shared" si="101"/>
        <v>253.91125</v>
      </c>
      <c r="L330" s="45">
        <f>IF(AB329-AA329*(B330-B329)&gt;0, L329-Y329*(B330-B329)*3600-AD330*Model!$B$16, 0)</f>
        <v>939.21082531638353</v>
      </c>
      <c r="M330" s="56">
        <f t="shared" si="102"/>
        <v>33.899031705718073</v>
      </c>
      <c r="N330" s="56">
        <f>Model!$B$13*I330*K330/(Model!$B$13*I330-L330*287*K330)</f>
        <v>306.89903170571807</v>
      </c>
      <c r="O330" s="56">
        <f t="shared" si="103"/>
        <v>280.40514085285906</v>
      </c>
      <c r="P330" s="56">
        <f t="shared" si="104"/>
        <v>7.4054225429998812</v>
      </c>
      <c r="Q330" s="62">
        <f t="shared" si="105"/>
        <v>2.4525765000552993E-2</v>
      </c>
      <c r="R330" s="33">
        <f t="shared" si="106"/>
        <v>1.4370134648697341E-5</v>
      </c>
      <c r="S330" s="45">
        <f>0.37*Model!$B$10*(Q330^2*(N330-K330)*I330/(R330*O330^2))^0.33333*(N330-K330)</f>
        <v>335139.32735386078</v>
      </c>
      <c r="T330" s="50">
        <f>Model!$B$32+(90-Model!$B$6)*SIN(RADIANS(-15*(E330+6)))</f>
        <v>-10.529231275353103</v>
      </c>
      <c r="U330" s="45">
        <f t="shared" si="107"/>
        <v>0</v>
      </c>
      <c r="V330" s="50">
        <f t="shared" si="108"/>
        <v>99999</v>
      </c>
      <c r="W330" s="45">
        <f t="shared" si="109"/>
        <v>4.2253521126760563E-2</v>
      </c>
      <c r="X330" s="45">
        <f>0.3*W330*Model!$B$9</f>
        <v>3.8275201289827652</v>
      </c>
      <c r="Y330" s="33">
        <f>(S330-X330)/Model!$B$11</f>
        <v>7.189434727742825E-3</v>
      </c>
      <c r="Z330" s="45">
        <f t="shared" si="110"/>
        <v>1.1420683329537848E-3</v>
      </c>
      <c r="AA330" s="56">
        <f>Y330/Model!$B$12*3600</f>
        <v>46.548203803559502</v>
      </c>
      <c r="AB330" s="50">
        <f t="shared" si="116"/>
        <v>554.31109269615933</v>
      </c>
      <c r="AC330" s="50">
        <f t="shared" si="111"/>
        <v>1245.6889073038406</v>
      </c>
      <c r="AD330" s="15">
        <f>IF(AE330=0, Model!$B$19, 0 )</f>
        <v>0</v>
      </c>
      <c r="AE330" s="50">
        <f>IF(AE329+AB329-AB330&lt;Model!$B$19*Model!$B$18, AE329+AB329-AB330,  0)</f>
        <v>339.51061296145292</v>
      </c>
      <c r="AF330" s="15">
        <f t="shared" si="112"/>
        <v>16.400000000000098</v>
      </c>
      <c r="AG330" s="50">
        <f t="shared" si="113"/>
        <v>0</v>
      </c>
    </row>
    <row r="331" spans="2:33" x14ac:dyDescent="0.25">
      <c r="B331" s="13">
        <f t="shared" si="114"/>
        <v>16.450000000000099</v>
      </c>
      <c r="C331" s="13">
        <f>B331+Model!$B$4</f>
        <v>18.450000000000099</v>
      </c>
      <c r="D331" s="13">
        <f t="shared" si="115"/>
        <v>1</v>
      </c>
      <c r="E331" s="13">
        <f t="shared" si="95"/>
        <v>18.450000000000099</v>
      </c>
      <c r="F331" s="14">
        <f>IF(AB331&gt;0, VLOOKUP(B331,Model!$A$40:$B$60, 2), 0)</f>
        <v>300</v>
      </c>
      <c r="G331" s="13">
        <f>IF(AB331&gt;0, VLOOKUP(B331,Model!$A$39:$C$58, 3), 0)</f>
        <v>1</v>
      </c>
      <c r="H331" s="13">
        <f t="shared" si="100"/>
        <v>97</v>
      </c>
      <c r="I331" s="46">
        <f>Model!$B$21*EXP((-0.029*9.81*F331)/(8.31*(273+J331)))</f>
        <v>100357.4491247143</v>
      </c>
      <c r="J331" s="13">
        <f>IF(Model!$B$31="Summer",  IF(F331&lt;=2000,  Model!$B$20-Model!$B$35*F331/1000,  IF(F331&lt;Model!$B$36,  Model!$B$33-6.5*F331/1000,  Model!$B$38)),     IF(F331&lt;=2000,  Model!$B$20-Model!$B$35*F331/1000,  IF(F331&lt;Model!$B$36,  Model!$B$33-5.4*F331/1000,   Model!$B$38)))</f>
        <v>-19.088750000000001</v>
      </c>
      <c r="K331" s="13">
        <f t="shared" si="101"/>
        <v>253.91125</v>
      </c>
      <c r="L331" s="46">
        <f>IF(AB330-AA330*(B331-B330)&gt;0, L330-Y330*(B331-B330)*3600-AD331*Model!$B$16, 0)</f>
        <v>937.91672706538986</v>
      </c>
      <c r="M331" s="57">
        <f t="shared" si="102"/>
        <v>33.810811388548643</v>
      </c>
      <c r="N331" s="57">
        <f>Model!$B$13*I331*K331/(Model!$B$13*I331-L331*287*K331)</f>
        <v>306.81081138854864</v>
      </c>
      <c r="O331" s="57">
        <f t="shared" si="103"/>
        <v>280.36103069427429</v>
      </c>
      <c r="P331" s="57">
        <f t="shared" si="104"/>
        <v>7.3613123844151662</v>
      </c>
      <c r="Q331" s="63">
        <f t="shared" si="105"/>
        <v>2.4522633179293474E-2</v>
      </c>
      <c r="R331" s="17">
        <f t="shared" si="106"/>
        <v>1.4365547192204525E-5</v>
      </c>
      <c r="S331" s="46">
        <f>0.37*Model!$B$10*(Q331^2*(N331-K331)*I331/(R331*O331^2))^0.33333*(N331-K331)</f>
        <v>334437.75727149827</v>
      </c>
      <c r="T331" s="51">
        <f>Model!$B$32+(90-Model!$B$6)*SIN(RADIANS(-15*(E331+6)))</f>
        <v>-10.984543972009519</v>
      </c>
      <c r="U331" s="46">
        <f t="shared" si="107"/>
        <v>0</v>
      </c>
      <c r="V331" s="51">
        <f t="shared" si="108"/>
        <v>99999</v>
      </c>
      <c r="W331" s="46">
        <f t="shared" si="109"/>
        <v>4.2253521126760563E-2</v>
      </c>
      <c r="X331" s="46">
        <f>0.3*W331*Model!$B$9</f>
        <v>3.8275201289827652</v>
      </c>
      <c r="Y331" s="17">
        <f>(S331-X331)/Model!$B$11</f>
        <v>7.1743844202803667E-3</v>
      </c>
      <c r="Z331" s="46">
        <f t="shared" si="110"/>
        <v>1.1444641179899928E-3</v>
      </c>
      <c r="AA331" s="57">
        <f>Y331/Model!$B$12*3600</f>
        <v>46.450760151089106</v>
      </c>
      <c r="AB331" s="51">
        <f t="shared" si="116"/>
        <v>551.98368250598128</v>
      </c>
      <c r="AC331" s="51">
        <f t="shared" si="111"/>
        <v>1248.0163174940187</v>
      </c>
      <c r="AD331" s="13">
        <f>IF(AE331=0, Model!$B$19, 0 )</f>
        <v>0</v>
      </c>
      <c r="AE331" s="51">
        <f>IF(AE330+AB330-AB331&lt;Model!$B$19*Model!$B$18, AE330+AB330-AB331,  0)</f>
        <v>341.83802315163098</v>
      </c>
      <c r="AF331" s="13">
        <f t="shared" si="112"/>
        <v>16.450000000000099</v>
      </c>
      <c r="AG331" s="50">
        <f t="shared" si="113"/>
        <v>0</v>
      </c>
    </row>
    <row r="332" spans="2:33" x14ac:dyDescent="0.25">
      <c r="B332" s="15">
        <f t="shared" si="114"/>
        <v>16.500000000000099</v>
      </c>
      <c r="C332" s="15">
        <f>B332+Model!$B$4</f>
        <v>18.500000000000099</v>
      </c>
      <c r="D332" s="15">
        <f t="shared" si="115"/>
        <v>1</v>
      </c>
      <c r="E332" s="15">
        <f t="shared" si="95"/>
        <v>18.500000000000099</v>
      </c>
      <c r="F332" s="16">
        <f>IF(AB332&gt;0, VLOOKUP(B332,Model!$A$40:$B$60, 2), 0)</f>
        <v>300</v>
      </c>
      <c r="G332" s="15">
        <f>IF(AB332&gt;0, VLOOKUP(B332,Model!$A$39:$C$58, 3), 0)</f>
        <v>1</v>
      </c>
      <c r="H332" s="15">
        <f t="shared" si="100"/>
        <v>97</v>
      </c>
      <c r="I332" s="45">
        <f>Model!$B$21*EXP((-0.029*9.81*F332)/(8.31*(273+J332)))</f>
        <v>100357.4491247143</v>
      </c>
      <c r="J332" s="15">
        <f>IF(Model!$B$31="Summer",  IF(F332&lt;=2000,  Model!$B$20-Model!$B$35*F332/1000,  IF(F332&lt;Model!$B$36,  Model!$B$33-6.5*F332/1000,  Model!$B$38)),     IF(F332&lt;=2000,  Model!$B$20-Model!$B$35*F332/1000,  IF(F332&lt;Model!$B$36,  Model!$B$33-5.4*F332/1000,   Model!$B$38)))</f>
        <v>-19.088750000000001</v>
      </c>
      <c r="K332" s="15">
        <f t="shared" si="101"/>
        <v>253.91125</v>
      </c>
      <c r="L332" s="45">
        <f>IF(AB331-AA331*(B332-B331)&gt;0, L331-Y331*(B332-B331)*3600-AD332*Model!$B$16, 0)</f>
        <v>936.62533786973938</v>
      </c>
      <c r="M332" s="56">
        <f t="shared" si="102"/>
        <v>33.72282629658298</v>
      </c>
      <c r="N332" s="56">
        <f>Model!$B$13*I332*K332/(Model!$B$13*I332-L332*287*K332)</f>
        <v>306.72282629658298</v>
      </c>
      <c r="O332" s="56">
        <f t="shared" si="103"/>
        <v>280.31703814829149</v>
      </c>
      <c r="P332" s="56">
        <f t="shared" si="104"/>
        <v>7.3173198384323346</v>
      </c>
      <c r="Q332" s="62">
        <f t="shared" si="105"/>
        <v>2.4519509708528696E-2</v>
      </c>
      <c r="R332" s="33">
        <f t="shared" si="106"/>
        <v>1.4360971967422314E-5</v>
      </c>
      <c r="S332" s="45">
        <f>0.37*Model!$B$10*(Q332^2*(N332-K332)*I332/(R332*O332^2))^0.33333*(N332-K332)</f>
        <v>333738.3011162061</v>
      </c>
      <c r="T332" s="50">
        <f>Model!$B$32+(90-Model!$B$6)*SIN(RADIANS(-15*(E332+6)))</f>
        <v>-11.439151788687008</v>
      </c>
      <c r="U332" s="45">
        <f t="shared" si="107"/>
        <v>0</v>
      </c>
      <c r="V332" s="50">
        <f t="shared" si="108"/>
        <v>99999</v>
      </c>
      <c r="W332" s="45">
        <f t="shared" si="109"/>
        <v>4.2253521126760563E-2</v>
      </c>
      <c r="X332" s="45">
        <f>0.3*W332*Model!$B$9</f>
        <v>3.8275201289827652</v>
      </c>
      <c r="Y332" s="33">
        <f>(S332-X332)/Model!$B$11</f>
        <v>7.1593794614625578E-3</v>
      </c>
      <c r="Z332" s="45">
        <f t="shared" si="110"/>
        <v>1.1468627113464093E-3</v>
      </c>
      <c r="AA332" s="56">
        <f>Y332/Model!$B$12*3600</f>
        <v>46.353610109734653</v>
      </c>
      <c r="AB332" s="50">
        <f t="shared" si="116"/>
        <v>549.66114449842678</v>
      </c>
      <c r="AC332" s="50">
        <f t="shared" si="111"/>
        <v>1250.3388555015731</v>
      </c>
      <c r="AD332" s="15">
        <f>IF(AE332=0, Model!$B$19, 0 )</f>
        <v>0</v>
      </c>
      <c r="AE332" s="50">
        <f>IF(AE331+AB331-AB332&lt;Model!$B$19*Model!$B$18, AE331+AB331-AB332,  0)</f>
        <v>344.16056115918548</v>
      </c>
      <c r="AF332" s="15">
        <f t="shared" si="112"/>
        <v>16.500000000000099</v>
      </c>
      <c r="AG332" s="50">
        <f t="shared" si="113"/>
        <v>0</v>
      </c>
    </row>
    <row r="333" spans="2:33" x14ac:dyDescent="0.25">
      <c r="B333" s="13">
        <f t="shared" si="114"/>
        <v>16.5500000000001</v>
      </c>
      <c r="C333" s="13">
        <f>B333+Model!$B$4</f>
        <v>18.5500000000001</v>
      </c>
      <c r="D333" s="13">
        <f t="shared" si="115"/>
        <v>1</v>
      </c>
      <c r="E333" s="13">
        <f t="shared" si="95"/>
        <v>18.5500000000001</v>
      </c>
      <c r="F333" s="14">
        <f>IF(AB333&gt;0, VLOOKUP(B333,Model!$A$40:$B$60, 2), 0)</f>
        <v>300</v>
      </c>
      <c r="G333" s="13">
        <f>IF(AB333&gt;0, VLOOKUP(B333,Model!$A$39:$C$58, 3), 0)</f>
        <v>1</v>
      </c>
      <c r="H333" s="13">
        <f t="shared" si="100"/>
        <v>97</v>
      </c>
      <c r="I333" s="46">
        <f>Model!$B$21*EXP((-0.029*9.81*F333)/(8.31*(273+J333)))</f>
        <v>100357.4491247143</v>
      </c>
      <c r="J333" s="13">
        <f>IF(Model!$B$31="Summer",  IF(F333&lt;=2000,  Model!$B$20-Model!$B$35*F333/1000,  IF(F333&lt;Model!$B$36,  Model!$B$33-6.5*F333/1000,  Model!$B$38)),     IF(F333&lt;=2000,  Model!$B$20-Model!$B$35*F333/1000,  IF(F333&lt;Model!$B$36,  Model!$B$33-5.4*F333/1000,   Model!$B$38)))</f>
        <v>-19.088750000000001</v>
      </c>
      <c r="K333" s="13">
        <f t="shared" si="101"/>
        <v>253.91125</v>
      </c>
      <c r="L333" s="46">
        <f>IF(AB332-AA332*(B333-B332)&gt;0, L332-Y332*(B333-B332)*3600-AD333*Model!$B$16, 0)</f>
        <v>935.3366495666761</v>
      </c>
      <c r="M333" s="57">
        <f t="shared" si="102"/>
        <v>33.635075513094876</v>
      </c>
      <c r="N333" s="57">
        <f>Model!$B$13*I333*K333/(Model!$B$13*I333-L333*287*K333)</f>
        <v>306.63507551309488</v>
      </c>
      <c r="O333" s="57">
        <f t="shared" si="103"/>
        <v>280.27316275654744</v>
      </c>
      <c r="P333" s="57">
        <f t="shared" si="104"/>
        <v>7.2734444466882824</v>
      </c>
      <c r="Q333" s="63">
        <f t="shared" si="105"/>
        <v>2.4516394555714867E-2</v>
      </c>
      <c r="R333" s="17">
        <f t="shared" si="106"/>
        <v>1.4356408926680933E-5</v>
      </c>
      <c r="S333" s="46">
        <f>0.37*Model!$B$10*(Q333^2*(N333-K333)*I333/(R333*O333^2))^0.33333*(N333-K333)</f>
        <v>333040.95015594229</v>
      </c>
      <c r="T333" s="51">
        <f>Model!$B$32+(90-Model!$B$6)*SIN(RADIANS(-15*(E333+6)))</f>
        <v>-11.89297683067648</v>
      </c>
      <c r="U333" s="46">
        <f t="shared" si="107"/>
        <v>0</v>
      </c>
      <c r="V333" s="51">
        <f t="shared" si="108"/>
        <v>99999</v>
      </c>
      <c r="W333" s="46">
        <f t="shared" si="109"/>
        <v>4.2253521126760563E-2</v>
      </c>
      <c r="X333" s="46">
        <f>0.3*W333*Model!$B$9</f>
        <v>3.8275201289827652</v>
      </c>
      <c r="Y333" s="17">
        <f>(S333-X333)/Model!$B$11</f>
        <v>7.1444196639668198E-3</v>
      </c>
      <c r="Z333" s="46">
        <f t="shared" si="110"/>
        <v>1.1492641151757993E-3</v>
      </c>
      <c r="AA333" s="57">
        <f>Y333/Model!$B$12*3600</f>
        <v>46.256752466670655</v>
      </c>
      <c r="AB333" s="51">
        <f t="shared" si="116"/>
        <v>547.34346399293997</v>
      </c>
      <c r="AC333" s="51">
        <f t="shared" si="111"/>
        <v>1252.6565360070599</v>
      </c>
      <c r="AD333" s="13">
        <f>IF(AE333=0, Model!$B$19, 0 )</f>
        <v>0</v>
      </c>
      <c r="AE333" s="51">
        <f>IF(AE332+AB332-AB333&lt;Model!$B$19*Model!$B$18, AE332+AB332-AB333,  0)</f>
        <v>346.47824166467228</v>
      </c>
      <c r="AF333" s="13">
        <f t="shared" si="112"/>
        <v>16.5500000000001</v>
      </c>
      <c r="AG333" s="50">
        <f t="shared" si="113"/>
        <v>0</v>
      </c>
    </row>
    <row r="334" spans="2:33" x14ac:dyDescent="0.25">
      <c r="B334" s="15">
        <f t="shared" si="114"/>
        <v>16.600000000000101</v>
      </c>
      <c r="C334" s="15">
        <f>B334+Model!$B$4</f>
        <v>18.600000000000101</v>
      </c>
      <c r="D334" s="15">
        <f t="shared" si="115"/>
        <v>1</v>
      </c>
      <c r="E334" s="15">
        <f t="shared" si="95"/>
        <v>18.600000000000101</v>
      </c>
      <c r="F334" s="16">
        <f>IF(AB334&gt;0, VLOOKUP(B334,Model!$A$40:$B$60, 2), 0)</f>
        <v>300</v>
      </c>
      <c r="G334" s="15">
        <f>IF(AB334&gt;0, VLOOKUP(B334,Model!$A$39:$C$58, 3), 0)</f>
        <v>1</v>
      </c>
      <c r="H334" s="15">
        <f t="shared" si="100"/>
        <v>97</v>
      </c>
      <c r="I334" s="45">
        <f>Model!$B$21*EXP((-0.029*9.81*F334)/(8.31*(273+J334)))</f>
        <v>100357.4491247143</v>
      </c>
      <c r="J334" s="15">
        <f>IF(Model!$B$31="Summer",  IF(F334&lt;=2000,  Model!$B$20-Model!$B$35*F334/1000,  IF(F334&lt;Model!$B$36,  Model!$B$33-6.5*F334/1000,  Model!$B$38)),     IF(F334&lt;=2000,  Model!$B$20-Model!$B$35*F334/1000,  IF(F334&lt;Model!$B$36,  Model!$B$33-5.4*F334/1000,   Model!$B$38)))</f>
        <v>-19.088750000000001</v>
      </c>
      <c r="K334" s="15">
        <f t="shared" si="101"/>
        <v>253.91125</v>
      </c>
      <c r="L334" s="45">
        <f>IF(AB333-AA333*(B334-B333)&gt;0, L333-Y333*(B334-B333)*3600-AD334*Model!$B$16, 0)</f>
        <v>934.05065402716207</v>
      </c>
      <c r="M334" s="56">
        <f t="shared" si="102"/>
        <v>33.547558126181514</v>
      </c>
      <c r="N334" s="56">
        <f>Model!$B$13*I334*K334/(Model!$B$13*I334-L334*287*K334)</f>
        <v>306.54755812618151</v>
      </c>
      <c r="O334" s="56">
        <f t="shared" si="103"/>
        <v>280.22940406309078</v>
      </c>
      <c r="P334" s="56">
        <f t="shared" si="104"/>
        <v>7.2296857532316015</v>
      </c>
      <c r="Q334" s="62">
        <f t="shared" si="105"/>
        <v>2.4513287688479445E-2</v>
      </c>
      <c r="R334" s="33">
        <f t="shared" si="106"/>
        <v>1.435185802256144E-5</v>
      </c>
      <c r="S334" s="45">
        <f>0.37*Model!$B$10*(Q334^2*(N334-K334)*I334/(R334*O334^2))^0.33333*(N334-K334)</f>
        <v>332345.69570578926</v>
      </c>
      <c r="T334" s="50">
        <f>Model!$B$32+(90-Model!$B$6)*SIN(RADIANS(-15*(E334+6)))</f>
        <v>-12.345941337393317</v>
      </c>
      <c r="U334" s="45">
        <f t="shared" si="107"/>
        <v>0</v>
      </c>
      <c r="V334" s="50">
        <f t="shared" si="108"/>
        <v>99999</v>
      </c>
      <c r="W334" s="45">
        <f t="shared" si="109"/>
        <v>4.2253521126760563E-2</v>
      </c>
      <c r="X334" s="45">
        <f>0.3*W334*Model!$B$9</f>
        <v>3.8275201289827652</v>
      </c>
      <c r="Y334" s="33">
        <f>(S334-X334)/Model!$B$11</f>
        <v>7.1295048414815035E-3</v>
      </c>
      <c r="Z334" s="45">
        <f t="shared" si="110"/>
        <v>1.151668331631139E-3</v>
      </c>
      <c r="AA334" s="56">
        <f>Y334/Model!$B$12*3600</f>
        <v>46.160186015616951</v>
      </c>
      <c r="AB334" s="50">
        <f t="shared" si="116"/>
        <v>545.03062636960635</v>
      </c>
      <c r="AC334" s="50">
        <f t="shared" si="111"/>
        <v>1254.9693736303936</v>
      </c>
      <c r="AD334" s="15">
        <f>IF(AE334=0, Model!$B$19, 0 )</f>
        <v>0</v>
      </c>
      <c r="AE334" s="50">
        <f>IF(AE333+AB333-AB334&lt;Model!$B$19*Model!$B$18, AE333+AB333-AB334,  0)</f>
        <v>348.7910792880059</v>
      </c>
      <c r="AF334" s="15">
        <f t="shared" si="112"/>
        <v>16.600000000000101</v>
      </c>
      <c r="AG334" s="50">
        <f t="shared" si="113"/>
        <v>0</v>
      </c>
    </row>
    <row r="335" spans="2:33" x14ac:dyDescent="0.25">
      <c r="B335" s="13">
        <f t="shared" si="114"/>
        <v>16.650000000000102</v>
      </c>
      <c r="C335" s="13">
        <f>B335+Model!$B$4</f>
        <v>18.650000000000102</v>
      </c>
      <c r="D335" s="13">
        <f t="shared" si="115"/>
        <v>1</v>
      </c>
      <c r="E335" s="13">
        <f t="shared" si="95"/>
        <v>18.650000000000102</v>
      </c>
      <c r="F335" s="14">
        <f>IF(AB335&gt;0, VLOOKUP(B335,Model!$A$40:$B$60, 2), 0)</f>
        <v>300</v>
      </c>
      <c r="G335" s="13">
        <f>IF(AB335&gt;0, VLOOKUP(B335,Model!$A$39:$C$58, 3), 0)</f>
        <v>1</v>
      </c>
      <c r="H335" s="13">
        <f t="shared" si="100"/>
        <v>97</v>
      </c>
      <c r="I335" s="46">
        <f>Model!$B$21*EXP((-0.029*9.81*F335)/(8.31*(273+J335)))</f>
        <v>100357.4491247143</v>
      </c>
      <c r="J335" s="13">
        <f>IF(Model!$B$31="Summer",  IF(F335&lt;=2000,  Model!$B$20-Model!$B$35*F335/1000,  IF(F335&lt;Model!$B$36,  Model!$B$33-6.5*F335/1000,  Model!$B$38)),     IF(F335&lt;=2000,  Model!$B$20-Model!$B$35*F335/1000,  IF(F335&lt;Model!$B$36,  Model!$B$33-5.4*F335/1000,   Model!$B$38)))</f>
        <v>-19.088750000000001</v>
      </c>
      <c r="K335" s="13">
        <f t="shared" si="101"/>
        <v>253.91125</v>
      </c>
      <c r="L335" s="46">
        <f>IF(AB334-AA334*(B335-B334)&gt;0, L334-Y334*(B335-B334)*3600-AD335*Model!$B$16, 0)</f>
        <v>932.76734315569536</v>
      </c>
      <c r="M335" s="57">
        <f t="shared" si="102"/>
        <v>33.460273228731126</v>
      </c>
      <c r="N335" s="57">
        <f>Model!$B$13*I335*K335/(Model!$B$13*I335-L335*287*K335)</f>
        <v>306.46027322873113</v>
      </c>
      <c r="O335" s="57">
        <f t="shared" si="103"/>
        <v>280.18576161436556</v>
      </c>
      <c r="P335" s="57">
        <f t="shared" si="104"/>
        <v>7.1860433045064074</v>
      </c>
      <c r="Q335" s="63">
        <f t="shared" si="105"/>
        <v>2.4510189074619954E-2</v>
      </c>
      <c r="R335" s="17">
        <f t="shared" si="106"/>
        <v>1.4347319207894016E-5</v>
      </c>
      <c r="S335" s="46">
        <f>0.37*Model!$B$10*(Q335^2*(N335-K335)*I335/(R335*O335^2))^0.33333*(N335-K335)</f>
        <v>331652.52912763471</v>
      </c>
      <c r="T335" s="51">
        <f>Model!$B$32+(90-Model!$B$6)*SIN(RADIANS(-15*(E335+6)))</f>
        <v>-12.797967695701097</v>
      </c>
      <c r="U335" s="46">
        <f t="shared" si="107"/>
        <v>0</v>
      </c>
      <c r="V335" s="51">
        <f t="shared" si="108"/>
        <v>99999</v>
      </c>
      <c r="W335" s="46">
        <f t="shared" si="109"/>
        <v>4.2253521126760563E-2</v>
      </c>
      <c r="X335" s="46">
        <f>0.3*W335*Model!$B$9</f>
        <v>3.8275201289827652</v>
      </c>
      <c r="Y335" s="17">
        <f>(S335-X335)/Model!$B$11</f>
        <v>7.1146348086990399E-3</v>
      </c>
      <c r="Z335" s="46">
        <f t="shared" si="110"/>
        <v>1.1540753628656226E-3</v>
      </c>
      <c r="AA335" s="57">
        <f>Y335/Model!$B$12*3600</f>
        <v>46.063909556794286</v>
      </c>
      <c r="AB335" s="51">
        <f t="shared" si="116"/>
        <v>542.72261706882546</v>
      </c>
      <c r="AC335" s="51">
        <f t="shared" si="111"/>
        <v>1257.2773829311745</v>
      </c>
      <c r="AD335" s="13">
        <f>IF(AE335=0, Model!$B$19, 0 )</f>
        <v>0</v>
      </c>
      <c r="AE335" s="51">
        <f>IF(AE334+AB334-AB335&lt;Model!$B$19*Model!$B$18, AE334+AB334-AB335,  0)</f>
        <v>351.0990885887868</v>
      </c>
      <c r="AF335" s="13">
        <f t="shared" si="112"/>
        <v>16.650000000000102</v>
      </c>
      <c r="AG335" s="50">
        <f t="shared" si="113"/>
        <v>0</v>
      </c>
    </row>
    <row r="336" spans="2:33" x14ac:dyDescent="0.25">
      <c r="B336" s="15">
        <f t="shared" si="114"/>
        <v>16.700000000000102</v>
      </c>
      <c r="C336" s="15">
        <f>B336+Model!$B$4</f>
        <v>18.700000000000102</v>
      </c>
      <c r="D336" s="15">
        <f t="shared" si="115"/>
        <v>1</v>
      </c>
      <c r="E336" s="15">
        <f t="shared" si="95"/>
        <v>18.700000000000102</v>
      </c>
      <c r="F336" s="16">
        <f>IF(AB336&gt;0, VLOOKUP(B336,Model!$A$40:$B$60, 2), 0)</f>
        <v>300</v>
      </c>
      <c r="G336" s="15">
        <f>IF(AB336&gt;0, VLOOKUP(B336,Model!$A$39:$C$58, 3), 0)</f>
        <v>1</v>
      </c>
      <c r="H336" s="15">
        <f t="shared" si="100"/>
        <v>97</v>
      </c>
      <c r="I336" s="45">
        <f>Model!$B$21*EXP((-0.029*9.81*F336)/(8.31*(273+J336)))</f>
        <v>100357.4491247143</v>
      </c>
      <c r="J336" s="15">
        <f>IF(Model!$B$31="Summer",  IF(F336&lt;=2000,  Model!$B$20-Model!$B$35*F336/1000,  IF(F336&lt;Model!$B$36,  Model!$B$33-6.5*F336/1000,  Model!$B$38)),     IF(F336&lt;=2000,  Model!$B$20-Model!$B$35*F336/1000,  IF(F336&lt;Model!$B$36,  Model!$B$33-5.4*F336/1000,   Model!$B$38)))</f>
        <v>-19.088750000000001</v>
      </c>
      <c r="K336" s="15">
        <f t="shared" si="101"/>
        <v>253.91125</v>
      </c>
      <c r="L336" s="45">
        <f>IF(AB335-AA335*(B336-B335)&gt;0, L335-Y335*(B336-B335)*3600-AD336*Model!$B$16, 0)</f>
        <v>931.48670889012953</v>
      </c>
      <c r="M336" s="56">
        <f t="shared" si="102"/>
        <v>33.373219918391158</v>
      </c>
      <c r="N336" s="56">
        <f>Model!$B$13*I336*K336/(Model!$B$13*I336-L336*287*K336)</f>
        <v>306.37321991839116</v>
      </c>
      <c r="O336" s="56">
        <f t="shared" si="103"/>
        <v>280.14223495919555</v>
      </c>
      <c r="P336" s="56">
        <f t="shared" si="104"/>
        <v>7.1425166493364234</v>
      </c>
      <c r="Q336" s="62">
        <f t="shared" si="105"/>
        <v>2.4507098682102886E-2</v>
      </c>
      <c r="R336" s="33">
        <f t="shared" si="106"/>
        <v>1.4342792435756336E-5</v>
      </c>
      <c r="S336" s="45">
        <f>0.37*Model!$B$10*(Q336^2*(N336-K336)*I336/(R336*O336^2))^0.33333*(N336-K336)</f>
        <v>330961.44182985695</v>
      </c>
      <c r="T336" s="50">
        <f>Model!$B$32+(90-Model!$B$6)*SIN(RADIANS(-15*(E336+6)))</f>
        <v>-13.248978453210398</v>
      </c>
      <c r="U336" s="45">
        <f t="shared" si="107"/>
        <v>0</v>
      </c>
      <c r="V336" s="50">
        <f t="shared" si="108"/>
        <v>99999</v>
      </c>
      <c r="W336" s="45">
        <f t="shared" si="109"/>
        <v>4.2253521126760563E-2</v>
      </c>
      <c r="X336" s="45">
        <f>0.3*W336*Model!$B$9</f>
        <v>3.8275201289827652</v>
      </c>
      <c r="Y336" s="33">
        <f>(S336-X336)/Model!$B$11</f>
        <v>7.099809381309192E-3</v>
      </c>
      <c r="Z336" s="45">
        <f t="shared" si="110"/>
        <v>1.156485211032663E-3</v>
      </c>
      <c r="AA336" s="56">
        <f>Y336/Model!$B$12*3600</f>
        <v>45.967921896880704</v>
      </c>
      <c r="AB336" s="50">
        <f t="shared" si="116"/>
        <v>540.41942159098573</v>
      </c>
      <c r="AC336" s="50">
        <f t="shared" si="111"/>
        <v>1259.5805784090144</v>
      </c>
      <c r="AD336" s="15">
        <f>IF(AE336=0, Model!$B$19, 0 )</f>
        <v>0</v>
      </c>
      <c r="AE336" s="50">
        <f>IF(AE335+AB335-AB336&lt;Model!$B$19*Model!$B$18, AE335+AB335-AB336,  0)</f>
        <v>353.40228406662652</v>
      </c>
      <c r="AF336" s="15">
        <f t="shared" si="112"/>
        <v>16.700000000000102</v>
      </c>
      <c r="AG336" s="50">
        <f t="shared" si="113"/>
        <v>0</v>
      </c>
    </row>
    <row r="337" spans="2:33" x14ac:dyDescent="0.25">
      <c r="B337" s="13">
        <f t="shared" si="114"/>
        <v>16.750000000000103</v>
      </c>
      <c r="C337" s="13">
        <f>B337+Model!$B$4</f>
        <v>18.750000000000103</v>
      </c>
      <c r="D337" s="13">
        <f t="shared" si="115"/>
        <v>1</v>
      </c>
      <c r="E337" s="13">
        <f t="shared" si="95"/>
        <v>18.750000000000103</v>
      </c>
      <c r="F337" s="14">
        <f>IF(AB337&gt;0, VLOOKUP(B337,Model!$A$40:$B$60, 2), 0)</f>
        <v>300</v>
      </c>
      <c r="G337" s="13">
        <f>IF(AB337&gt;0, VLOOKUP(B337,Model!$A$39:$C$58, 3), 0)</f>
        <v>1</v>
      </c>
      <c r="H337" s="13">
        <f t="shared" si="100"/>
        <v>97</v>
      </c>
      <c r="I337" s="46">
        <f>Model!$B$21*EXP((-0.029*9.81*F337)/(8.31*(273+J337)))</f>
        <v>100357.4491247143</v>
      </c>
      <c r="J337" s="13">
        <f>IF(Model!$B$31="Summer",  IF(F337&lt;=2000,  Model!$B$20-Model!$B$35*F337/1000,  IF(F337&lt;Model!$B$36,  Model!$B$33-6.5*F337/1000,  Model!$B$38)),     IF(F337&lt;=2000,  Model!$B$20-Model!$B$35*F337/1000,  IF(F337&lt;Model!$B$36,  Model!$B$33-5.4*F337/1000,   Model!$B$38)))</f>
        <v>-19.088750000000001</v>
      </c>
      <c r="K337" s="13">
        <f t="shared" si="101"/>
        <v>253.91125</v>
      </c>
      <c r="L337" s="46">
        <f>IF(AB336-AA336*(B337-B336)&gt;0, L336-Y336*(B337-B336)*3600-AD337*Model!$B$16, 0)</f>
        <v>930.20874320149392</v>
      </c>
      <c r="M337" s="57">
        <f t="shared" si="102"/>
        <v>33.286397297536439</v>
      </c>
      <c r="N337" s="57">
        <f>Model!$B$13*I337*K337/(Model!$B$13*I337-L337*287*K337)</f>
        <v>306.28639729753644</v>
      </c>
      <c r="O337" s="57">
        <f t="shared" si="103"/>
        <v>280.09882364876819</v>
      </c>
      <c r="P337" s="57">
        <f t="shared" si="104"/>
        <v>7.0991053389090641</v>
      </c>
      <c r="Q337" s="63">
        <f t="shared" si="105"/>
        <v>2.4504016479062543E-2</v>
      </c>
      <c r="R337" s="17">
        <f t="shared" si="106"/>
        <v>1.433827765947189E-5</v>
      </c>
      <c r="S337" s="46">
        <f>0.37*Model!$B$10*(Q337^2*(N337-K337)*I337/(R337*O337^2))^0.33333*(N337-K337)</f>
        <v>330272.42526701052</v>
      </c>
      <c r="T337" s="51">
        <f>Model!$B$32+(90-Model!$B$6)*SIN(RADIANS(-15*(E337+6)))</f>
        <v>-13.698896331549726</v>
      </c>
      <c r="U337" s="46">
        <f t="shared" si="107"/>
        <v>0</v>
      </c>
      <c r="V337" s="51">
        <f t="shared" si="108"/>
        <v>99999</v>
      </c>
      <c r="W337" s="46">
        <f t="shared" si="109"/>
        <v>4.2253521126760563E-2</v>
      </c>
      <c r="X337" s="46">
        <f>0.3*W337*Model!$B$9</f>
        <v>3.8275201289827652</v>
      </c>
      <c r="Y337" s="17">
        <f>(S337-X337)/Model!$B$11</f>
        <v>7.0850283759923104E-3</v>
      </c>
      <c r="Z337" s="46">
        <f t="shared" si="110"/>
        <v>1.1588978782858987E-3</v>
      </c>
      <c r="AA337" s="57">
        <f>Y337/Model!$B$12*3600</f>
        <v>45.87222184896779</v>
      </c>
      <c r="AB337" s="51">
        <f t="shared" si="116"/>
        <v>538.12102549614167</v>
      </c>
      <c r="AC337" s="51">
        <f t="shared" si="111"/>
        <v>1261.8789745038584</v>
      </c>
      <c r="AD337" s="13">
        <f>IF(AE337=0, Model!$B$19, 0 )</f>
        <v>0</v>
      </c>
      <c r="AE337" s="51">
        <f>IF(AE336+AB336-AB337&lt;Model!$B$19*Model!$B$18, AE336+AB336-AB337,  0)</f>
        <v>355.70068016147059</v>
      </c>
      <c r="AF337" s="13">
        <f t="shared" si="112"/>
        <v>16.750000000000103</v>
      </c>
      <c r="AG337" s="50">
        <f t="shared" si="113"/>
        <v>0</v>
      </c>
    </row>
    <row r="338" spans="2:33" x14ac:dyDescent="0.25">
      <c r="B338" s="15">
        <f t="shared" si="114"/>
        <v>16.800000000000104</v>
      </c>
      <c r="C338" s="15">
        <f>B338+Model!$B$4</f>
        <v>18.800000000000104</v>
      </c>
      <c r="D338" s="15">
        <f t="shared" si="115"/>
        <v>1</v>
      </c>
      <c r="E338" s="15">
        <f t="shared" si="95"/>
        <v>18.800000000000104</v>
      </c>
      <c r="F338" s="16">
        <f>IF(AB338&gt;0, VLOOKUP(B338,Model!$A$40:$B$60, 2), 0)</f>
        <v>300</v>
      </c>
      <c r="G338" s="15">
        <f>IF(AB338&gt;0, VLOOKUP(B338,Model!$A$39:$C$58, 3), 0)</f>
        <v>1</v>
      </c>
      <c r="H338" s="15">
        <f t="shared" si="100"/>
        <v>97</v>
      </c>
      <c r="I338" s="45">
        <f>Model!$B$21*EXP((-0.029*9.81*F338)/(8.31*(273+J338)))</f>
        <v>100357.4491247143</v>
      </c>
      <c r="J338" s="15">
        <f>IF(Model!$B$31="Summer",  IF(F338&lt;=2000,  Model!$B$20-Model!$B$35*F338/1000,  IF(F338&lt;Model!$B$36,  Model!$B$33-6.5*F338/1000,  Model!$B$38)),     IF(F338&lt;=2000,  Model!$B$20-Model!$B$35*F338/1000,  IF(F338&lt;Model!$B$36,  Model!$B$33-5.4*F338/1000,   Model!$B$38)))</f>
        <v>-19.088750000000001</v>
      </c>
      <c r="K338" s="15">
        <f t="shared" si="101"/>
        <v>253.91125</v>
      </c>
      <c r="L338" s="45">
        <f>IF(AB337-AA337*(B338-B337)&gt;0, L337-Y337*(B338-B337)*3600-AD338*Model!$B$16, 0)</f>
        <v>928.93343809381531</v>
      </c>
      <c r="M338" s="56">
        <f t="shared" si="102"/>
        <v>33.199804473237805</v>
      </c>
      <c r="N338" s="56">
        <f>Model!$B$13*I338*K338/(Model!$B$13*I338-L338*287*K338)</f>
        <v>306.1998044732378</v>
      </c>
      <c r="O338" s="56">
        <f t="shared" si="103"/>
        <v>280.0555272366189</v>
      </c>
      <c r="P338" s="56">
        <f t="shared" si="104"/>
        <v>7.055808926759747</v>
      </c>
      <c r="Q338" s="62">
        <f t="shared" si="105"/>
        <v>2.4500942433799942E-2</v>
      </c>
      <c r="R338" s="33">
        <f t="shared" si="106"/>
        <v>1.4333774832608365E-5</v>
      </c>
      <c r="S338" s="45">
        <f>0.37*Model!$B$10*(Q338^2*(N338-K338)*I338/(R338*O338^2))^0.33333*(N338-K338)</f>
        <v>329585.47093951743</v>
      </c>
      <c r="T338" s="50">
        <f>Model!$B$32+(90-Model!$B$6)*SIN(RADIANS(-15*(E338+6)))</f>
        <v>-14.147644239606812</v>
      </c>
      <c r="U338" s="45">
        <f t="shared" si="107"/>
        <v>0</v>
      </c>
      <c r="V338" s="50">
        <f t="shared" si="108"/>
        <v>99999</v>
      </c>
      <c r="W338" s="45">
        <f t="shared" si="109"/>
        <v>4.2253521126760563E-2</v>
      </c>
      <c r="X338" s="45">
        <f>0.3*W338*Model!$B$9</f>
        <v>3.8275201289827652</v>
      </c>
      <c r="Y338" s="33">
        <f>(S338-X338)/Model!$B$11</f>
        <v>7.0702916104127093E-3</v>
      </c>
      <c r="Z338" s="45">
        <f t="shared" si="110"/>
        <v>1.1613133667791921E-3</v>
      </c>
      <c r="AA338" s="56">
        <f>Y338/Model!$B$12*3600</f>
        <v>45.77680823251788</v>
      </c>
      <c r="AB338" s="50">
        <f t="shared" si="116"/>
        <v>535.8274144036933</v>
      </c>
      <c r="AC338" s="50">
        <f t="shared" si="111"/>
        <v>1264.1725855963068</v>
      </c>
      <c r="AD338" s="15">
        <f>IF(AE338=0, Model!$B$19, 0 )</f>
        <v>0</v>
      </c>
      <c r="AE338" s="50">
        <f>IF(AE337+AB337-AB338&lt;Model!$B$19*Model!$B$18, AE337+AB337-AB338,  0)</f>
        <v>357.99429125391896</v>
      </c>
      <c r="AF338" s="15">
        <f t="shared" si="112"/>
        <v>16.800000000000104</v>
      </c>
      <c r="AG338" s="50">
        <f t="shared" si="113"/>
        <v>0</v>
      </c>
    </row>
    <row r="339" spans="2:33" x14ac:dyDescent="0.25">
      <c r="B339" s="13">
        <f t="shared" si="114"/>
        <v>16.850000000000104</v>
      </c>
      <c r="C339" s="13">
        <f>B339+Model!$B$4</f>
        <v>18.850000000000104</v>
      </c>
      <c r="D339" s="13">
        <f t="shared" si="115"/>
        <v>1</v>
      </c>
      <c r="E339" s="13">
        <f t="shared" si="95"/>
        <v>18.850000000000104</v>
      </c>
      <c r="F339" s="14">
        <f>IF(AB339&gt;0, VLOOKUP(B339,Model!$A$40:$B$60, 2), 0)</f>
        <v>300</v>
      </c>
      <c r="G339" s="13">
        <f>IF(AB339&gt;0, VLOOKUP(B339,Model!$A$39:$C$58, 3), 0)</f>
        <v>1</v>
      </c>
      <c r="H339" s="13">
        <f t="shared" si="100"/>
        <v>97</v>
      </c>
      <c r="I339" s="46">
        <f>Model!$B$21*EXP((-0.029*9.81*F339)/(8.31*(273+J339)))</f>
        <v>100357.4491247143</v>
      </c>
      <c r="J339" s="13">
        <f>IF(Model!$B$31="Summer",  IF(F339&lt;=2000,  Model!$B$20-Model!$B$35*F339/1000,  IF(F339&lt;Model!$B$36,  Model!$B$33-6.5*F339/1000,  Model!$B$38)),     IF(F339&lt;=2000,  Model!$B$20-Model!$B$35*F339/1000,  IF(F339&lt;Model!$B$36,  Model!$B$33-5.4*F339/1000,   Model!$B$38)))</f>
        <v>-19.088750000000001</v>
      </c>
      <c r="K339" s="13">
        <f t="shared" si="101"/>
        <v>253.91125</v>
      </c>
      <c r="L339" s="46">
        <f>IF(AB338-AA338*(B339-B338)&gt;0, L338-Y338*(B339-B338)*3600-AD339*Model!$B$16, 0)</f>
        <v>927.66078560394101</v>
      </c>
      <c r="M339" s="57">
        <f t="shared" si="102"/>
        <v>33.113440557230774</v>
      </c>
      <c r="N339" s="57">
        <f>Model!$B$13*I339*K339/(Model!$B$13*I339-L339*287*K339)</f>
        <v>306.11344055723077</v>
      </c>
      <c r="O339" s="57">
        <f t="shared" si="103"/>
        <v>280.01234527861538</v>
      </c>
      <c r="P339" s="57">
        <f t="shared" si="104"/>
        <v>7.0126269687562317</v>
      </c>
      <c r="Q339" s="63">
        <f t="shared" si="105"/>
        <v>2.4497876514781691E-2</v>
      </c>
      <c r="R339" s="17">
        <f t="shared" si="106"/>
        <v>1.4329283908975999E-5</v>
      </c>
      <c r="S339" s="46">
        <f>0.37*Model!$B$10*(Q339^2*(N339-K339)*I339/(R339*O339^2))^0.33333*(N339-K339)</f>
        <v>328900.57039335708</v>
      </c>
      <c r="T339" s="51">
        <f>Model!$B$32+(90-Model!$B$6)*SIN(RADIANS(-15*(E339+6)))</f>
        <v>-14.595145286737806</v>
      </c>
      <c r="U339" s="46">
        <f t="shared" si="107"/>
        <v>0</v>
      </c>
      <c r="V339" s="51">
        <f t="shared" si="108"/>
        <v>99999</v>
      </c>
      <c r="W339" s="46">
        <f t="shared" si="109"/>
        <v>4.2253521126760563E-2</v>
      </c>
      <c r="X339" s="46">
        <f>0.3*W339*Model!$B$9</f>
        <v>3.8275201289827652</v>
      </c>
      <c r="Y339" s="17">
        <f>(S339-X339)/Model!$B$11</f>
        <v>7.0555989032120153E-3</v>
      </c>
      <c r="Z339" s="46">
        <f t="shared" si="110"/>
        <v>1.163731678666639E-3</v>
      </c>
      <c r="AA339" s="57">
        <f>Y339/Model!$B$12*3600</f>
        <v>45.681679873320903</v>
      </c>
      <c r="AB339" s="51">
        <f t="shared" si="116"/>
        <v>533.53857399206731</v>
      </c>
      <c r="AC339" s="51">
        <f t="shared" si="111"/>
        <v>1266.4614260079327</v>
      </c>
      <c r="AD339" s="13">
        <f>IF(AE339=0, Model!$B$19, 0 )</f>
        <v>0</v>
      </c>
      <c r="AE339" s="51">
        <f>IF(AE338+AB338-AB339&lt;Model!$B$19*Model!$B$18, AE338+AB338-AB339,  0)</f>
        <v>360.28313166554494</v>
      </c>
      <c r="AF339" s="13">
        <f t="shared" si="112"/>
        <v>16.850000000000104</v>
      </c>
      <c r="AG339" s="50">
        <f t="shared" si="113"/>
        <v>0</v>
      </c>
    </row>
    <row r="340" spans="2:33" x14ac:dyDescent="0.25">
      <c r="B340" s="15">
        <f t="shared" si="114"/>
        <v>16.900000000000105</v>
      </c>
      <c r="C340" s="15">
        <f>B340+Model!$B$4</f>
        <v>18.900000000000105</v>
      </c>
      <c r="D340" s="15">
        <f t="shared" si="115"/>
        <v>1</v>
      </c>
      <c r="E340" s="15">
        <f t="shared" si="95"/>
        <v>18.900000000000105</v>
      </c>
      <c r="F340" s="16">
        <f>IF(AB340&gt;0, VLOOKUP(B340,Model!$A$40:$B$60, 2), 0)</f>
        <v>300</v>
      </c>
      <c r="G340" s="15">
        <f>IF(AB340&gt;0, VLOOKUP(B340,Model!$A$39:$C$58, 3), 0)</f>
        <v>1</v>
      </c>
      <c r="H340" s="15">
        <f t="shared" si="100"/>
        <v>97</v>
      </c>
      <c r="I340" s="45">
        <f>Model!$B$21*EXP((-0.029*9.81*F340)/(8.31*(273+J340)))</f>
        <v>100357.4491247143</v>
      </c>
      <c r="J340" s="15">
        <f>IF(Model!$B$31="Summer",  IF(F340&lt;=2000,  Model!$B$20-Model!$B$35*F340/1000,  IF(F340&lt;Model!$B$36,  Model!$B$33-6.5*F340/1000,  Model!$B$38)),     IF(F340&lt;=2000,  Model!$B$20-Model!$B$35*F340/1000,  IF(F340&lt;Model!$B$36,  Model!$B$33-5.4*F340/1000,   Model!$B$38)))</f>
        <v>-19.088750000000001</v>
      </c>
      <c r="K340" s="15">
        <f t="shared" si="101"/>
        <v>253.91125</v>
      </c>
      <c r="L340" s="45">
        <f>IF(AB339-AA339*(B340-B339)&gt;0, L339-Y339*(B340-B339)*3600-AD340*Model!$B$16, 0)</f>
        <v>926.39077780136279</v>
      </c>
      <c r="M340" s="56">
        <f t="shared" si="102"/>
        <v>33.027304665884913</v>
      </c>
      <c r="N340" s="56">
        <f>Model!$B$13*I340*K340/(Model!$B$13*I340-L340*287*K340)</f>
        <v>306.02730466588491</v>
      </c>
      <c r="O340" s="56">
        <f t="shared" si="103"/>
        <v>279.96927733294245</v>
      </c>
      <c r="P340" s="56">
        <f t="shared" si="104"/>
        <v>6.9695590230833009</v>
      </c>
      <c r="Q340" s="62">
        <f t="shared" si="105"/>
        <v>2.4494818690638916E-2</v>
      </c>
      <c r="R340" s="33">
        <f t="shared" si="106"/>
        <v>1.4324804842626014E-5</v>
      </c>
      <c r="S340" s="45">
        <f>0.37*Model!$B$10*(Q340^2*(N340-K340)*I340/(R340*O340^2))^0.33333*(N340-K340)</f>
        <v>328217.7152197641</v>
      </c>
      <c r="T340" s="50">
        <f>Model!$B$32+(90-Model!$B$6)*SIN(RADIANS(-15*(E340+6)))</f>
        <v>-15.041322795941957</v>
      </c>
      <c r="U340" s="45">
        <f t="shared" si="107"/>
        <v>0</v>
      </c>
      <c r="V340" s="50">
        <f t="shared" si="108"/>
        <v>99999</v>
      </c>
      <c r="W340" s="45">
        <f t="shared" si="109"/>
        <v>4.2253521126760563E-2</v>
      </c>
      <c r="X340" s="45">
        <f>0.3*W340*Model!$B$9</f>
        <v>3.8275201289827652</v>
      </c>
      <c r="Y340" s="33">
        <f>(S340-X340)/Model!$B$11</f>
        <v>7.040950074002684E-3</v>
      </c>
      <c r="Z340" s="45">
        <f t="shared" si="110"/>
        <v>1.1661528161025618E-3</v>
      </c>
      <c r="AA340" s="56">
        <f>Y340/Model!$B$12*3600</f>
        <v>45.586835603452478</v>
      </c>
      <c r="AB340" s="50">
        <f t="shared" si="116"/>
        <v>531.25448999840125</v>
      </c>
      <c r="AC340" s="50">
        <f t="shared" si="111"/>
        <v>1268.7455100015986</v>
      </c>
      <c r="AD340" s="15">
        <f>IF(AE340=0, Model!$B$19, 0 )</f>
        <v>0</v>
      </c>
      <c r="AE340" s="50">
        <f>IF(AE339+AB339-AB340&lt;Model!$B$19*Model!$B$18, AE339+AB339-AB340,  0)</f>
        <v>362.567215659211</v>
      </c>
      <c r="AF340" s="15">
        <f t="shared" si="112"/>
        <v>16.900000000000105</v>
      </c>
      <c r="AG340" s="50">
        <f t="shared" si="113"/>
        <v>0</v>
      </c>
    </row>
    <row r="341" spans="2:33" x14ac:dyDescent="0.25">
      <c r="B341" s="13">
        <f t="shared" si="114"/>
        <v>16.950000000000106</v>
      </c>
      <c r="C341" s="13">
        <f>B341+Model!$B$4</f>
        <v>18.950000000000106</v>
      </c>
      <c r="D341" s="13">
        <f t="shared" si="115"/>
        <v>1</v>
      </c>
      <c r="E341" s="13">
        <f t="shared" si="95"/>
        <v>18.950000000000106</v>
      </c>
      <c r="F341" s="14">
        <f>IF(AB341&gt;0, VLOOKUP(B341,Model!$A$40:$B$60, 2), 0)</f>
        <v>300</v>
      </c>
      <c r="G341" s="13">
        <f>IF(AB341&gt;0, VLOOKUP(B341,Model!$A$39:$C$58, 3), 0)</f>
        <v>1</v>
      </c>
      <c r="H341" s="13">
        <f t="shared" si="100"/>
        <v>97</v>
      </c>
      <c r="I341" s="46">
        <f>Model!$B$21*EXP((-0.029*9.81*F341)/(8.31*(273+J341)))</f>
        <v>100357.4491247143</v>
      </c>
      <c r="J341" s="13">
        <f>IF(Model!$B$31="Summer",  IF(F341&lt;=2000,  Model!$B$20-Model!$B$35*F341/1000,  IF(F341&lt;Model!$B$36,  Model!$B$33-6.5*F341/1000,  Model!$B$38)),     IF(F341&lt;=2000,  Model!$B$20-Model!$B$35*F341/1000,  IF(F341&lt;Model!$B$36,  Model!$B$33-5.4*F341/1000,   Model!$B$38)))</f>
        <v>-19.088750000000001</v>
      </c>
      <c r="K341" s="13">
        <f t="shared" si="101"/>
        <v>253.91125</v>
      </c>
      <c r="L341" s="46">
        <f>IF(AB340-AA340*(B341-B340)&gt;0, L340-Y340*(B341-B340)*3600-AD341*Model!$B$16, 0)</f>
        <v>925.1234067880423</v>
      </c>
      <c r="M341" s="57">
        <f t="shared" si="102"/>
        <v>32.941395920172738</v>
      </c>
      <c r="N341" s="57">
        <f>Model!$B$13*I341*K341/(Model!$B$13*I341-L341*287*K341)</f>
        <v>305.94139592017274</v>
      </c>
      <c r="O341" s="57">
        <f t="shared" si="103"/>
        <v>279.9263229600864</v>
      </c>
      <c r="P341" s="57">
        <f t="shared" si="104"/>
        <v>6.9266046502272136</v>
      </c>
      <c r="Q341" s="63">
        <f t="shared" si="105"/>
        <v>2.4491768930166136E-2</v>
      </c>
      <c r="R341" s="17">
        <f t="shared" si="106"/>
        <v>1.4320337587848984E-5</v>
      </c>
      <c r="S341" s="46">
        <f>0.37*Model!$B$10*(Q341^2*(N341-K341)*I341/(R341*O341^2))^0.33333*(N341-K341)</f>
        <v>327536.8970549216</v>
      </c>
      <c r="T341" s="51">
        <f>Model!$B$32+(90-Model!$B$6)*SIN(RADIANS(-15*(E341+6)))</f>
        <v>-15.486100317000023</v>
      </c>
      <c r="U341" s="46">
        <f t="shared" si="107"/>
        <v>0</v>
      </c>
      <c r="V341" s="51">
        <f t="shared" si="108"/>
        <v>99999</v>
      </c>
      <c r="W341" s="46">
        <f t="shared" si="109"/>
        <v>4.2253521126760563E-2</v>
      </c>
      <c r="X341" s="46">
        <f>0.3*W341*Model!$B$9</f>
        <v>3.8275201289827652</v>
      </c>
      <c r="Y341" s="17">
        <f>(S341-X341)/Model!$B$11</f>
        <v>7.0263449433614206E-3</v>
      </c>
      <c r="Z341" s="46">
        <f t="shared" si="110"/>
        <v>1.1685767812415235E-3</v>
      </c>
      <c r="AA341" s="57">
        <f>Y341/Model!$B$12*3600</f>
        <v>45.492274261231266</v>
      </c>
      <c r="AB341" s="51">
        <f t="shared" si="116"/>
        <v>528.97514821822858</v>
      </c>
      <c r="AC341" s="51">
        <f t="shared" si="111"/>
        <v>1271.0248517817713</v>
      </c>
      <c r="AD341" s="13">
        <f>IF(AE341=0, Model!$B$19, 0 )</f>
        <v>0</v>
      </c>
      <c r="AE341" s="51">
        <f>IF(AE340+AB340-AB341&lt;Model!$B$19*Model!$B$18, AE340+AB340-AB341,  0)</f>
        <v>364.84655743938367</v>
      </c>
      <c r="AF341" s="13">
        <f t="shared" si="112"/>
        <v>16.950000000000106</v>
      </c>
      <c r="AG341" s="50">
        <f t="shared" si="113"/>
        <v>0</v>
      </c>
    </row>
    <row r="342" spans="2:33" x14ac:dyDescent="0.25">
      <c r="B342" s="15">
        <f t="shared" si="114"/>
        <v>17.000000000000107</v>
      </c>
      <c r="C342" s="15">
        <f>B342+Model!$B$4</f>
        <v>19.000000000000107</v>
      </c>
      <c r="D342" s="15">
        <f t="shared" si="115"/>
        <v>1</v>
      </c>
      <c r="E342" s="15">
        <f t="shared" si="95"/>
        <v>19.000000000000107</v>
      </c>
      <c r="F342" s="16">
        <f>IF(AB342&gt;0, VLOOKUP(B342,Model!$A$40:$B$60, 2), 0)</f>
        <v>300</v>
      </c>
      <c r="G342" s="15">
        <f>IF(AB342&gt;0, VLOOKUP(B342,Model!$A$39:$C$58, 3), 0)</f>
        <v>1</v>
      </c>
      <c r="H342" s="15">
        <f t="shared" si="100"/>
        <v>97</v>
      </c>
      <c r="I342" s="45">
        <f>Model!$B$21*EXP((-0.029*9.81*F342)/(8.31*(273+J342)))</f>
        <v>100357.4491247143</v>
      </c>
      <c r="J342" s="15">
        <f>IF(Model!$B$31="Summer",  IF(F342&lt;=2000,  Model!$B$20-Model!$B$35*F342/1000,  IF(F342&lt;Model!$B$36,  Model!$B$33-6.5*F342/1000,  Model!$B$38)),     IF(F342&lt;=2000,  Model!$B$20-Model!$B$35*F342/1000,  IF(F342&lt;Model!$B$36,  Model!$B$33-5.4*F342/1000,   Model!$B$38)))</f>
        <v>-19.088750000000001</v>
      </c>
      <c r="K342" s="15">
        <f t="shared" si="101"/>
        <v>253.91125</v>
      </c>
      <c r="L342" s="45">
        <f>IF(AB341-AA341*(B342-B341)&gt;0, L341-Y341*(B342-B341)*3600-AD342*Model!$B$16, 0)</f>
        <v>923.85866469823725</v>
      </c>
      <c r="M342" s="56">
        <f t="shared" si="102"/>
        <v>32.855713445639594</v>
      </c>
      <c r="N342" s="56">
        <f>Model!$B$13*I342*K342/(Model!$B$13*I342-L342*287*K342)</f>
        <v>305.85571344563959</v>
      </c>
      <c r="O342" s="56">
        <f t="shared" si="103"/>
        <v>279.88348172281979</v>
      </c>
      <c r="P342" s="56">
        <f t="shared" si="104"/>
        <v>6.8837634129606418</v>
      </c>
      <c r="Q342" s="62">
        <f t="shared" si="105"/>
        <v>2.4488727202320208E-2</v>
      </c>
      <c r="R342" s="33">
        <f t="shared" si="106"/>
        <v>1.4315882099173257E-5</v>
      </c>
      <c r="S342" s="45">
        <f>0.37*Model!$B$10*(Q342^2*(N342-K342)*I342/(R342*O342^2))^0.33333*(N342-K342)</f>
        <v>326858.10757966351</v>
      </c>
      <c r="T342" s="50">
        <f>Model!$B$32+(90-Model!$B$6)*SIN(RADIANS(-15*(E342+6)))</f>
        <v>-15.929401639573491</v>
      </c>
      <c r="U342" s="45">
        <f t="shared" si="107"/>
        <v>0</v>
      </c>
      <c r="V342" s="50">
        <f t="shared" si="108"/>
        <v>99999</v>
      </c>
      <c r="W342" s="45">
        <f t="shared" si="109"/>
        <v>4.2253521126760563E-2</v>
      </c>
      <c r="X342" s="45">
        <f>0.3*W342*Model!$B$9</f>
        <v>3.8275201289827652</v>
      </c>
      <c r="Y342" s="33">
        <f>(S342-X342)/Model!$B$11</f>
        <v>7.0117833328227934E-3</v>
      </c>
      <c r="Z342" s="45">
        <f t="shared" si="110"/>
        <v>1.171003576238323E-3</v>
      </c>
      <c r="AA342" s="56">
        <f>Y342/Model!$B$12*3600</f>
        <v>45.397994691177658</v>
      </c>
      <c r="AB342" s="50">
        <f t="shared" si="116"/>
        <v>526.70053450516696</v>
      </c>
      <c r="AC342" s="50">
        <f t="shared" si="111"/>
        <v>1273.2994654948329</v>
      </c>
      <c r="AD342" s="15">
        <f>IF(AE342=0, Model!$B$19, 0 )</f>
        <v>0</v>
      </c>
      <c r="AE342" s="50">
        <f>IF(AE341+AB341-AB342&lt;Model!$B$19*Model!$B$18, AE341+AB341-AB342,  0)</f>
        <v>367.1211711524453</v>
      </c>
      <c r="AF342" s="15">
        <f t="shared" si="112"/>
        <v>17.000000000000107</v>
      </c>
      <c r="AG342" s="50">
        <f t="shared" si="113"/>
        <v>0</v>
      </c>
    </row>
    <row r="343" spans="2:33" x14ac:dyDescent="0.25">
      <c r="B343" s="13">
        <f t="shared" si="114"/>
        <v>17.050000000000107</v>
      </c>
      <c r="C343" s="13">
        <f>B343+Model!$B$4</f>
        <v>19.050000000000107</v>
      </c>
      <c r="D343" s="13">
        <f t="shared" si="115"/>
        <v>1</v>
      </c>
      <c r="E343" s="13">
        <f t="shared" si="95"/>
        <v>19.050000000000107</v>
      </c>
      <c r="F343" s="14">
        <f>IF(AB343&gt;0, VLOOKUP(B343,Model!$A$40:$B$60, 2), 0)</f>
        <v>300</v>
      </c>
      <c r="G343" s="13">
        <f>IF(AB343&gt;0, VLOOKUP(B343,Model!$A$39:$C$58, 3), 0)</f>
        <v>1</v>
      </c>
      <c r="H343" s="13">
        <f t="shared" si="100"/>
        <v>97</v>
      </c>
      <c r="I343" s="46">
        <f>Model!$B$21*EXP((-0.029*9.81*F343)/(8.31*(273+J343)))</f>
        <v>100357.4491247143</v>
      </c>
      <c r="J343" s="13">
        <f>IF(Model!$B$31="Summer",  IF(F343&lt;=2000,  Model!$B$20-Model!$B$35*F343/1000,  IF(F343&lt;Model!$B$36,  Model!$B$33-6.5*F343/1000,  Model!$B$38)),     IF(F343&lt;=2000,  Model!$B$20-Model!$B$35*F343/1000,  IF(F343&lt;Model!$B$36,  Model!$B$33-5.4*F343/1000,   Model!$B$38)))</f>
        <v>-19.088750000000001</v>
      </c>
      <c r="K343" s="13">
        <f t="shared" si="101"/>
        <v>253.91125</v>
      </c>
      <c r="L343" s="46">
        <f>IF(AB342-AA342*(B343-B342)&gt;0, L342-Y342*(B343-B342)*3600-AD343*Model!$B$16, 0)</f>
        <v>922.59654369832913</v>
      </c>
      <c r="M343" s="57">
        <f t="shared" si="102"/>
        <v>32.770256372373353</v>
      </c>
      <c r="N343" s="57">
        <f>Model!$B$13*I343*K343/(Model!$B$13*I343-L343*287*K343)</f>
        <v>305.77025637237335</v>
      </c>
      <c r="O343" s="57">
        <f t="shared" si="103"/>
        <v>279.8407531861867</v>
      </c>
      <c r="P343" s="57">
        <f t="shared" si="104"/>
        <v>6.8410348763275213</v>
      </c>
      <c r="Q343" s="63">
        <f t="shared" si="105"/>
        <v>2.4485693476219258E-2</v>
      </c>
      <c r="R343" s="17">
        <f t="shared" si="106"/>
        <v>1.4311438331363416E-5</v>
      </c>
      <c r="S343" s="46">
        <f>0.37*Model!$B$10*(Q343^2*(N343-K343)*I343/(R343*O343^2))^0.33333*(N343-K343)</f>
        <v>326181.33851917554</v>
      </c>
      <c r="T343" s="51">
        <f>Model!$B$32+(90-Model!$B$6)*SIN(RADIANS(-15*(E343+6)))</f>
        <v>-16.371150806262861</v>
      </c>
      <c r="U343" s="46">
        <f t="shared" si="107"/>
        <v>0</v>
      </c>
      <c r="V343" s="51">
        <f t="shared" si="108"/>
        <v>99999</v>
      </c>
      <c r="W343" s="46">
        <f t="shared" si="109"/>
        <v>4.2253521126760563E-2</v>
      </c>
      <c r="X343" s="46">
        <f>0.3*W343*Model!$B$9</f>
        <v>3.8275201289827652</v>
      </c>
      <c r="Y343" s="17">
        <f>(S343-X343)/Model!$B$11</f>
        <v>6.9972650648728214E-3</v>
      </c>
      <c r="Z343" s="46">
        <f t="shared" si="110"/>
        <v>1.1734332032480004E-3</v>
      </c>
      <c r="AA343" s="57">
        <f>Y343/Model!$B$12*3600</f>
        <v>45.30399574397223</v>
      </c>
      <c r="AB343" s="51">
        <f t="shared" si="116"/>
        <v>524.43063477060809</v>
      </c>
      <c r="AC343" s="51">
        <f t="shared" si="111"/>
        <v>1275.5693652293919</v>
      </c>
      <c r="AD343" s="13">
        <f>IF(AE343=0, Model!$B$19, 0 )</f>
        <v>0</v>
      </c>
      <c r="AE343" s="51">
        <f>IF(AE342+AB342-AB343&lt;Model!$B$19*Model!$B$18, AE342+AB342-AB343,  0)</f>
        <v>369.39107088700416</v>
      </c>
      <c r="AF343" s="13">
        <f t="shared" si="112"/>
        <v>17.050000000000107</v>
      </c>
      <c r="AG343" s="50">
        <f t="shared" si="113"/>
        <v>0</v>
      </c>
    </row>
    <row r="344" spans="2:33" x14ac:dyDescent="0.25">
      <c r="B344" s="15">
        <f t="shared" si="114"/>
        <v>17.100000000000108</v>
      </c>
      <c r="C344" s="15">
        <f>B344+Model!$B$4</f>
        <v>19.100000000000108</v>
      </c>
      <c r="D344" s="15">
        <f t="shared" si="115"/>
        <v>1</v>
      </c>
      <c r="E344" s="15">
        <f t="shared" si="95"/>
        <v>19.100000000000108</v>
      </c>
      <c r="F344" s="16">
        <f>IF(AB344&gt;0, VLOOKUP(B344,Model!$A$40:$B$60, 2), 0)</f>
        <v>300</v>
      </c>
      <c r="G344" s="15">
        <f>IF(AB344&gt;0, VLOOKUP(B344,Model!$A$39:$C$58, 3), 0)</f>
        <v>1</v>
      </c>
      <c r="H344" s="15">
        <f t="shared" si="100"/>
        <v>97</v>
      </c>
      <c r="I344" s="45">
        <f>Model!$B$21*EXP((-0.029*9.81*F344)/(8.31*(273+J344)))</f>
        <v>100357.4491247143</v>
      </c>
      <c r="J344" s="15">
        <f>IF(Model!$B$31="Summer",  IF(F344&lt;=2000,  Model!$B$20-Model!$B$35*F344/1000,  IF(F344&lt;Model!$B$36,  Model!$B$33-6.5*F344/1000,  Model!$B$38)),     IF(F344&lt;=2000,  Model!$B$20-Model!$B$35*F344/1000,  IF(F344&lt;Model!$B$36,  Model!$B$33-5.4*F344/1000,   Model!$B$38)))</f>
        <v>-19.088750000000001</v>
      </c>
      <c r="K344" s="15">
        <f t="shared" si="101"/>
        <v>253.91125</v>
      </c>
      <c r="L344" s="45">
        <f>IF(AB343-AA343*(B344-B343)&gt;0, L343-Y343*(B344-B343)*3600-AD344*Model!$B$16, 0)</f>
        <v>921.33703598665204</v>
      </c>
      <c r="M344" s="56">
        <f t="shared" si="102"/>
        <v>32.685023834974288</v>
      </c>
      <c r="N344" s="56">
        <f>Model!$B$13*I344*K344/(Model!$B$13*I344-L344*287*K344)</f>
        <v>305.68502383497429</v>
      </c>
      <c r="O344" s="56">
        <f t="shared" si="103"/>
        <v>279.79813691748711</v>
      </c>
      <c r="P344" s="56">
        <f t="shared" si="104"/>
        <v>6.7984186076279887</v>
      </c>
      <c r="Q344" s="62">
        <f t="shared" si="105"/>
        <v>2.4482667721141587E-2</v>
      </c>
      <c r="R344" s="33">
        <f t="shared" si="106"/>
        <v>1.4307006239418659E-5</v>
      </c>
      <c r="S344" s="45">
        <f>0.37*Model!$B$10*(Q344^2*(N344-K344)*I344/(R344*O344^2))^0.33333*(N344-K344)</f>
        <v>325506.58164269832</v>
      </c>
      <c r="T344" s="50">
        <f>Model!$B$32+(90-Model!$B$6)*SIN(RADIANS(-15*(E344+6)))</f>
        <v>-16.811272125622555</v>
      </c>
      <c r="U344" s="45">
        <f t="shared" si="107"/>
        <v>0</v>
      </c>
      <c r="V344" s="50">
        <f t="shared" si="108"/>
        <v>99999</v>
      </c>
      <c r="W344" s="45">
        <f t="shared" si="109"/>
        <v>4.2253521126760563E-2</v>
      </c>
      <c r="X344" s="45">
        <f>0.3*W344*Model!$B$9</f>
        <v>3.8275201289827652</v>
      </c>
      <c r="Y344" s="33">
        <f>(S344-X344)/Model!$B$11</f>
        <v>6.9827899629426012E-3</v>
      </c>
      <c r="Z344" s="45">
        <f t="shared" si="110"/>
        <v>1.1758656644258435E-3</v>
      </c>
      <c r="AA344" s="56">
        <f>Y344/Model!$B$12*3600</f>
        <v>45.21027627641449</v>
      </c>
      <c r="AB344" s="50">
        <f t="shared" si="116"/>
        <v>522.16543498340945</v>
      </c>
      <c r="AC344" s="50">
        <f t="shared" si="111"/>
        <v>1277.8345650165907</v>
      </c>
      <c r="AD344" s="15">
        <f>IF(AE344=0, Model!$B$19, 0 )</f>
        <v>0</v>
      </c>
      <c r="AE344" s="50">
        <f>IF(AE343+AB343-AB344&lt;Model!$B$19*Model!$B$18, AE343+AB343-AB344,  0)</f>
        <v>371.6562706742028</v>
      </c>
      <c r="AF344" s="15">
        <f t="shared" si="112"/>
        <v>17.100000000000108</v>
      </c>
      <c r="AG344" s="50">
        <f t="shared" si="113"/>
        <v>0</v>
      </c>
    </row>
    <row r="345" spans="2:33" x14ac:dyDescent="0.25">
      <c r="B345" s="13">
        <f t="shared" si="114"/>
        <v>17.150000000000109</v>
      </c>
      <c r="C345" s="13">
        <f>B345+Model!$B$4</f>
        <v>19.150000000000109</v>
      </c>
      <c r="D345" s="13">
        <f t="shared" si="115"/>
        <v>1</v>
      </c>
      <c r="E345" s="13">
        <f t="shared" si="95"/>
        <v>19.150000000000109</v>
      </c>
      <c r="F345" s="14">
        <f>IF(AB345&gt;0, VLOOKUP(B345,Model!$A$40:$B$60, 2), 0)</f>
        <v>300</v>
      </c>
      <c r="G345" s="13">
        <f>IF(AB345&gt;0, VLOOKUP(B345,Model!$A$39:$C$58, 3), 0)</f>
        <v>1</v>
      </c>
      <c r="H345" s="13">
        <f t="shared" si="100"/>
        <v>97</v>
      </c>
      <c r="I345" s="46">
        <f>Model!$B$21*EXP((-0.029*9.81*F345)/(8.31*(273+J345)))</f>
        <v>100357.4491247143</v>
      </c>
      <c r="J345" s="13">
        <f>IF(Model!$B$31="Summer",  IF(F345&lt;=2000,  Model!$B$20-Model!$B$35*F345/1000,  IF(F345&lt;Model!$B$36,  Model!$B$33-6.5*F345/1000,  Model!$B$38)),     IF(F345&lt;=2000,  Model!$B$20-Model!$B$35*F345/1000,  IF(F345&lt;Model!$B$36,  Model!$B$33-5.4*F345/1000,   Model!$B$38)))</f>
        <v>-19.088750000000001</v>
      </c>
      <c r="K345" s="13">
        <f t="shared" si="101"/>
        <v>253.91125</v>
      </c>
      <c r="L345" s="46">
        <f>IF(AB344-AA344*(B345-B344)&gt;0, L344-Y344*(B345-B344)*3600-AD345*Model!$B$16, 0)</f>
        <v>920.08013379332237</v>
      </c>
      <c r="M345" s="57">
        <f t="shared" si="102"/>
        <v>32.600014972525742</v>
      </c>
      <c r="N345" s="57">
        <f>Model!$B$13*I345*K345/(Model!$B$13*I345-L345*287*K345)</f>
        <v>305.60001497252574</v>
      </c>
      <c r="O345" s="57">
        <f t="shared" si="103"/>
        <v>279.75563248626287</v>
      </c>
      <c r="P345" s="57">
        <f t="shared" si="104"/>
        <v>6.7559141764037154</v>
      </c>
      <c r="Q345" s="63">
        <f t="shared" si="105"/>
        <v>2.4479649906524664E-2</v>
      </c>
      <c r="R345" s="17">
        <f t="shared" si="106"/>
        <v>1.4302585778571336E-5</v>
      </c>
      <c r="S345" s="46">
        <f>0.37*Model!$B$10*(Q345^2*(N345-K345)*I345/(R345*O345^2))^0.33333*(N345-K345)</f>
        <v>324833.82876323728</v>
      </c>
      <c r="T345" s="51">
        <f>Model!$B$32+(90-Model!$B$6)*SIN(RADIANS(-15*(E345+6)))</f>
        <v>-17.249690185130277</v>
      </c>
      <c r="U345" s="46">
        <f t="shared" si="107"/>
        <v>0</v>
      </c>
      <c r="V345" s="51">
        <f t="shared" si="108"/>
        <v>99999</v>
      </c>
      <c r="W345" s="46">
        <f t="shared" si="109"/>
        <v>4.2253521126760563E-2</v>
      </c>
      <c r="X345" s="46">
        <f>0.3*W345*Model!$B$9</f>
        <v>3.8275201289827652</v>
      </c>
      <c r="Y345" s="17">
        <f>(S345-X345)/Model!$B$11</f>
        <v>6.9683578514020874E-3</v>
      </c>
      <c r="Z345" s="46">
        <f t="shared" si="110"/>
        <v>1.1783009619273806E-3</v>
      </c>
      <c r="AA345" s="57">
        <f>Y345/Model!$B$12*3600</f>
        <v>45.11683515138261</v>
      </c>
      <c r="AB345" s="51">
        <f t="shared" si="116"/>
        <v>519.90492116958865</v>
      </c>
      <c r="AC345" s="51">
        <f t="shared" si="111"/>
        <v>1280.0950788304112</v>
      </c>
      <c r="AD345" s="13">
        <f>IF(AE345=0, Model!$B$19, 0 )</f>
        <v>0</v>
      </c>
      <c r="AE345" s="51">
        <f>IF(AE344+AB344-AB345&lt;Model!$B$19*Model!$B$18, AE344+AB344-AB345,  0)</f>
        <v>373.91678448802361</v>
      </c>
      <c r="AF345" s="13">
        <f t="shared" si="112"/>
        <v>17.150000000000109</v>
      </c>
      <c r="AG345" s="50">
        <f t="shared" si="113"/>
        <v>0</v>
      </c>
    </row>
    <row r="346" spans="2:33" x14ac:dyDescent="0.25">
      <c r="B346" s="15">
        <f t="shared" si="114"/>
        <v>17.200000000000109</v>
      </c>
      <c r="C346" s="15">
        <f>B346+Model!$B$4</f>
        <v>19.200000000000109</v>
      </c>
      <c r="D346" s="15">
        <f t="shared" si="115"/>
        <v>1</v>
      </c>
      <c r="E346" s="15">
        <f t="shared" si="95"/>
        <v>19.200000000000109</v>
      </c>
      <c r="F346" s="16">
        <f>IF(AB346&gt;0, VLOOKUP(B346,Model!$A$40:$B$60, 2), 0)</f>
        <v>300</v>
      </c>
      <c r="G346" s="15">
        <f>IF(AB346&gt;0, VLOOKUP(B346,Model!$A$39:$C$58, 3), 0)</f>
        <v>1</v>
      </c>
      <c r="H346" s="15">
        <f t="shared" si="100"/>
        <v>97</v>
      </c>
      <c r="I346" s="45">
        <f>Model!$B$21*EXP((-0.029*9.81*F346)/(8.31*(273+J346)))</f>
        <v>100357.4491247143</v>
      </c>
      <c r="J346" s="15">
        <f>IF(Model!$B$31="Summer",  IF(F346&lt;=2000,  Model!$B$20-Model!$B$35*F346/1000,  IF(F346&lt;Model!$B$36,  Model!$B$33-6.5*F346/1000,  Model!$B$38)),     IF(F346&lt;=2000,  Model!$B$20-Model!$B$35*F346/1000,  IF(F346&lt;Model!$B$36,  Model!$B$33-5.4*F346/1000,   Model!$B$38)))</f>
        <v>-19.088750000000001</v>
      </c>
      <c r="K346" s="15">
        <f t="shared" si="101"/>
        <v>253.91125</v>
      </c>
      <c r="L346" s="45">
        <f>IF(AB345-AA345*(B346-B345)&gt;0, L345-Y345*(B346-B345)*3600-AD346*Model!$B$16, 0)</f>
        <v>918.82582938006999</v>
      </c>
      <c r="M346" s="56">
        <f t="shared" si="102"/>
        <v>32.51522892856417</v>
      </c>
      <c r="N346" s="56">
        <f>Model!$B$13*I346*K346/(Model!$B$13*I346-L346*287*K346)</f>
        <v>305.51522892856417</v>
      </c>
      <c r="O346" s="56">
        <f t="shared" si="103"/>
        <v>279.71323946428208</v>
      </c>
      <c r="P346" s="56">
        <f t="shared" si="104"/>
        <v>6.7135211544229296</v>
      </c>
      <c r="Q346" s="62">
        <f t="shared" si="105"/>
        <v>2.4476640001964027E-2</v>
      </c>
      <c r="R346" s="33">
        <f t="shared" si="106"/>
        <v>1.4298176904285335E-5</v>
      </c>
      <c r="S346" s="45">
        <f>0.37*Model!$B$10*(Q346^2*(N346-K346)*I346/(R346*O346^2))^0.33333*(N346-K346)</f>
        <v>324163.07173726766</v>
      </c>
      <c r="T346" s="50">
        <f>Model!$B$32+(90-Model!$B$6)*SIN(RADIANS(-15*(E346+6)))</f>
        <v>-17.686329864108451</v>
      </c>
      <c r="U346" s="45">
        <f t="shared" si="107"/>
        <v>0</v>
      </c>
      <c r="V346" s="50">
        <f t="shared" si="108"/>
        <v>99999</v>
      </c>
      <c r="W346" s="45">
        <f t="shared" si="109"/>
        <v>4.2253521126760563E-2</v>
      </c>
      <c r="X346" s="45">
        <f>0.3*W346*Model!$B$9</f>
        <v>3.8275201289827652</v>
      </c>
      <c r="Y346" s="33">
        <f>(S346-X346)/Model!$B$11</f>
        <v>6.9539685555537632E-3</v>
      </c>
      <c r="Z346" s="45">
        <f t="shared" si="110"/>
        <v>1.1807390979083974E-3</v>
      </c>
      <c r="AA346" s="56">
        <f>Y346/Model!$B$12*3600</f>
        <v>45.023671237792449</v>
      </c>
      <c r="AB346" s="50">
        <f t="shared" si="116"/>
        <v>517.64907941201943</v>
      </c>
      <c r="AC346" s="50">
        <f t="shared" si="111"/>
        <v>1282.3509205879805</v>
      </c>
      <c r="AD346" s="15">
        <f>IF(AE346=0, Model!$B$19, 0 )</f>
        <v>0</v>
      </c>
      <c r="AE346" s="50">
        <f>IF(AE345+AB345-AB346&lt;Model!$B$19*Model!$B$18, AE345+AB345-AB346,  0)</f>
        <v>376.17262624559282</v>
      </c>
      <c r="AF346" s="15">
        <f t="shared" si="112"/>
        <v>17.200000000000109</v>
      </c>
      <c r="AG346" s="50">
        <f t="shared" si="113"/>
        <v>0</v>
      </c>
    </row>
    <row r="347" spans="2:33" x14ac:dyDescent="0.25">
      <c r="B347" s="13">
        <f t="shared" si="114"/>
        <v>17.25000000000011</v>
      </c>
      <c r="C347" s="13">
        <f>B347+Model!$B$4</f>
        <v>19.25000000000011</v>
      </c>
      <c r="D347" s="13">
        <f t="shared" si="115"/>
        <v>1</v>
      </c>
      <c r="E347" s="13">
        <f t="shared" si="95"/>
        <v>19.25000000000011</v>
      </c>
      <c r="F347" s="14">
        <f>IF(AB347&gt;0, VLOOKUP(B347,Model!$A$40:$B$60, 2), 0)</f>
        <v>300</v>
      </c>
      <c r="G347" s="13">
        <f>IF(AB347&gt;0, VLOOKUP(B347,Model!$A$39:$C$58, 3), 0)</f>
        <v>1</v>
      </c>
      <c r="H347" s="13">
        <f t="shared" si="100"/>
        <v>97</v>
      </c>
      <c r="I347" s="46">
        <f>Model!$B$21*EXP((-0.029*9.81*F347)/(8.31*(273+J347)))</f>
        <v>100357.4491247143</v>
      </c>
      <c r="J347" s="13">
        <f>IF(Model!$B$31="Summer",  IF(F347&lt;=2000,  Model!$B$20-Model!$B$35*F347/1000,  IF(F347&lt;Model!$B$36,  Model!$B$33-6.5*F347/1000,  Model!$B$38)),     IF(F347&lt;=2000,  Model!$B$20-Model!$B$35*F347/1000,  IF(F347&lt;Model!$B$36,  Model!$B$33-5.4*F347/1000,   Model!$B$38)))</f>
        <v>-19.088750000000001</v>
      </c>
      <c r="K347" s="13">
        <f t="shared" si="101"/>
        <v>253.91125</v>
      </c>
      <c r="L347" s="46">
        <f>IF(AB346-AA346*(B347-B346)&gt;0, L346-Y346*(B347-B346)*3600-AD347*Model!$B$16, 0)</f>
        <v>917.5741150400703</v>
      </c>
      <c r="M347" s="57">
        <f t="shared" si="102"/>
        <v>32.430664851050153</v>
      </c>
      <c r="N347" s="57">
        <f>Model!$B$13*I347*K347/(Model!$B$13*I347-L347*287*K347)</f>
        <v>305.43066485105015</v>
      </c>
      <c r="O347" s="57">
        <f t="shared" si="103"/>
        <v>279.6709574255251</v>
      </c>
      <c r="P347" s="57">
        <f t="shared" si="104"/>
        <v>6.6712391156659212</v>
      </c>
      <c r="Q347" s="63">
        <f t="shared" si="105"/>
        <v>2.4473637977212283E-2</v>
      </c>
      <c r="R347" s="17">
        <f t="shared" si="106"/>
        <v>1.429377957225461E-5</v>
      </c>
      <c r="S347" s="46">
        <f>0.37*Model!$B$10*(Q347^2*(N347-K347)*I347/(R347*O347^2))^0.33333*(N347-K347)</f>
        <v>323494.30246444803</v>
      </c>
      <c r="T347" s="51">
        <f>Model!$B$32+(90-Model!$B$6)*SIN(RADIANS(-15*(E347+6)))</f>
        <v>-18.121116346595915</v>
      </c>
      <c r="U347" s="46">
        <f t="shared" si="107"/>
        <v>0</v>
      </c>
      <c r="V347" s="51">
        <f t="shared" si="108"/>
        <v>99999</v>
      </c>
      <c r="W347" s="46">
        <f t="shared" si="109"/>
        <v>4.2253521126760563E-2</v>
      </c>
      <c r="X347" s="46">
        <f>0.3*W347*Model!$B$9</f>
        <v>3.8275201289827652</v>
      </c>
      <c r="Y347" s="17">
        <f>(S347-X347)/Model!$B$11</f>
        <v>6.9396219016264948E-3</v>
      </c>
      <c r="Z347" s="46">
        <f t="shared" si="110"/>
        <v>1.1831800745249321E-3</v>
      </c>
      <c r="AA347" s="57">
        <f>Y347/Model!$B$12*3600</f>
        <v>44.930783410557765</v>
      </c>
      <c r="AB347" s="51">
        <f t="shared" si="116"/>
        <v>515.39789585012977</v>
      </c>
      <c r="AC347" s="51">
        <f t="shared" si="111"/>
        <v>1284.6021041498702</v>
      </c>
      <c r="AD347" s="13">
        <f>IF(AE347=0, Model!$B$19, 0 )</f>
        <v>0</v>
      </c>
      <c r="AE347" s="51">
        <f>IF(AE346+AB346-AB347&lt;Model!$B$19*Model!$B$18, AE346+AB346-AB347,  0)</f>
        <v>378.42380980748248</v>
      </c>
      <c r="AF347" s="13">
        <f t="shared" si="112"/>
        <v>17.25000000000011</v>
      </c>
      <c r="AG347" s="50">
        <f t="shared" si="113"/>
        <v>0</v>
      </c>
    </row>
    <row r="348" spans="2:33" x14ac:dyDescent="0.25">
      <c r="B348" s="15">
        <f t="shared" si="114"/>
        <v>17.300000000000111</v>
      </c>
      <c r="C348" s="15">
        <f>B348+Model!$B$4</f>
        <v>19.300000000000111</v>
      </c>
      <c r="D348" s="15">
        <f t="shared" si="115"/>
        <v>1</v>
      </c>
      <c r="E348" s="15">
        <f t="shared" si="95"/>
        <v>19.300000000000111</v>
      </c>
      <c r="F348" s="16">
        <f>IF(AB348&gt;0, VLOOKUP(B348,Model!$A$40:$B$60, 2), 0)</f>
        <v>300</v>
      </c>
      <c r="G348" s="15">
        <f>IF(AB348&gt;0, VLOOKUP(B348,Model!$A$39:$C$58, 3), 0)</f>
        <v>1</v>
      </c>
      <c r="H348" s="15">
        <f t="shared" si="100"/>
        <v>97</v>
      </c>
      <c r="I348" s="45">
        <f>Model!$B$21*EXP((-0.029*9.81*F348)/(8.31*(273+J348)))</f>
        <v>100357.4491247143</v>
      </c>
      <c r="J348" s="15">
        <f>IF(Model!$B$31="Summer",  IF(F348&lt;=2000,  Model!$B$20-Model!$B$35*F348/1000,  IF(F348&lt;Model!$B$36,  Model!$B$33-6.5*F348/1000,  Model!$B$38)),     IF(F348&lt;=2000,  Model!$B$20-Model!$B$35*F348/1000,  IF(F348&lt;Model!$B$36,  Model!$B$33-5.4*F348/1000,   Model!$B$38)))</f>
        <v>-19.088750000000001</v>
      </c>
      <c r="K348" s="15">
        <f t="shared" si="101"/>
        <v>253.91125</v>
      </c>
      <c r="L348" s="45">
        <f>IF(AB347-AA347*(B348-B347)&gt;0, L347-Y347*(B348-B347)*3600-AD348*Model!$B$16, 0)</f>
        <v>916.32498309777748</v>
      </c>
      <c r="M348" s="56">
        <f t="shared" si="102"/>
        <v>32.346321892339631</v>
      </c>
      <c r="N348" s="56">
        <f>Model!$B$13*I348*K348/(Model!$B$13*I348-L348*287*K348)</f>
        <v>305.34632189233963</v>
      </c>
      <c r="O348" s="56">
        <f t="shared" si="103"/>
        <v>279.62878594616984</v>
      </c>
      <c r="P348" s="56">
        <f t="shared" si="104"/>
        <v>6.6290676363106602</v>
      </c>
      <c r="Q348" s="62">
        <f t="shared" si="105"/>
        <v>2.447064380217806E-2</v>
      </c>
      <c r="R348" s="33">
        <f t="shared" si="106"/>
        <v>1.4289393738401663E-5</v>
      </c>
      <c r="S348" s="45">
        <f>0.37*Model!$B$10*(Q348^2*(N348-K348)*I348/(R348*O348^2))^0.33333*(N348-K348)</f>
        <v>322827.5128873362</v>
      </c>
      <c r="T348" s="50">
        <f>Model!$B$32+(90-Model!$B$6)*SIN(RADIANS(-15*(E348+6)))</f>
        <v>-18.553975134167239</v>
      </c>
      <c r="U348" s="45">
        <f t="shared" si="107"/>
        <v>0</v>
      </c>
      <c r="V348" s="50">
        <f t="shared" si="108"/>
        <v>99999</v>
      </c>
      <c r="W348" s="45">
        <f t="shared" si="109"/>
        <v>4.2253521126760563E-2</v>
      </c>
      <c r="X348" s="45">
        <f>0.3*W348*Model!$B$9</f>
        <v>3.8275201289827652</v>
      </c>
      <c r="Y348" s="33">
        <f>(S348-X348)/Model!$B$11</f>
        <v>6.9253177167694349E-3</v>
      </c>
      <c r="Z348" s="45">
        <f t="shared" si="110"/>
        <v>1.1856238939332703E-3</v>
      </c>
      <c r="AA348" s="56">
        <f>Y348/Model!$B$12*3600</f>
        <v>44.838170550550721</v>
      </c>
      <c r="AB348" s="50">
        <f t="shared" si="116"/>
        <v>513.1513566796018</v>
      </c>
      <c r="AC348" s="50">
        <f t="shared" si="111"/>
        <v>1286.8486433203982</v>
      </c>
      <c r="AD348" s="15">
        <f>IF(AE348=0, Model!$B$19, 0 )</f>
        <v>0</v>
      </c>
      <c r="AE348" s="50">
        <f>IF(AE347+AB347-AB348&lt;Model!$B$19*Model!$B$18, AE347+AB347-AB348,  0)</f>
        <v>380.67034897801045</v>
      </c>
      <c r="AF348" s="15">
        <f t="shared" si="112"/>
        <v>17.300000000000111</v>
      </c>
      <c r="AG348" s="50">
        <f t="shared" si="113"/>
        <v>0</v>
      </c>
    </row>
    <row r="349" spans="2:33" x14ac:dyDescent="0.25">
      <c r="B349" s="13">
        <f t="shared" si="114"/>
        <v>17.350000000000112</v>
      </c>
      <c r="C349" s="13">
        <f>B349+Model!$B$4</f>
        <v>19.350000000000112</v>
      </c>
      <c r="D349" s="13">
        <f t="shared" si="115"/>
        <v>1</v>
      </c>
      <c r="E349" s="13">
        <f t="shared" si="95"/>
        <v>19.350000000000112</v>
      </c>
      <c r="F349" s="14">
        <f>IF(AB349&gt;0, VLOOKUP(B349,Model!$A$40:$B$60, 2), 0)</f>
        <v>300</v>
      </c>
      <c r="G349" s="13">
        <f>IF(AB349&gt;0, VLOOKUP(B349,Model!$A$39:$C$58, 3), 0)</f>
        <v>1</v>
      </c>
      <c r="H349" s="13">
        <f t="shared" si="100"/>
        <v>97</v>
      </c>
      <c r="I349" s="46">
        <f>Model!$B$21*EXP((-0.029*9.81*F349)/(8.31*(273+J349)))</f>
        <v>100357.4491247143</v>
      </c>
      <c r="J349" s="13">
        <f>IF(Model!$B$31="Summer",  IF(F349&lt;=2000,  Model!$B$20-Model!$B$35*F349/1000,  IF(F349&lt;Model!$B$36,  Model!$B$33-6.5*F349/1000,  Model!$B$38)),     IF(F349&lt;=2000,  Model!$B$20-Model!$B$35*F349/1000,  IF(F349&lt;Model!$B$36,  Model!$B$33-5.4*F349/1000,   Model!$B$38)))</f>
        <v>-19.088750000000001</v>
      </c>
      <c r="K349" s="13">
        <f t="shared" si="101"/>
        <v>253.91125</v>
      </c>
      <c r="L349" s="46">
        <f>IF(AB348-AA348*(B349-B348)&gt;0, L348-Y348*(B349-B348)*3600-AD349*Model!$B$16, 0)</f>
        <v>915.07842590875896</v>
      </c>
      <c r="M349" s="57">
        <f t="shared" si="102"/>
        <v>32.26219920915446</v>
      </c>
      <c r="N349" s="57">
        <f>Model!$B$13*I349*K349/(Model!$B$13*I349-L349*287*K349)</f>
        <v>305.26219920915446</v>
      </c>
      <c r="O349" s="57">
        <f t="shared" si="103"/>
        <v>279.58672460457723</v>
      </c>
      <c r="P349" s="57">
        <f t="shared" si="104"/>
        <v>6.5870062947180745</v>
      </c>
      <c r="Q349" s="63">
        <f t="shared" si="105"/>
        <v>2.4467657446924983E-2</v>
      </c>
      <c r="R349" s="17">
        <f t="shared" si="106"/>
        <v>1.428501935887603E-5</v>
      </c>
      <c r="S349" s="46">
        <f>0.37*Model!$B$10*(Q349^2*(N349-K349)*I349/(R349*O349^2))^0.33333*(N349-K349)</f>
        <v>322162.69499109936</v>
      </c>
      <c r="T349" s="51">
        <f>Model!$B$32+(90-Model!$B$6)*SIN(RADIANS(-15*(E349+6)))</f>
        <v>-18.98483205869751</v>
      </c>
      <c r="U349" s="46">
        <f t="shared" si="107"/>
        <v>0</v>
      </c>
      <c r="V349" s="51">
        <f t="shared" si="108"/>
        <v>99999</v>
      </c>
      <c r="W349" s="46">
        <f t="shared" si="109"/>
        <v>4.2253521126760563E-2</v>
      </c>
      <c r="X349" s="46">
        <f>0.3*W349*Model!$B$9</f>
        <v>3.8275201289827652</v>
      </c>
      <c r="Y349" s="17">
        <f>(S349-X349)/Model!$B$11</f>
        <v>6.9110558290458087E-3</v>
      </c>
      <c r="Z349" s="46">
        <f t="shared" si="110"/>
        <v>1.1880705582899694E-3</v>
      </c>
      <c r="AA349" s="57">
        <f>Y349/Model!$B$12*3600</f>
        <v>44.745831544561689</v>
      </c>
      <c r="AB349" s="51">
        <f t="shared" si="116"/>
        <v>510.90944815207422</v>
      </c>
      <c r="AC349" s="51">
        <f t="shared" si="111"/>
        <v>1289.0905518479258</v>
      </c>
      <c r="AD349" s="13">
        <f>IF(AE349=0, Model!$B$19, 0 )</f>
        <v>0</v>
      </c>
      <c r="AE349" s="51">
        <f>IF(AE348+AB348-AB349&lt;Model!$B$19*Model!$B$18, AE348+AB348-AB349,  0)</f>
        <v>382.91225750553804</v>
      </c>
      <c r="AF349" s="13">
        <f t="shared" si="112"/>
        <v>17.350000000000112</v>
      </c>
      <c r="AG349" s="50">
        <f t="shared" si="113"/>
        <v>0</v>
      </c>
    </row>
    <row r="350" spans="2:33" x14ac:dyDescent="0.25">
      <c r="B350" s="15">
        <f t="shared" si="114"/>
        <v>17.400000000000112</v>
      </c>
      <c r="C350" s="15">
        <f>B350+Model!$B$4</f>
        <v>19.400000000000112</v>
      </c>
      <c r="D350" s="15">
        <f t="shared" si="115"/>
        <v>1</v>
      </c>
      <c r="E350" s="15">
        <f t="shared" si="95"/>
        <v>19.400000000000112</v>
      </c>
      <c r="F350" s="16">
        <f>IF(AB350&gt;0, VLOOKUP(B350,Model!$A$40:$B$60, 2), 0)</f>
        <v>300</v>
      </c>
      <c r="G350" s="15">
        <f>IF(AB350&gt;0, VLOOKUP(B350,Model!$A$39:$C$58, 3), 0)</f>
        <v>1</v>
      </c>
      <c r="H350" s="15">
        <f t="shared" si="100"/>
        <v>97</v>
      </c>
      <c r="I350" s="45">
        <f>Model!$B$21*EXP((-0.029*9.81*F350)/(8.31*(273+J350)))</f>
        <v>100357.4491247143</v>
      </c>
      <c r="J350" s="15">
        <f>IF(Model!$B$31="Summer",  IF(F350&lt;=2000,  Model!$B$20-Model!$B$35*F350/1000,  IF(F350&lt;Model!$B$36,  Model!$B$33-6.5*F350/1000,  Model!$B$38)),     IF(F350&lt;=2000,  Model!$B$20-Model!$B$35*F350/1000,  IF(F350&lt;Model!$B$36,  Model!$B$33-5.4*F350/1000,   Model!$B$38)))</f>
        <v>-19.088750000000001</v>
      </c>
      <c r="K350" s="15">
        <f t="shared" si="101"/>
        <v>253.91125</v>
      </c>
      <c r="L350" s="45">
        <f>IF(AB349-AA349*(B350-B349)&gt;0, L349-Y349*(B350-B349)*3600-AD350*Model!$B$16, 0)</f>
        <v>913.83443585953069</v>
      </c>
      <c r="M350" s="56">
        <f t="shared" si="102"/>
        <v>32.178295962554671</v>
      </c>
      <c r="N350" s="56">
        <f>Model!$B$13*I350*K350/(Model!$B$13*I350-L350*287*K350)</f>
        <v>305.17829596255467</v>
      </c>
      <c r="O350" s="56">
        <f t="shared" si="103"/>
        <v>279.54477298127733</v>
      </c>
      <c r="P350" s="56">
        <f t="shared" si="104"/>
        <v>6.5450546714181801</v>
      </c>
      <c r="Q350" s="62">
        <f t="shared" si="105"/>
        <v>2.4464678881670691E-2</v>
      </c>
      <c r="R350" s="33">
        <f t="shared" si="106"/>
        <v>1.4280656390052841E-5</v>
      </c>
      <c r="S350" s="45">
        <f>0.37*Model!$B$10*(Q350^2*(N350-K350)*I350/(R350*O350^2))^0.33333*(N350-K350)</f>
        <v>321499.84080323967</v>
      </c>
      <c r="T350" s="50">
        <f>Model!$B$32+(90-Model!$B$6)*SIN(RADIANS(-15*(E350+6)))</f>
        <v>-19.413613295070792</v>
      </c>
      <c r="U350" s="45">
        <f t="shared" si="107"/>
        <v>0</v>
      </c>
      <c r="V350" s="50">
        <f t="shared" si="108"/>
        <v>99999</v>
      </c>
      <c r="W350" s="45">
        <f t="shared" si="109"/>
        <v>4.2253521126760563E-2</v>
      </c>
      <c r="X350" s="45">
        <f>0.3*W350*Model!$B$9</f>
        <v>3.8275201289827652</v>
      </c>
      <c r="Y350" s="33">
        <f>(S350-X350)/Model!$B$11</f>
        <v>6.8968360674270231E-3</v>
      </c>
      <c r="Z350" s="45">
        <f t="shared" si="110"/>
        <v>1.1905200697518343E-3</v>
      </c>
      <c r="AA350" s="56">
        <f>Y350/Model!$B$12*3600</f>
        <v>44.653765285261066</v>
      </c>
      <c r="AB350" s="50">
        <f t="shared" si="116"/>
        <v>508.6721565748461</v>
      </c>
      <c r="AC350" s="50">
        <f t="shared" si="111"/>
        <v>1291.3278434251538</v>
      </c>
      <c r="AD350" s="15">
        <f>IF(AE350=0, Model!$B$19, 0 )</f>
        <v>0</v>
      </c>
      <c r="AE350" s="50">
        <f>IF(AE349+AB349-AB350&lt;Model!$B$19*Model!$B$18, AE349+AB349-AB350,  0)</f>
        <v>385.14954908276616</v>
      </c>
      <c r="AF350" s="15">
        <f t="shared" si="112"/>
        <v>17.400000000000112</v>
      </c>
      <c r="AG350" s="50">
        <f t="shared" si="113"/>
        <v>0</v>
      </c>
    </row>
    <row r="351" spans="2:33" x14ac:dyDescent="0.25">
      <c r="B351" s="13">
        <f t="shared" si="114"/>
        <v>17.450000000000113</v>
      </c>
      <c r="C351" s="13">
        <f>B351+Model!$B$4</f>
        <v>19.450000000000113</v>
      </c>
      <c r="D351" s="13">
        <f t="shared" si="115"/>
        <v>1</v>
      </c>
      <c r="E351" s="13">
        <f t="shared" si="95"/>
        <v>19.450000000000113</v>
      </c>
      <c r="F351" s="14">
        <f>IF(AB351&gt;0, VLOOKUP(B351,Model!$A$40:$B$60, 2), 0)</f>
        <v>300</v>
      </c>
      <c r="G351" s="13">
        <f>IF(AB351&gt;0, VLOOKUP(B351,Model!$A$39:$C$58, 3), 0)</f>
        <v>1</v>
      </c>
      <c r="H351" s="13">
        <f t="shared" si="100"/>
        <v>97</v>
      </c>
      <c r="I351" s="46">
        <f>Model!$B$21*EXP((-0.029*9.81*F351)/(8.31*(273+J351)))</f>
        <v>100357.4491247143</v>
      </c>
      <c r="J351" s="13">
        <f>IF(Model!$B$31="Summer",  IF(F351&lt;=2000,  Model!$B$20-Model!$B$35*F351/1000,  IF(F351&lt;Model!$B$36,  Model!$B$33-6.5*F351/1000,  Model!$B$38)),     IF(F351&lt;=2000,  Model!$B$20-Model!$B$35*F351/1000,  IF(F351&lt;Model!$B$36,  Model!$B$33-5.4*F351/1000,   Model!$B$38)))</f>
        <v>-19.088750000000001</v>
      </c>
      <c r="K351" s="13">
        <f t="shared" si="101"/>
        <v>253.91125</v>
      </c>
      <c r="L351" s="46">
        <f>IF(AB350-AA350*(B351-B350)&gt;0, L350-Y350*(B351-B350)*3600-AD351*Model!$B$16, 0)</f>
        <v>912.59300536739386</v>
      </c>
      <c r="M351" s="57">
        <f t="shared" si="102"/>
        <v>32.094611317909369</v>
      </c>
      <c r="N351" s="57">
        <f>Model!$B$13*I351*K351/(Model!$B$13*I351-L351*287*K351)</f>
        <v>305.09461131790937</v>
      </c>
      <c r="O351" s="57">
        <f t="shared" si="103"/>
        <v>279.50293065895471</v>
      </c>
      <c r="P351" s="57">
        <f t="shared" si="104"/>
        <v>6.5032123490955289</v>
      </c>
      <c r="Q351" s="63">
        <f t="shared" si="105"/>
        <v>2.4461708076785785E-2</v>
      </c>
      <c r="R351" s="17">
        <f t="shared" si="106"/>
        <v>1.4276304788531289E-5</v>
      </c>
      <c r="S351" s="46">
        <f>0.37*Model!$B$10*(Q351^2*(N351-K351)*I351/(R351*O351^2))^0.33333*(N351-K351)</f>
        <v>320838.9423933074</v>
      </c>
      <c r="T351" s="51">
        <f>Model!$B$32+(90-Model!$B$6)*SIN(RADIANS(-15*(E351+6)))</f>
        <v>-19.840245373829546</v>
      </c>
      <c r="U351" s="46">
        <f t="shared" si="107"/>
        <v>0</v>
      </c>
      <c r="V351" s="51">
        <f t="shared" si="108"/>
        <v>99999</v>
      </c>
      <c r="W351" s="46">
        <f t="shared" si="109"/>
        <v>4.2253521126760563E-2</v>
      </c>
      <c r="X351" s="46">
        <f>0.3*W351*Model!$B$9</f>
        <v>3.8275201289827652</v>
      </c>
      <c r="Y351" s="17">
        <f>(S351-X351)/Model!$B$11</f>
        <v>6.8826582617865159E-3</v>
      </c>
      <c r="Z351" s="46">
        <f t="shared" si="110"/>
        <v>1.1929724304759477E-3</v>
      </c>
      <c r="AA351" s="57">
        <f>Y351/Model!$B$12*3600</f>
        <v>44.561970671159493</v>
      </c>
      <c r="AB351" s="51">
        <f t="shared" si="116"/>
        <v>506.43946831058304</v>
      </c>
      <c r="AC351" s="51">
        <f t="shared" si="111"/>
        <v>1293.5605316894171</v>
      </c>
      <c r="AD351" s="13">
        <f>IF(AE351=0, Model!$B$19, 0 )</f>
        <v>0</v>
      </c>
      <c r="AE351" s="51">
        <f>IF(AE350+AB350-AB351&lt;Model!$B$19*Model!$B$18, AE350+AB350-AB351,  0)</f>
        <v>387.38223734702922</v>
      </c>
      <c r="AF351" s="13">
        <f t="shared" si="112"/>
        <v>17.450000000000113</v>
      </c>
      <c r="AG351" s="50">
        <f t="shared" si="113"/>
        <v>0</v>
      </c>
    </row>
    <row r="352" spans="2:33" x14ac:dyDescent="0.25">
      <c r="B352" s="15">
        <f t="shared" si="114"/>
        <v>17.500000000000114</v>
      </c>
      <c r="C352" s="15">
        <f>B352+Model!$B$4</f>
        <v>19.500000000000114</v>
      </c>
      <c r="D352" s="15">
        <f t="shared" si="115"/>
        <v>1</v>
      </c>
      <c r="E352" s="15">
        <f t="shared" si="95"/>
        <v>19.500000000000114</v>
      </c>
      <c r="F352" s="16">
        <f>IF(AB352&gt;0, VLOOKUP(B352,Model!$A$40:$B$60, 2), 0)</f>
        <v>300</v>
      </c>
      <c r="G352" s="15">
        <f>IF(AB352&gt;0, VLOOKUP(B352,Model!$A$39:$C$58, 3), 0)</f>
        <v>1</v>
      </c>
      <c r="H352" s="15">
        <f t="shared" si="100"/>
        <v>97</v>
      </c>
      <c r="I352" s="45">
        <f>Model!$B$21*EXP((-0.029*9.81*F352)/(8.31*(273+J352)))</f>
        <v>100357.4491247143</v>
      </c>
      <c r="J352" s="15">
        <f>IF(Model!$B$31="Summer",  IF(F352&lt;=2000,  Model!$B$20-Model!$B$35*F352/1000,  IF(F352&lt;Model!$B$36,  Model!$B$33-6.5*F352/1000,  Model!$B$38)),     IF(F352&lt;=2000,  Model!$B$20-Model!$B$35*F352/1000,  IF(F352&lt;Model!$B$36,  Model!$B$33-5.4*F352/1000,   Model!$B$38)))</f>
        <v>-19.088750000000001</v>
      </c>
      <c r="K352" s="15">
        <f t="shared" si="101"/>
        <v>253.91125</v>
      </c>
      <c r="L352" s="45">
        <f>IF(AB351-AA351*(B352-B351)&gt;0, L351-Y351*(B352-B351)*3600-AD352*Model!$B$16, 0)</f>
        <v>911.35412688027225</v>
      </c>
      <c r="M352" s="56">
        <f t="shared" si="102"/>
        <v>32.011144444869274</v>
      </c>
      <c r="N352" s="56">
        <f>Model!$B$13*I352*K352/(Model!$B$13*I352-L352*287*K352)</f>
        <v>305.01114444486927</v>
      </c>
      <c r="O352" s="56">
        <f t="shared" si="103"/>
        <v>279.46119722243463</v>
      </c>
      <c r="P352" s="56">
        <f t="shared" si="104"/>
        <v>6.4614789125754815</v>
      </c>
      <c r="Q352" s="62">
        <f t="shared" si="105"/>
        <v>2.445874500279286E-2</v>
      </c>
      <c r="R352" s="33">
        <f t="shared" si="106"/>
        <v>1.4271964511133201E-5</v>
      </c>
      <c r="S352" s="45">
        <f>0.37*Model!$B$10*(Q352^2*(N352-K352)*I352/(R352*O352^2))^0.33333*(N352-K352)</f>
        <v>320179.99187263014</v>
      </c>
      <c r="T352" s="50">
        <f>Model!$B$32+(90-Model!$B$6)*SIN(RADIANS(-15*(E352+6)))</f>
        <v>-20.264655193763417</v>
      </c>
      <c r="U352" s="45">
        <f t="shared" si="107"/>
        <v>0</v>
      </c>
      <c r="V352" s="50">
        <f t="shared" si="108"/>
        <v>99999</v>
      </c>
      <c r="W352" s="45">
        <f t="shared" si="109"/>
        <v>4.2253521126760563E-2</v>
      </c>
      <c r="X352" s="45">
        <f>0.3*W352*Model!$B$9</f>
        <v>3.8275201289827652</v>
      </c>
      <c r="Y352" s="33">
        <f>(S352-X352)/Model!$B$11</f>
        <v>6.868522242893943E-3</v>
      </c>
      <c r="Z352" s="45">
        <f t="shared" si="110"/>
        <v>1.1954276426196487E-3</v>
      </c>
      <c r="AA352" s="56">
        <f>Y352/Model!$B$12*3600</f>
        <v>44.470446606570199</v>
      </c>
      <c r="AB352" s="50">
        <f t="shared" si="116"/>
        <v>504.21136977702503</v>
      </c>
      <c r="AC352" s="50">
        <f t="shared" si="111"/>
        <v>1295.7886302229749</v>
      </c>
      <c r="AD352" s="15">
        <f>IF(AE352=0, Model!$B$19, 0 )</f>
        <v>0</v>
      </c>
      <c r="AE352" s="50">
        <f>IF(AE351+AB351-AB352&lt;Model!$B$19*Model!$B$18, AE351+AB351-AB352,  0)</f>
        <v>389.61033588058723</v>
      </c>
      <c r="AF352" s="15">
        <f t="shared" si="112"/>
        <v>17.500000000000114</v>
      </c>
      <c r="AG352" s="50">
        <f t="shared" si="113"/>
        <v>0</v>
      </c>
    </row>
    <row r="353" spans="2:33" x14ac:dyDescent="0.25">
      <c r="B353" s="13">
        <f t="shared" si="114"/>
        <v>17.550000000000114</v>
      </c>
      <c r="C353" s="13">
        <f>B353+Model!$B$4</f>
        <v>19.550000000000114</v>
      </c>
      <c r="D353" s="13">
        <f t="shared" si="115"/>
        <v>1</v>
      </c>
      <c r="E353" s="13">
        <f t="shared" si="95"/>
        <v>19.550000000000114</v>
      </c>
      <c r="F353" s="14">
        <f>IF(AB353&gt;0, VLOOKUP(B353,Model!$A$40:$B$60, 2), 0)</f>
        <v>300</v>
      </c>
      <c r="G353" s="13">
        <f>IF(AB353&gt;0, VLOOKUP(B353,Model!$A$39:$C$58, 3), 0)</f>
        <v>1</v>
      </c>
      <c r="H353" s="13">
        <f t="shared" si="100"/>
        <v>97</v>
      </c>
      <c r="I353" s="46">
        <f>Model!$B$21*EXP((-0.029*9.81*F353)/(8.31*(273+J353)))</f>
        <v>100357.4491247143</v>
      </c>
      <c r="J353" s="13">
        <f>IF(Model!$B$31="Summer",  IF(F353&lt;=2000,  Model!$B$20-Model!$B$35*F353/1000,  IF(F353&lt;Model!$B$36,  Model!$B$33-6.5*F353/1000,  Model!$B$38)),     IF(F353&lt;=2000,  Model!$B$20-Model!$B$35*F353/1000,  IF(F353&lt;Model!$B$36,  Model!$B$33-5.4*F353/1000,   Model!$B$38)))</f>
        <v>-19.088750000000001</v>
      </c>
      <c r="K353" s="13">
        <f t="shared" si="101"/>
        <v>253.91125</v>
      </c>
      <c r="L353" s="46">
        <f>IF(AB352-AA352*(B353-B352)&gt;0, L352-Y352*(B353-B352)*3600-AD353*Model!$B$16, 0)</f>
        <v>910.11779287655133</v>
      </c>
      <c r="M353" s="57">
        <f t="shared" si="102"/>
        <v>31.927894517338359</v>
      </c>
      <c r="N353" s="57">
        <f>Model!$B$13*I353*K353/(Model!$B$13*I353-L353*287*K353)</f>
        <v>304.92789451733836</v>
      </c>
      <c r="O353" s="57">
        <f t="shared" si="103"/>
        <v>279.41957225866918</v>
      </c>
      <c r="P353" s="57">
        <f t="shared" si="104"/>
        <v>6.4198539488100241</v>
      </c>
      <c r="Q353" s="63">
        <f t="shared" si="105"/>
        <v>2.4455789630365512E-2</v>
      </c>
      <c r="R353" s="17">
        <f t="shared" si="106"/>
        <v>1.4267635514901592E-5</v>
      </c>
      <c r="S353" s="46">
        <f>0.37*Model!$B$10*(Q353^2*(N353-K353)*I353/(R353*O353^2))^0.33333*(N353-K353)</f>
        <v>319522.98139403289</v>
      </c>
      <c r="T353" s="51">
        <f>Model!$B$32+(90-Model!$B$6)*SIN(RADIANS(-15*(E353+6)))</f>
        <v>-20.68677003443463</v>
      </c>
      <c r="U353" s="46">
        <f t="shared" si="107"/>
        <v>0</v>
      </c>
      <c r="V353" s="51">
        <f t="shared" si="108"/>
        <v>99999</v>
      </c>
      <c r="W353" s="46">
        <f t="shared" si="109"/>
        <v>4.2253521126760563E-2</v>
      </c>
      <c r="X353" s="46">
        <f>0.3*W353*Model!$B$9</f>
        <v>3.8275201289827652</v>
      </c>
      <c r="Y353" s="17">
        <f>(S353-X353)/Model!$B$11</f>
        <v>6.8544278424091795E-3</v>
      </c>
      <c r="Z353" s="46">
        <f t="shared" si="110"/>
        <v>1.1978857083405532E-3</v>
      </c>
      <c r="AA353" s="57">
        <f>Y353/Model!$B$12*3600</f>
        <v>44.379192001570154</v>
      </c>
      <c r="AB353" s="51">
        <f t="shared" si="116"/>
        <v>501.98784744669649</v>
      </c>
      <c r="AC353" s="51">
        <f t="shared" si="111"/>
        <v>1298.0121525533036</v>
      </c>
      <c r="AD353" s="13">
        <f>IF(AE353=0, Model!$B$19, 0 )</f>
        <v>0</v>
      </c>
      <c r="AE353" s="51">
        <f>IF(AE352+AB352-AB353&lt;Model!$B$19*Model!$B$18, AE352+AB352-AB353,  0)</f>
        <v>391.83385821091576</v>
      </c>
      <c r="AF353" s="13">
        <f t="shared" si="112"/>
        <v>17.550000000000114</v>
      </c>
      <c r="AG353" s="50">
        <f t="shared" si="113"/>
        <v>0</v>
      </c>
    </row>
    <row r="354" spans="2:33" x14ac:dyDescent="0.25">
      <c r="B354" s="15">
        <f t="shared" si="114"/>
        <v>17.600000000000115</v>
      </c>
      <c r="C354" s="15">
        <f>B354+Model!$B$4</f>
        <v>19.600000000000115</v>
      </c>
      <c r="D354" s="15">
        <f t="shared" si="115"/>
        <v>1</v>
      </c>
      <c r="E354" s="15">
        <f t="shared" si="95"/>
        <v>19.600000000000115</v>
      </c>
      <c r="F354" s="16">
        <f>IF(AB354&gt;0, VLOOKUP(B354,Model!$A$40:$B$60, 2), 0)</f>
        <v>300</v>
      </c>
      <c r="G354" s="15">
        <f>IF(AB354&gt;0, VLOOKUP(B354,Model!$A$39:$C$58, 3), 0)</f>
        <v>1</v>
      </c>
      <c r="H354" s="15">
        <f t="shared" si="100"/>
        <v>97</v>
      </c>
      <c r="I354" s="45">
        <f>Model!$B$21*EXP((-0.029*9.81*F354)/(8.31*(273+J354)))</f>
        <v>100357.4491247143</v>
      </c>
      <c r="J354" s="15">
        <f>IF(Model!$B$31="Summer",  IF(F354&lt;=2000,  Model!$B$20-Model!$B$35*F354/1000,  IF(F354&lt;Model!$B$36,  Model!$B$33-6.5*F354/1000,  Model!$B$38)),     IF(F354&lt;=2000,  Model!$B$20-Model!$B$35*F354/1000,  IF(F354&lt;Model!$B$36,  Model!$B$33-5.4*F354/1000,   Model!$B$38)))</f>
        <v>-19.088750000000001</v>
      </c>
      <c r="K354" s="15">
        <f t="shared" si="101"/>
        <v>253.91125</v>
      </c>
      <c r="L354" s="45">
        <f>IF(AB353-AA353*(B354-B353)&gt;0, L353-Y353*(B354-B353)*3600-AD354*Model!$B$16, 0)</f>
        <v>908.88399586491767</v>
      </c>
      <c r="M354" s="56">
        <f t="shared" si="102"/>
        <v>31.844860713446565</v>
      </c>
      <c r="N354" s="56">
        <f>Model!$B$13*I354*K354/(Model!$B$13*I354-L354*287*K354)</f>
        <v>304.84486071344656</v>
      </c>
      <c r="O354" s="56">
        <f t="shared" si="103"/>
        <v>279.37805535672328</v>
      </c>
      <c r="P354" s="56">
        <f t="shared" si="104"/>
        <v>6.3783370468641269</v>
      </c>
      <c r="Q354" s="62">
        <f t="shared" si="105"/>
        <v>2.4452841930327353E-2</v>
      </c>
      <c r="R354" s="33">
        <f t="shared" si="106"/>
        <v>1.426331775709922E-5</v>
      </c>
      <c r="S354" s="45">
        <f>0.37*Model!$B$10*(Q354^2*(N354-K354)*I354/(R354*O354^2))^0.33333*(N354-K354)</f>
        <v>318867.90315156861</v>
      </c>
      <c r="T354" s="50">
        <f>Model!$B$32+(90-Model!$B$6)*SIN(RADIANS(-15*(E354+6)))</f>
        <v>-21.106517568638278</v>
      </c>
      <c r="U354" s="45">
        <f t="shared" si="107"/>
        <v>0</v>
      </c>
      <c r="V354" s="50">
        <f t="shared" si="108"/>
        <v>99999</v>
      </c>
      <c r="W354" s="45">
        <f t="shared" si="109"/>
        <v>4.2253521126760563E-2</v>
      </c>
      <c r="X354" s="45">
        <f>0.3*W354*Model!$B$9</f>
        <v>3.8275201289827652</v>
      </c>
      <c r="Y354" s="33">
        <f>(S354-X354)/Model!$B$11</f>
        <v>6.8403748928765338E-3</v>
      </c>
      <c r="Z354" s="45">
        <f t="shared" si="110"/>
        <v>1.2003466297965451E-3</v>
      </c>
      <c r="AA354" s="56">
        <f>Y354/Model!$B$12*3600</f>
        <v>44.28820577196263</v>
      </c>
      <c r="AB354" s="50">
        <f t="shared" si="116"/>
        <v>499.76888784661793</v>
      </c>
      <c r="AC354" s="50">
        <f t="shared" si="111"/>
        <v>1300.2311121533821</v>
      </c>
      <c r="AD354" s="15">
        <f>IF(AE354=0, Model!$B$19, 0 )</f>
        <v>0</v>
      </c>
      <c r="AE354" s="50">
        <f>IF(AE353+AB353-AB354&lt;Model!$B$19*Model!$B$18, AE353+AB353-AB354,  0)</f>
        <v>394.05281781099433</v>
      </c>
      <c r="AF354" s="15">
        <f t="shared" si="112"/>
        <v>17.600000000000115</v>
      </c>
      <c r="AG354" s="50">
        <f t="shared" si="113"/>
        <v>0</v>
      </c>
    </row>
    <row r="355" spans="2:33" x14ac:dyDescent="0.25">
      <c r="B355" s="13">
        <f t="shared" si="114"/>
        <v>17.650000000000116</v>
      </c>
      <c r="C355" s="13">
        <f>B355+Model!$B$4</f>
        <v>19.650000000000116</v>
      </c>
      <c r="D355" s="13">
        <f t="shared" si="115"/>
        <v>1</v>
      </c>
      <c r="E355" s="13">
        <f t="shared" ref="E355:E418" si="117">C355-24*(D355-1)</f>
        <v>19.650000000000116</v>
      </c>
      <c r="F355" s="14">
        <f>IF(AB355&gt;0, VLOOKUP(B355,Model!$A$40:$B$60, 2), 0)</f>
        <v>300</v>
      </c>
      <c r="G355" s="13">
        <f>IF(AB355&gt;0, VLOOKUP(B355,Model!$A$39:$C$58, 3), 0)</f>
        <v>1</v>
      </c>
      <c r="H355" s="13">
        <f t="shared" si="100"/>
        <v>97</v>
      </c>
      <c r="I355" s="46">
        <f>Model!$B$21*EXP((-0.029*9.81*F355)/(8.31*(273+J355)))</f>
        <v>100357.4491247143</v>
      </c>
      <c r="J355" s="13">
        <f>IF(Model!$B$31="Summer",  IF(F355&lt;=2000,  Model!$B$20-Model!$B$35*F355/1000,  IF(F355&lt;Model!$B$36,  Model!$B$33-6.5*F355/1000,  Model!$B$38)),     IF(F355&lt;=2000,  Model!$B$20-Model!$B$35*F355/1000,  IF(F355&lt;Model!$B$36,  Model!$B$33-5.4*F355/1000,   Model!$B$38)))</f>
        <v>-19.088750000000001</v>
      </c>
      <c r="K355" s="13">
        <f t="shared" si="101"/>
        <v>253.91125</v>
      </c>
      <c r="L355" s="46">
        <f>IF(AB354-AA354*(B355-B354)&gt;0, L354-Y354*(B355-B354)*3600-AD355*Model!$B$16, 0)</f>
        <v>907.65272838419992</v>
      </c>
      <c r="M355" s="57">
        <f t="shared" si="102"/>
        <v>31.762042215522058</v>
      </c>
      <c r="N355" s="57">
        <f>Model!$B$13*I355*K355/(Model!$B$13*I355-L355*287*K355)</f>
        <v>304.76204221552206</v>
      </c>
      <c r="O355" s="57">
        <f t="shared" si="103"/>
        <v>279.336646107761</v>
      </c>
      <c r="P355" s="57">
        <f t="shared" si="104"/>
        <v>6.3369277979018737</v>
      </c>
      <c r="Q355" s="63">
        <f t="shared" si="105"/>
        <v>2.4449901873651033E-2</v>
      </c>
      <c r="R355" s="17">
        <f t="shared" si="106"/>
        <v>1.4259011195207144E-5</v>
      </c>
      <c r="S355" s="46">
        <f>0.37*Model!$B$10*(Q355^2*(N355-K355)*I355/(R355*O355^2))^0.33333*(N355-K355)</f>
        <v>318214.74938024476</v>
      </c>
      <c r="T355" s="51">
        <f>Model!$B$32+(90-Model!$B$6)*SIN(RADIANS(-15*(E355+6)))</f>
        <v>-21.523825874795278</v>
      </c>
      <c r="U355" s="46">
        <f t="shared" si="107"/>
        <v>0</v>
      </c>
      <c r="V355" s="51">
        <f t="shared" si="108"/>
        <v>99999</v>
      </c>
      <c r="W355" s="46">
        <f t="shared" si="109"/>
        <v>4.2253521126760563E-2</v>
      </c>
      <c r="X355" s="46">
        <f>0.3*W355*Model!$B$9</f>
        <v>3.8275201289827652</v>
      </c>
      <c r="Y355" s="17">
        <f>(S355-X355)/Model!$B$11</f>
        <v>6.8263632277188839E-3</v>
      </c>
      <c r="Z355" s="46">
        <f t="shared" si="110"/>
        <v>1.2028104091457879E-3</v>
      </c>
      <c r="AA355" s="57">
        <f>Y355/Model!$B$12*3600</f>
        <v>44.197486839239211</v>
      </c>
      <c r="AB355" s="51">
        <f t="shared" si="116"/>
        <v>497.55447755801976</v>
      </c>
      <c r="AC355" s="51">
        <f t="shared" si="111"/>
        <v>1302.4455224419803</v>
      </c>
      <c r="AD355" s="13">
        <f>IF(AE355=0, Model!$B$19, 0 )</f>
        <v>0</v>
      </c>
      <c r="AE355" s="51">
        <f>IF(AE354+AB354-AB355&lt;Model!$B$19*Model!$B$18, AE354+AB354-AB355,  0)</f>
        <v>396.2672280995925</v>
      </c>
      <c r="AF355" s="13">
        <f t="shared" si="112"/>
        <v>17.650000000000116</v>
      </c>
      <c r="AG355" s="50">
        <f t="shared" si="113"/>
        <v>0</v>
      </c>
    </row>
    <row r="356" spans="2:33" x14ac:dyDescent="0.25">
      <c r="B356" s="15">
        <f t="shared" si="114"/>
        <v>17.700000000000117</v>
      </c>
      <c r="C356" s="15">
        <f>B356+Model!$B$4</f>
        <v>19.700000000000117</v>
      </c>
      <c r="D356" s="15">
        <f t="shared" si="115"/>
        <v>1</v>
      </c>
      <c r="E356" s="15">
        <f t="shared" si="117"/>
        <v>19.700000000000117</v>
      </c>
      <c r="F356" s="16">
        <f>IF(AB356&gt;0, VLOOKUP(B356,Model!$A$40:$B$60, 2), 0)</f>
        <v>300</v>
      </c>
      <c r="G356" s="15">
        <f>IF(AB356&gt;0, VLOOKUP(B356,Model!$A$39:$C$58, 3), 0)</f>
        <v>1</v>
      </c>
      <c r="H356" s="15">
        <f t="shared" si="100"/>
        <v>97</v>
      </c>
      <c r="I356" s="45">
        <f>Model!$B$21*EXP((-0.029*9.81*F356)/(8.31*(273+J356)))</f>
        <v>100357.4491247143</v>
      </c>
      <c r="J356" s="15">
        <f>IF(Model!$B$31="Summer",  IF(F356&lt;=2000,  Model!$B$20-Model!$B$35*F356/1000,  IF(F356&lt;Model!$B$36,  Model!$B$33-6.5*F356/1000,  Model!$B$38)),     IF(F356&lt;=2000,  Model!$B$20-Model!$B$35*F356/1000,  IF(F356&lt;Model!$B$36,  Model!$B$33-5.4*F356/1000,   Model!$B$38)))</f>
        <v>-19.088750000000001</v>
      </c>
      <c r="K356" s="15">
        <f t="shared" si="101"/>
        <v>253.91125</v>
      </c>
      <c r="L356" s="45">
        <f>IF(AB355-AA355*(B356-B355)&gt;0, L355-Y355*(B356-B355)*3600-AD356*Model!$B$16, 0)</f>
        <v>906.42398300321054</v>
      </c>
      <c r="M356" s="56">
        <f t="shared" si="102"/>
        <v>31.679438210064234</v>
      </c>
      <c r="N356" s="56">
        <f>Model!$B$13*I356*K356/(Model!$B$13*I356-L356*287*K356)</f>
        <v>304.67943821006423</v>
      </c>
      <c r="O356" s="56">
        <f t="shared" si="103"/>
        <v>279.29534410503209</v>
      </c>
      <c r="P356" s="56">
        <f t="shared" si="104"/>
        <v>6.2956257951729615</v>
      </c>
      <c r="Q356" s="62">
        <f t="shared" si="105"/>
        <v>2.4446969431457279E-2</v>
      </c>
      <c r="R356" s="33">
        <f t="shared" si="106"/>
        <v>1.4254715786923336E-5</v>
      </c>
      <c r="S356" s="45">
        <f>0.37*Model!$B$10*(Q356^2*(N356-K356)*I356/(R356*O356^2))^0.33333*(N356-K356)</f>
        <v>317563.51235575695</v>
      </c>
      <c r="T356" s="50">
        <f>Model!$B$32+(90-Model!$B$6)*SIN(RADIANS(-15*(E356+6)))</f>
        <v>-21.938623449275624</v>
      </c>
      <c r="U356" s="45">
        <f t="shared" si="107"/>
        <v>0</v>
      </c>
      <c r="V356" s="50">
        <f t="shared" si="108"/>
        <v>99999</v>
      </c>
      <c r="W356" s="45">
        <f t="shared" si="109"/>
        <v>4.2253521126760563E-2</v>
      </c>
      <c r="X356" s="45">
        <f>0.3*W356*Model!$B$9</f>
        <v>3.8275201289827652</v>
      </c>
      <c r="Y356" s="33">
        <f>(S356-X356)/Model!$B$11</f>
        <v>6.8123926812319636E-3</v>
      </c>
      <c r="Z356" s="45">
        <f t="shared" si="110"/>
        <v>1.2052770485467199E-3</v>
      </c>
      <c r="AA356" s="56">
        <f>Y356/Model!$B$12*3600</f>
        <v>44.107034130542814</v>
      </c>
      <c r="AB356" s="50">
        <f t="shared" si="116"/>
        <v>495.34460321605775</v>
      </c>
      <c r="AC356" s="50">
        <f t="shared" si="111"/>
        <v>1304.6553967839423</v>
      </c>
      <c r="AD356" s="15">
        <f>IF(AE356=0, Model!$B$19, 0 )</f>
        <v>0</v>
      </c>
      <c r="AE356" s="50">
        <f>IF(AE355+AB355-AB356&lt;Model!$B$19*Model!$B$18, AE355+AB355-AB356,  0)</f>
        <v>398.47710244155451</v>
      </c>
      <c r="AF356" s="15">
        <f t="shared" si="112"/>
        <v>17.700000000000117</v>
      </c>
      <c r="AG356" s="50">
        <f t="shared" si="113"/>
        <v>0</v>
      </c>
    </row>
    <row r="357" spans="2:33" x14ac:dyDescent="0.25">
      <c r="B357" s="13">
        <f t="shared" si="114"/>
        <v>17.750000000000117</v>
      </c>
      <c r="C357" s="13">
        <f>B357+Model!$B$4</f>
        <v>19.750000000000117</v>
      </c>
      <c r="D357" s="13">
        <f t="shared" si="115"/>
        <v>1</v>
      </c>
      <c r="E357" s="13">
        <f t="shared" si="117"/>
        <v>19.750000000000117</v>
      </c>
      <c r="F357" s="14">
        <f>IF(AB357&gt;0, VLOOKUP(B357,Model!$A$40:$B$60, 2), 0)</f>
        <v>300</v>
      </c>
      <c r="G357" s="13">
        <f>IF(AB357&gt;0, VLOOKUP(B357,Model!$A$39:$C$58, 3), 0)</f>
        <v>1</v>
      </c>
      <c r="H357" s="13">
        <f t="shared" si="100"/>
        <v>97</v>
      </c>
      <c r="I357" s="46">
        <f>Model!$B$21*EXP((-0.029*9.81*F357)/(8.31*(273+J357)))</f>
        <v>100357.4491247143</v>
      </c>
      <c r="J357" s="13">
        <f>IF(Model!$B$31="Summer",  IF(F357&lt;=2000,  Model!$B$20-Model!$B$35*F357/1000,  IF(F357&lt;Model!$B$36,  Model!$B$33-6.5*F357/1000,  Model!$B$38)),     IF(F357&lt;=2000,  Model!$B$20-Model!$B$35*F357/1000,  IF(F357&lt;Model!$B$36,  Model!$B$33-5.4*F357/1000,   Model!$B$38)))</f>
        <v>-19.088750000000001</v>
      </c>
      <c r="K357" s="13">
        <f t="shared" si="101"/>
        <v>253.91125</v>
      </c>
      <c r="L357" s="46">
        <f>IF(AB356-AA356*(B357-B356)&gt;0, L356-Y356*(B357-B356)*3600-AD357*Model!$B$16, 0)</f>
        <v>905.19775232058873</v>
      </c>
      <c r="M357" s="57">
        <f t="shared" si="102"/>
        <v>31.597047887716599</v>
      </c>
      <c r="N357" s="57">
        <f>Model!$B$13*I357*K357/(Model!$B$13*I357-L357*287*K357)</f>
        <v>304.5970478877166</v>
      </c>
      <c r="O357" s="57">
        <f t="shared" si="103"/>
        <v>279.2541489438583</v>
      </c>
      <c r="P357" s="57">
        <f t="shared" si="104"/>
        <v>6.254430633999144</v>
      </c>
      <c r="Q357" s="63">
        <f t="shared" si="105"/>
        <v>2.4444044575013941E-2</v>
      </c>
      <c r="R357" s="17">
        <f t="shared" si="106"/>
        <v>1.4250431490161261E-5</v>
      </c>
      <c r="S357" s="46">
        <f>0.37*Model!$B$10*(Q357^2*(N357-K357)*I357/(R357*O357^2))^0.33333*(N357-K357)</f>
        <v>316914.18439422111</v>
      </c>
      <c r="T357" s="51">
        <f>Model!$B$32+(90-Model!$B$6)*SIN(RADIANS(-15*(E357+6)))</f>
        <v>-22.350839218650332</v>
      </c>
      <c r="U357" s="46">
        <f t="shared" si="107"/>
        <v>0</v>
      </c>
      <c r="V357" s="51">
        <f t="shared" si="108"/>
        <v>99999</v>
      </c>
      <c r="W357" s="46">
        <f t="shared" si="109"/>
        <v>4.2253521126760563E-2</v>
      </c>
      <c r="X357" s="46">
        <f>0.3*W357*Model!$B$9</f>
        <v>3.8275201289827652</v>
      </c>
      <c r="Y357" s="17">
        <f>(S357-X357)/Model!$B$11</f>
        <v>6.7984630885786152E-3</v>
      </c>
      <c r="Z357" s="46">
        <f t="shared" si="110"/>
        <v>1.2077465501580621E-3</v>
      </c>
      <c r="AA357" s="57">
        <f>Y357/Model!$B$12*3600</f>
        <v>44.016846578630485</v>
      </c>
      <c r="AB357" s="51">
        <f t="shared" si="116"/>
        <v>493.1392515095306</v>
      </c>
      <c r="AC357" s="51">
        <f t="shared" si="111"/>
        <v>1306.8607484904694</v>
      </c>
      <c r="AD357" s="13">
        <f>IF(AE357=0, Model!$B$19, 0 )</f>
        <v>0</v>
      </c>
      <c r="AE357" s="51">
        <f>IF(AE356+AB356-AB357&lt;Model!$B$19*Model!$B$18, AE356+AB356-AB357,  0)</f>
        <v>400.68245414808166</v>
      </c>
      <c r="AF357" s="13">
        <f t="shared" si="112"/>
        <v>17.750000000000117</v>
      </c>
      <c r="AG357" s="50">
        <f t="shared" si="113"/>
        <v>0</v>
      </c>
    </row>
    <row r="358" spans="2:33" x14ac:dyDescent="0.25">
      <c r="B358" s="15">
        <f t="shared" si="114"/>
        <v>17.800000000000118</v>
      </c>
      <c r="C358" s="15">
        <f>B358+Model!$B$4</f>
        <v>19.800000000000118</v>
      </c>
      <c r="D358" s="15">
        <f t="shared" si="115"/>
        <v>1</v>
      </c>
      <c r="E358" s="15">
        <f t="shared" si="117"/>
        <v>19.800000000000118</v>
      </c>
      <c r="F358" s="16">
        <f>IF(AB358&gt;0, VLOOKUP(B358,Model!$A$40:$B$60, 2), 0)</f>
        <v>300</v>
      </c>
      <c r="G358" s="15">
        <f>IF(AB358&gt;0, VLOOKUP(B358,Model!$A$39:$C$58, 3), 0)</f>
        <v>1</v>
      </c>
      <c r="H358" s="15">
        <f t="shared" si="100"/>
        <v>97</v>
      </c>
      <c r="I358" s="45">
        <f>Model!$B$21*EXP((-0.029*9.81*F358)/(8.31*(273+J358)))</f>
        <v>100357.4491247143</v>
      </c>
      <c r="J358" s="15">
        <f>IF(Model!$B$31="Summer",  IF(F358&lt;=2000,  Model!$B$20-Model!$B$35*F358/1000,  IF(F358&lt;Model!$B$36,  Model!$B$33-6.5*F358/1000,  Model!$B$38)),     IF(F358&lt;=2000,  Model!$B$20-Model!$B$35*F358/1000,  IF(F358&lt;Model!$B$36,  Model!$B$33-5.4*F358/1000,   Model!$B$38)))</f>
        <v>-19.088750000000001</v>
      </c>
      <c r="K358" s="15">
        <f t="shared" si="101"/>
        <v>253.91125</v>
      </c>
      <c r="L358" s="45">
        <f>IF(AB357-AA357*(B358-B357)&gt;0, L357-Y357*(B358-B357)*3600-AD358*Model!$B$16, 0)</f>
        <v>903.97402896464462</v>
      </c>
      <c r="M358" s="56">
        <f t="shared" si="102"/>
        <v>31.514870443239943</v>
      </c>
      <c r="N358" s="56">
        <f>Model!$B$13*I358*K358/(Model!$B$13*I358-L358*287*K358)</f>
        <v>304.51487044323994</v>
      </c>
      <c r="O358" s="56">
        <f t="shared" si="103"/>
        <v>279.21306022161997</v>
      </c>
      <c r="P358" s="56">
        <f t="shared" si="104"/>
        <v>6.213341911760816</v>
      </c>
      <c r="Q358" s="62">
        <f t="shared" si="105"/>
        <v>2.4441127275735018E-2</v>
      </c>
      <c r="R358" s="33">
        <f t="shared" si="106"/>
        <v>1.4246158263048477E-5</v>
      </c>
      <c r="S358" s="45">
        <f>0.37*Model!$B$10*(Q358^2*(N358-K358)*I358/(R358*O358^2))^0.33333*(N358-K358)</f>
        <v>316266.75785190973</v>
      </c>
      <c r="T358" s="50">
        <f>Model!$B$32+(90-Model!$B$6)*SIN(RADIANS(-15*(E358+6)))</f>
        <v>-22.760402551869422</v>
      </c>
      <c r="U358" s="45">
        <f t="shared" si="107"/>
        <v>0</v>
      </c>
      <c r="V358" s="50">
        <f t="shared" si="108"/>
        <v>99999</v>
      </c>
      <c r="W358" s="45">
        <f t="shared" si="109"/>
        <v>4.2253521126760563E-2</v>
      </c>
      <c r="X358" s="45">
        <f>0.3*W358*Model!$B$9</f>
        <v>3.8275201289827652</v>
      </c>
      <c r="Y358" s="33">
        <f>(S358-X358)/Model!$B$11</f>
        <v>6.7845742857831331E-3</v>
      </c>
      <c r="Z358" s="45">
        <f t="shared" si="110"/>
        <v>1.210218916138819E-3</v>
      </c>
      <c r="AA358" s="56">
        <f>Y358/Model!$B$12*3600</f>
        <v>43.926923121836751</v>
      </c>
      <c r="AB358" s="50">
        <f t="shared" si="116"/>
        <v>490.93840918059902</v>
      </c>
      <c r="AC358" s="50">
        <f t="shared" si="111"/>
        <v>1309.0615908194009</v>
      </c>
      <c r="AD358" s="15">
        <f>IF(AE358=0, Model!$B$19, 0 )</f>
        <v>0</v>
      </c>
      <c r="AE358" s="50">
        <f>IF(AE357+AB357-AB358&lt;Model!$B$19*Model!$B$18, AE357+AB357-AB358,  0)</f>
        <v>402.88329647701323</v>
      </c>
      <c r="AF358" s="15">
        <f t="shared" si="112"/>
        <v>17.800000000000118</v>
      </c>
      <c r="AG358" s="50">
        <f t="shared" si="113"/>
        <v>0</v>
      </c>
    </row>
    <row r="359" spans="2:33" x14ac:dyDescent="0.25">
      <c r="B359" s="13">
        <f t="shared" si="114"/>
        <v>17.850000000000119</v>
      </c>
      <c r="C359" s="13">
        <f>B359+Model!$B$4</f>
        <v>19.850000000000119</v>
      </c>
      <c r="D359" s="13">
        <f t="shared" si="115"/>
        <v>1</v>
      </c>
      <c r="E359" s="13">
        <f t="shared" si="117"/>
        <v>19.850000000000119</v>
      </c>
      <c r="F359" s="14">
        <f>IF(AB359&gt;0, VLOOKUP(B359,Model!$A$40:$B$60, 2), 0)</f>
        <v>300</v>
      </c>
      <c r="G359" s="13">
        <f>IF(AB359&gt;0, VLOOKUP(B359,Model!$A$39:$C$58, 3), 0)</f>
        <v>1</v>
      </c>
      <c r="H359" s="13">
        <f t="shared" si="100"/>
        <v>97</v>
      </c>
      <c r="I359" s="46">
        <f>Model!$B$21*EXP((-0.029*9.81*F359)/(8.31*(273+J359)))</f>
        <v>100357.4491247143</v>
      </c>
      <c r="J359" s="13">
        <f>IF(Model!$B$31="Summer",  IF(F359&lt;=2000,  Model!$B$20-Model!$B$35*F359/1000,  IF(F359&lt;Model!$B$36,  Model!$B$33-6.5*F359/1000,  Model!$B$38)),     IF(F359&lt;=2000,  Model!$B$20-Model!$B$35*F359/1000,  IF(F359&lt;Model!$B$36,  Model!$B$33-5.4*F359/1000,   Model!$B$38)))</f>
        <v>-19.088750000000001</v>
      </c>
      <c r="K359" s="13">
        <f t="shared" si="101"/>
        <v>253.91125</v>
      </c>
      <c r="L359" s="46">
        <f>IF(AB358-AA358*(B359-B358)&gt;0, L358-Y358*(B359-B358)*3600-AD359*Model!$B$16, 0)</f>
        <v>902.75280559320368</v>
      </c>
      <c r="M359" s="57">
        <f t="shared" si="102"/>
        <v>31.432905075485962</v>
      </c>
      <c r="N359" s="57">
        <f>Model!$B$13*I359*K359/(Model!$B$13*I359-L359*287*K359)</f>
        <v>304.43290507548596</v>
      </c>
      <c r="O359" s="57">
        <f t="shared" si="103"/>
        <v>279.17207753774301</v>
      </c>
      <c r="P359" s="57">
        <f t="shared" si="104"/>
        <v>6.1723592278838257</v>
      </c>
      <c r="Q359" s="63">
        <f t="shared" si="105"/>
        <v>2.4438217505179754E-2</v>
      </c>
      <c r="R359" s="17">
        <f t="shared" si="106"/>
        <v>1.4241896063925272E-5</v>
      </c>
      <c r="S359" s="46">
        <f>0.37*Model!$B$10*(Q359^2*(N359-K359)*I359/(R359*O359^2))^0.33333*(N359-K359)</f>
        <v>315621.22512499016</v>
      </c>
      <c r="T359" s="51">
        <f>Model!$B$32+(90-Model!$B$6)*SIN(RADIANS(-15*(E359+6)))</f>
        <v>-23.167243272364178</v>
      </c>
      <c r="U359" s="46">
        <f t="shared" si="107"/>
        <v>0</v>
      </c>
      <c r="V359" s="51">
        <f t="shared" si="108"/>
        <v>99999</v>
      </c>
      <c r="W359" s="46">
        <f t="shared" si="109"/>
        <v>4.2253521126760563E-2</v>
      </c>
      <c r="X359" s="46">
        <f>0.3*W359*Model!$B$9</f>
        <v>3.8275201289827652</v>
      </c>
      <c r="Y359" s="17">
        <f>(S359-X359)/Model!$B$11</f>
        <v>6.7707261097256499E-3</v>
      </c>
      <c r="Z359" s="46">
        <f t="shared" si="110"/>
        <v>1.2126941486482782E-3</v>
      </c>
      <c r="AA359" s="57">
        <f>Y359/Model!$B$12*3600</f>
        <v>43.8372627040373</v>
      </c>
      <c r="AB359" s="51">
        <f t="shared" si="116"/>
        <v>488.74206302450716</v>
      </c>
      <c r="AC359" s="51">
        <f t="shared" si="111"/>
        <v>1311.2579369754928</v>
      </c>
      <c r="AD359" s="13">
        <f>IF(AE359=0, Model!$B$19, 0 )</f>
        <v>0</v>
      </c>
      <c r="AE359" s="51">
        <f>IF(AE358+AB358-AB359&lt;Model!$B$19*Model!$B$18, AE358+AB358-AB359,  0)</f>
        <v>405.0796426331051</v>
      </c>
      <c r="AF359" s="13">
        <f t="shared" si="112"/>
        <v>17.850000000000119</v>
      </c>
      <c r="AG359" s="50">
        <f t="shared" si="113"/>
        <v>0</v>
      </c>
    </row>
    <row r="360" spans="2:33" x14ac:dyDescent="0.25">
      <c r="B360" s="15">
        <f t="shared" si="114"/>
        <v>17.900000000000119</v>
      </c>
      <c r="C360" s="15">
        <f>B360+Model!$B$4</f>
        <v>19.900000000000119</v>
      </c>
      <c r="D360" s="15">
        <f t="shared" si="115"/>
        <v>1</v>
      </c>
      <c r="E360" s="15">
        <f t="shared" si="117"/>
        <v>19.900000000000119</v>
      </c>
      <c r="F360" s="16">
        <f>IF(AB360&gt;0, VLOOKUP(B360,Model!$A$40:$B$60, 2), 0)</f>
        <v>300</v>
      </c>
      <c r="G360" s="15">
        <f>IF(AB360&gt;0, VLOOKUP(B360,Model!$A$39:$C$58, 3), 0)</f>
        <v>1</v>
      </c>
      <c r="H360" s="15">
        <f t="shared" si="100"/>
        <v>97</v>
      </c>
      <c r="I360" s="45">
        <f>Model!$B$21*EXP((-0.029*9.81*F360)/(8.31*(273+J360)))</f>
        <v>100357.4491247143</v>
      </c>
      <c r="J360" s="15">
        <f>IF(Model!$B$31="Summer",  IF(F360&lt;=2000,  Model!$B$20-Model!$B$35*F360/1000,  IF(F360&lt;Model!$B$36,  Model!$B$33-6.5*F360/1000,  Model!$B$38)),     IF(F360&lt;=2000,  Model!$B$20-Model!$B$35*F360/1000,  IF(F360&lt;Model!$B$36,  Model!$B$33-5.4*F360/1000,   Model!$B$38)))</f>
        <v>-19.088750000000001</v>
      </c>
      <c r="K360" s="15">
        <f t="shared" si="101"/>
        <v>253.91125</v>
      </c>
      <c r="L360" s="45">
        <f>IF(AB359-AA359*(B360-B359)&gt;0, L359-Y359*(B360-B359)*3600-AD360*Model!$B$16, 0)</f>
        <v>901.53407489345307</v>
      </c>
      <c r="M360" s="56">
        <f t="shared" si="102"/>
        <v>31.351150987370545</v>
      </c>
      <c r="N360" s="56">
        <f>Model!$B$13*I360*K360/(Model!$B$13*I360-L360*287*K360)</f>
        <v>304.35115098737054</v>
      </c>
      <c r="O360" s="56">
        <f t="shared" si="103"/>
        <v>279.13120049368524</v>
      </c>
      <c r="P360" s="56">
        <f t="shared" si="104"/>
        <v>6.1314821838261171</v>
      </c>
      <c r="Q360" s="62">
        <f t="shared" si="105"/>
        <v>2.4435315235051654E-2</v>
      </c>
      <c r="R360" s="33">
        <f t="shared" si="106"/>
        <v>1.4237644851343265E-5</v>
      </c>
      <c r="S360" s="45">
        <f>0.37*Model!$B$10*(Q360^2*(N360-K360)*I360/(R360*O360^2))^0.33333*(N360-K360)</f>
        <v>314977.57864926278</v>
      </c>
      <c r="T360" s="50">
        <f>Model!$B$32+(90-Model!$B$6)*SIN(RADIANS(-15*(E360+6)))</f>
        <v>-23.571291670071599</v>
      </c>
      <c r="U360" s="45">
        <f t="shared" si="107"/>
        <v>0</v>
      </c>
      <c r="V360" s="50">
        <f t="shared" si="108"/>
        <v>99999</v>
      </c>
      <c r="W360" s="45">
        <f t="shared" si="109"/>
        <v>4.2253521126760563E-2</v>
      </c>
      <c r="X360" s="45">
        <f>0.3*W360*Model!$B$9</f>
        <v>3.8275201289827652</v>
      </c>
      <c r="Y360" s="33">
        <f>(S360-X360)/Model!$B$11</f>
        <v>6.7569183981365183E-3</v>
      </c>
      <c r="Z360" s="45">
        <f t="shared" si="110"/>
        <v>1.2151722498460204E-3</v>
      </c>
      <c r="AA360" s="56">
        <f>Y360/Model!$B$12*3600</f>
        <v>43.747864274612589</v>
      </c>
      <c r="AB360" s="50">
        <f t="shared" si="116"/>
        <v>486.55019988930525</v>
      </c>
      <c r="AC360" s="50">
        <f t="shared" si="111"/>
        <v>1313.4498001106947</v>
      </c>
      <c r="AD360" s="15">
        <f>IF(AE360=0, Model!$B$19, 0 )</f>
        <v>0</v>
      </c>
      <c r="AE360" s="50">
        <f>IF(AE359+AB359-AB360&lt;Model!$B$19*Model!$B$18, AE359+AB359-AB360,  0)</f>
        <v>407.27150576830701</v>
      </c>
      <c r="AF360" s="15">
        <f t="shared" si="112"/>
        <v>17.900000000000119</v>
      </c>
      <c r="AG360" s="50">
        <f t="shared" si="113"/>
        <v>0</v>
      </c>
    </row>
    <row r="361" spans="2:33" x14ac:dyDescent="0.25">
      <c r="B361" s="13">
        <f t="shared" si="114"/>
        <v>17.95000000000012</v>
      </c>
      <c r="C361" s="13">
        <f>B361+Model!$B$4</f>
        <v>19.95000000000012</v>
      </c>
      <c r="D361" s="13">
        <f t="shared" si="115"/>
        <v>1</v>
      </c>
      <c r="E361" s="13">
        <f t="shared" si="117"/>
        <v>19.95000000000012</v>
      </c>
      <c r="F361" s="14">
        <f>IF(AB361&gt;0, VLOOKUP(B361,Model!$A$40:$B$60, 2), 0)</f>
        <v>300</v>
      </c>
      <c r="G361" s="13">
        <f>IF(AB361&gt;0, VLOOKUP(B361,Model!$A$39:$C$58, 3), 0)</f>
        <v>1</v>
      </c>
      <c r="H361" s="13">
        <f t="shared" si="100"/>
        <v>97</v>
      </c>
      <c r="I361" s="46">
        <f>Model!$B$21*EXP((-0.029*9.81*F361)/(8.31*(273+J361)))</f>
        <v>100357.4491247143</v>
      </c>
      <c r="J361" s="13">
        <f>IF(Model!$B$31="Summer",  IF(F361&lt;=2000,  Model!$B$20-Model!$B$35*F361/1000,  IF(F361&lt;Model!$B$36,  Model!$B$33-6.5*F361/1000,  Model!$B$38)),     IF(F361&lt;=2000,  Model!$B$20-Model!$B$35*F361/1000,  IF(F361&lt;Model!$B$36,  Model!$B$33-5.4*F361/1000,   Model!$B$38)))</f>
        <v>-19.088750000000001</v>
      </c>
      <c r="K361" s="13">
        <f t="shared" si="101"/>
        <v>253.91125</v>
      </c>
      <c r="L361" s="46">
        <f>IF(AB360-AA360*(B361-B360)&gt;0, L360-Y360*(B361-B360)*3600-AD361*Model!$B$16, 0)</f>
        <v>900.31782958178849</v>
      </c>
      <c r="M361" s="57">
        <f t="shared" si="102"/>
        <v>31.269607385847962</v>
      </c>
      <c r="N361" s="57">
        <f>Model!$B$13*I361*K361/(Model!$B$13*I361-L361*287*K361)</f>
        <v>304.26960738584796</v>
      </c>
      <c r="O361" s="57">
        <f t="shared" si="103"/>
        <v>279.09042869292398</v>
      </c>
      <c r="P361" s="57">
        <f t="shared" si="104"/>
        <v>6.0907103830648257</v>
      </c>
      <c r="Q361" s="63">
        <f t="shared" si="105"/>
        <v>2.4432420437197604E-2</v>
      </c>
      <c r="R361" s="17">
        <f t="shared" si="106"/>
        <v>1.4233404584064092E-5</v>
      </c>
      <c r="S361" s="46">
        <f>0.37*Model!$B$10*(Q361^2*(N361-K361)*I361/(R361*O361^2))^0.33333*(N361-K361)</f>
        <v>314335.81089990487</v>
      </c>
      <c r="T361" s="51">
        <f>Model!$B$32+(90-Model!$B$6)*SIN(RADIANS(-15*(E361+6)))</f>
        <v>-23.972478513378721</v>
      </c>
      <c r="U361" s="46">
        <f t="shared" si="107"/>
        <v>0</v>
      </c>
      <c r="V361" s="51">
        <f t="shared" si="108"/>
        <v>99999</v>
      </c>
      <c r="W361" s="46">
        <f t="shared" si="109"/>
        <v>4.2253521126760563E-2</v>
      </c>
      <c r="X361" s="46">
        <f>0.3*W361*Model!$B$9</f>
        <v>3.8275201289827652</v>
      </c>
      <c r="Y361" s="17">
        <f>(S361-X361)/Model!$B$11</f>
        <v>6.7431509895908162E-3</v>
      </c>
      <c r="Z361" s="46">
        <f t="shared" si="110"/>
        <v>1.2176532218919139E-3</v>
      </c>
      <c r="AA361" s="57">
        <f>Y361/Model!$B$12*3600</f>
        <v>43.658726788412281</v>
      </c>
      <c r="AB361" s="51">
        <f t="shared" si="116"/>
        <v>484.36280667557457</v>
      </c>
      <c r="AC361" s="51">
        <f t="shared" si="111"/>
        <v>1315.6371933244254</v>
      </c>
      <c r="AD361" s="13">
        <f>IF(AE361=0, Model!$B$19, 0 )</f>
        <v>0</v>
      </c>
      <c r="AE361" s="51">
        <f>IF(AE360+AB360-AB361&lt;Model!$B$19*Model!$B$18, AE360+AB360-AB361,  0)</f>
        <v>409.45889898203768</v>
      </c>
      <c r="AF361" s="13">
        <f t="shared" si="112"/>
        <v>17.95000000000012</v>
      </c>
      <c r="AG361" s="50">
        <f t="shared" si="113"/>
        <v>0</v>
      </c>
    </row>
    <row r="362" spans="2:33" x14ac:dyDescent="0.25">
      <c r="B362" s="15">
        <f t="shared" si="114"/>
        <v>18.000000000000121</v>
      </c>
      <c r="C362" s="15">
        <f>B362+Model!$B$4</f>
        <v>20.000000000000121</v>
      </c>
      <c r="D362" s="15">
        <f t="shared" si="115"/>
        <v>1</v>
      </c>
      <c r="E362" s="15">
        <f t="shared" si="117"/>
        <v>20.000000000000121</v>
      </c>
      <c r="F362" s="16">
        <f>IF(AB362&gt;0, VLOOKUP(B362,Model!$A$40:$B$60, 2), 0)</f>
        <v>300</v>
      </c>
      <c r="G362" s="15">
        <f>IF(AB362&gt;0, VLOOKUP(B362,Model!$A$39:$C$58, 3), 0)</f>
        <v>1</v>
      </c>
      <c r="H362" s="15">
        <f t="shared" si="100"/>
        <v>97</v>
      </c>
      <c r="I362" s="45">
        <f>Model!$B$21*EXP((-0.029*9.81*F362)/(8.31*(273+J362)))</f>
        <v>100357.4491247143</v>
      </c>
      <c r="J362" s="15">
        <f>IF(Model!$B$31="Summer",  IF(F362&lt;=2000,  Model!$B$20-Model!$B$35*F362/1000,  IF(F362&lt;Model!$B$36,  Model!$B$33-6.5*F362/1000,  Model!$B$38)),     IF(F362&lt;=2000,  Model!$B$20-Model!$B$35*F362/1000,  IF(F362&lt;Model!$B$36,  Model!$B$33-5.4*F362/1000,   Model!$B$38)))</f>
        <v>-19.088750000000001</v>
      </c>
      <c r="K362" s="15">
        <f t="shared" si="101"/>
        <v>253.91125</v>
      </c>
      <c r="L362" s="45">
        <f>IF(AB361-AA361*(B362-B361)&gt;0, L361-Y361*(B362-B361)*3600-AD362*Model!$B$16, 0)</f>
        <v>899.10406240366217</v>
      </c>
      <c r="M362" s="56">
        <f t="shared" si="102"/>
        <v>31.188273481884607</v>
      </c>
      <c r="N362" s="56">
        <f>Model!$B$13*I362*K362/(Model!$B$13*I362-L362*287*K362)</f>
        <v>304.18827348188461</v>
      </c>
      <c r="O362" s="56">
        <f t="shared" si="103"/>
        <v>279.0497617409423</v>
      </c>
      <c r="P362" s="56">
        <f t="shared" si="104"/>
        <v>6.0500434310831483</v>
      </c>
      <c r="Q362" s="62">
        <f t="shared" si="105"/>
        <v>2.4429533083606902E-2</v>
      </c>
      <c r="R362" s="33">
        <f t="shared" si="106"/>
        <v>1.4229175221057997E-5</v>
      </c>
      <c r="S362" s="45">
        <f>0.37*Model!$B$10*(Q362^2*(N362-K362)*I362/(R362*O362^2))^0.33333*(N362-K362)</f>
        <v>313695.9143912131</v>
      </c>
      <c r="T362" s="50">
        <f>Model!$B$32+(90-Model!$B$6)*SIN(RADIANS(-15*(E362+6)))</f>
        <v>-24.370735060985293</v>
      </c>
      <c r="U362" s="45">
        <f t="shared" si="107"/>
        <v>0</v>
      </c>
      <c r="V362" s="50">
        <f t="shared" si="108"/>
        <v>99999</v>
      </c>
      <c r="W362" s="45">
        <f t="shared" si="109"/>
        <v>4.2253521126760563E-2</v>
      </c>
      <c r="X362" s="45">
        <f>0.3*W362*Model!$B$9</f>
        <v>3.8275201289827652</v>
      </c>
      <c r="Y362" s="33">
        <f>(S362-X362)/Model!$B$11</f>
        <v>6.7294237235028236E-3</v>
      </c>
      <c r="Z362" s="45">
        <f t="shared" si="110"/>
        <v>1.2201370669461219E-3</v>
      </c>
      <c r="AA362" s="56">
        <f>Y362/Model!$B$12*3600</f>
        <v>43.569849205719464</v>
      </c>
      <c r="AB362" s="50">
        <f t="shared" si="116"/>
        <v>482.17987033615395</v>
      </c>
      <c r="AC362" s="50">
        <f t="shared" si="111"/>
        <v>1317.820129663846</v>
      </c>
      <c r="AD362" s="15">
        <f>IF(AE362=0, Model!$B$19, 0 )</f>
        <v>0</v>
      </c>
      <c r="AE362" s="50">
        <f>IF(AE361+AB361-AB362&lt;Model!$B$19*Model!$B$18, AE361+AB361-AB362,  0)</f>
        <v>411.6418353214583</v>
      </c>
      <c r="AF362" s="15">
        <f t="shared" si="112"/>
        <v>18.000000000000121</v>
      </c>
      <c r="AG362" s="50">
        <f t="shared" si="113"/>
        <v>0</v>
      </c>
    </row>
    <row r="363" spans="2:33" x14ac:dyDescent="0.25">
      <c r="B363" s="13">
        <f t="shared" si="114"/>
        <v>18.050000000000122</v>
      </c>
      <c r="C363" s="13">
        <f>B363+Model!$B$4</f>
        <v>20.050000000000122</v>
      </c>
      <c r="D363" s="13">
        <f t="shared" si="115"/>
        <v>1</v>
      </c>
      <c r="E363" s="13">
        <f t="shared" si="117"/>
        <v>20.050000000000122</v>
      </c>
      <c r="F363" s="14">
        <f>IF(AB363&gt;0, VLOOKUP(B363,Model!$A$40:$B$60, 2), 0)</f>
        <v>300</v>
      </c>
      <c r="G363" s="13">
        <f>IF(AB363&gt;0, VLOOKUP(B363,Model!$A$39:$C$58, 3), 0)</f>
        <v>1</v>
      </c>
      <c r="H363" s="13">
        <f t="shared" si="100"/>
        <v>97</v>
      </c>
      <c r="I363" s="46">
        <f>Model!$B$21*EXP((-0.029*9.81*F363)/(8.31*(273+J363)))</f>
        <v>100357.4491247143</v>
      </c>
      <c r="J363" s="13">
        <f>IF(Model!$B$31="Summer",  IF(F363&lt;=2000,  Model!$B$20-Model!$B$35*F363/1000,  IF(F363&lt;Model!$B$36,  Model!$B$33-6.5*F363/1000,  Model!$B$38)),     IF(F363&lt;=2000,  Model!$B$20-Model!$B$35*F363/1000,  IF(F363&lt;Model!$B$36,  Model!$B$33-5.4*F363/1000,   Model!$B$38)))</f>
        <v>-19.088750000000001</v>
      </c>
      <c r="K363" s="13">
        <f t="shared" si="101"/>
        <v>253.91125</v>
      </c>
      <c r="L363" s="46">
        <f>IF(AB362-AA362*(B363-B362)&gt;0, L362-Y362*(B363-B362)*3600-AD363*Model!$B$16, 0)</f>
        <v>897.89276613343168</v>
      </c>
      <c r="M363" s="57">
        <f t="shared" si="102"/>
        <v>31.107148490433417</v>
      </c>
      <c r="N363" s="57">
        <f>Model!$B$13*I363*K363/(Model!$B$13*I363-L363*287*K363)</f>
        <v>304.10714849043342</v>
      </c>
      <c r="O363" s="57">
        <f t="shared" si="103"/>
        <v>279.00919924521668</v>
      </c>
      <c r="P363" s="57">
        <f t="shared" si="104"/>
        <v>6.0094809353575531</v>
      </c>
      <c r="Q363" s="63">
        <f t="shared" si="105"/>
        <v>2.4426653146410383E-2</v>
      </c>
      <c r="R363" s="17">
        <f t="shared" si="106"/>
        <v>1.4224956721502534E-5</v>
      </c>
      <c r="S363" s="46">
        <f>0.37*Model!$B$10*(Q363^2*(N363-K363)*I363/(R363*O363^2))^0.33333*(N363-K363)</f>
        <v>313057.88167634991</v>
      </c>
      <c r="T363" s="51">
        <f>Model!$B$32+(90-Model!$B$6)*SIN(RADIANS(-15*(E363+6)))</f>
        <v>-24.765993073682086</v>
      </c>
      <c r="U363" s="46">
        <f t="shared" si="107"/>
        <v>0</v>
      </c>
      <c r="V363" s="51">
        <f t="shared" si="108"/>
        <v>99999</v>
      </c>
      <c r="W363" s="46">
        <f t="shared" si="109"/>
        <v>4.2253521126760563E-2</v>
      </c>
      <c r="X363" s="46">
        <f>0.3*W363*Model!$B$9</f>
        <v>3.8275201289827652</v>
      </c>
      <c r="Y363" s="17">
        <f>(S363-X363)/Model!$B$11</f>
        <v>6.7157364401205823E-3</v>
      </c>
      <c r="Z363" s="46">
        <f t="shared" si="110"/>
        <v>1.222623787169105E-3</v>
      </c>
      <c r="AA363" s="57">
        <f>Y363/Model!$B$12*3600</f>
        <v>43.481230492215452</v>
      </c>
      <c r="AB363" s="51">
        <f t="shared" si="116"/>
        <v>480.00137787586795</v>
      </c>
      <c r="AC363" s="51">
        <f t="shared" si="111"/>
        <v>1319.998622124132</v>
      </c>
      <c r="AD363" s="13">
        <f>IF(AE363=0, Model!$B$19, 0 )</f>
        <v>0</v>
      </c>
      <c r="AE363" s="51">
        <f>IF(AE362+AB362-AB363&lt;Model!$B$19*Model!$B$18, AE362+AB362-AB363,  0)</f>
        <v>413.82032778174431</v>
      </c>
      <c r="AF363" s="13">
        <f t="shared" si="112"/>
        <v>18.050000000000122</v>
      </c>
      <c r="AG363" s="50">
        <f t="shared" si="113"/>
        <v>0</v>
      </c>
    </row>
    <row r="364" spans="2:33" x14ac:dyDescent="0.25">
      <c r="B364" s="15">
        <f t="shared" si="114"/>
        <v>18.100000000000122</v>
      </c>
      <c r="C364" s="15">
        <f>B364+Model!$B$4</f>
        <v>20.100000000000122</v>
      </c>
      <c r="D364" s="15">
        <f t="shared" si="115"/>
        <v>1</v>
      </c>
      <c r="E364" s="15">
        <f t="shared" si="117"/>
        <v>20.100000000000122</v>
      </c>
      <c r="F364" s="16">
        <f>IF(AB364&gt;0, VLOOKUP(B364,Model!$A$40:$B$60, 2), 0)</f>
        <v>300</v>
      </c>
      <c r="G364" s="15">
        <f>IF(AB364&gt;0, VLOOKUP(B364,Model!$A$39:$C$58, 3), 0)</f>
        <v>1</v>
      </c>
      <c r="H364" s="15">
        <f t="shared" si="100"/>
        <v>97</v>
      </c>
      <c r="I364" s="45">
        <f>Model!$B$21*EXP((-0.029*9.81*F364)/(8.31*(273+J364)))</f>
        <v>100357.4491247143</v>
      </c>
      <c r="J364" s="15">
        <f>IF(Model!$B$31="Summer",  IF(F364&lt;=2000,  Model!$B$20-Model!$B$35*F364/1000,  IF(F364&lt;Model!$B$36,  Model!$B$33-6.5*F364/1000,  Model!$B$38)),     IF(F364&lt;=2000,  Model!$B$20-Model!$B$35*F364/1000,  IF(F364&lt;Model!$B$36,  Model!$B$33-5.4*F364/1000,   Model!$B$38)))</f>
        <v>-19.088750000000001</v>
      </c>
      <c r="K364" s="15">
        <f t="shared" si="101"/>
        <v>253.91125</v>
      </c>
      <c r="L364" s="45">
        <f>IF(AB363-AA363*(B364-B363)&gt;0, L363-Y363*(B364-B363)*3600-AD364*Model!$B$16, 0)</f>
        <v>896.68393357420996</v>
      </c>
      <c r="M364" s="56">
        <f t="shared" si="102"/>
        <v>31.026231630408233</v>
      </c>
      <c r="N364" s="56">
        <f>Model!$B$13*I364*K364/(Model!$B$13*I364-L364*287*K364)</f>
        <v>304.02623163040823</v>
      </c>
      <c r="O364" s="56">
        <f t="shared" si="103"/>
        <v>278.96874081520411</v>
      </c>
      <c r="P364" s="56">
        <f t="shared" si="104"/>
        <v>5.9690225053449613</v>
      </c>
      <c r="Q364" s="62">
        <f t="shared" si="105"/>
        <v>2.4423780597879492E-2</v>
      </c>
      <c r="R364" s="33">
        <f t="shared" si="106"/>
        <v>1.4220749044781226E-5</v>
      </c>
      <c r="S364" s="45">
        <f>0.37*Model!$B$10*(Q364^2*(N364-K364)*I364/(R364*O364^2))^0.33333*(N364-K364)</f>
        <v>312421.70534709154</v>
      </c>
      <c r="T364" s="50">
        <f>Model!$B$32+(90-Model!$B$6)*SIN(RADIANS(-15*(E364+6)))</f>
        <v>-25.158184826043467</v>
      </c>
      <c r="U364" s="45">
        <f t="shared" si="107"/>
        <v>0</v>
      </c>
      <c r="V364" s="50">
        <f t="shared" si="108"/>
        <v>99999</v>
      </c>
      <c r="W364" s="45">
        <f t="shared" si="109"/>
        <v>4.2253521126760563E-2</v>
      </c>
      <c r="X364" s="45">
        <f>0.3*W364*Model!$B$9</f>
        <v>3.8275201289827652</v>
      </c>
      <c r="Y364" s="33">
        <f>(S364-X364)/Model!$B$11</f>
        <v>6.7020889805204879E-3</v>
      </c>
      <c r="Z364" s="45">
        <f t="shared" si="110"/>
        <v>1.2251133847216219E-3</v>
      </c>
      <c r="AA364" s="56">
        <f>Y364/Model!$B$12*3600</f>
        <v>43.392869618944751</v>
      </c>
      <c r="AB364" s="50">
        <f t="shared" si="116"/>
        <v>477.82731635125714</v>
      </c>
      <c r="AC364" s="50">
        <f t="shared" si="111"/>
        <v>1322.1726836487428</v>
      </c>
      <c r="AD364" s="15">
        <f>IF(AE364=0, Model!$B$19, 0 )</f>
        <v>0</v>
      </c>
      <c r="AE364" s="50">
        <f>IF(AE363+AB363-AB364&lt;Model!$B$19*Model!$B$18, AE363+AB363-AB364,  0)</f>
        <v>415.99438930635512</v>
      </c>
      <c r="AF364" s="15">
        <f t="shared" si="112"/>
        <v>18.100000000000122</v>
      </c>
      <c r="AG364" s="50">
        <f t="shared" si="113"/>
        <v>0</v>
      </c>
    </row>
    <row r="365" spans="2:33" x14ac:dyDescent="0.25">
      <c r="B365" s="13">
        <f t="shared" si="114"/>
        <v>18.150000000000123</v>
      </c>
      <c r="C365" s="13">
        <f>B365+Model!$B$4</f>
        <v>20.150000000000123</v>
      </c>
      <c r="D365" s="13">
        <f t="shared" si="115"/>
        <v>1</v>
      </c>
      <c r="E365" s="13">
        <f t="shared" si="117"/>
        <v>20.150000000000123</v>
      </c>
      <c r="F365" s="14">
        <f>IF(AB365&gt;0, VLOOKUP(B365,Model!$A$40:$B$60, 2), 0)</f>
        <v>300</v>
      </c>
      <c r="G365" s="13">
        <f>IF(AB365&gt;0, VLOOKUP(B365,Model!$A$39:$C$58, 3), 0)</f>
        <v>1</v>
      </c>
      <c r="H365" s="13">
        <f t="shared" si="100"/>
        <v>97</v>
      </c>
      <c r="I365" s="46">
        <f>Model!$B$21*EXP((-0.029*9.81*F365)/(8.31*(273+J365)))</f>
        <v>100357.4491247143</v>
      </c>
      <c r="J365" s="13">
        <f>IF(Model!$B$31="Summer",  IF(F365&lt;=2000,  Model!$B$20-Model!$B$35*F365/1000,  IF(F365&lt;Model!$B$36,  Model!$B$33-6.5*F365/1000,  Model!$B$38)),     IF(F365&lt;=2000,  Model!$B$20-Model!$B$35*F365/1000,  IF(F365&lt;Model!$B$36,  Model!$B$33-5.4*F365/1000,   Model!$B$38)))</f>
        <v>-19.088750000000001</v>
      </c>
      <c r="K365" s="13">
        <f t="shared" si="101"/>
        <v>253.91125</v>
      </c>
      <c r="L365" s="46">
        <f>IF(AB364-AA364*(B365-B364)&gt;0, L364-Y364*(B365-B364)*3600-AD365*Model!$B$16, 0)</f>
        <v>895.4775575577163</v>
      </c>
      <c r="M365" s="57">
        <f t="shared" si="102"/>
        <v>30.94552212465851</v>
      </c>
      <c r="N365" s="57">
        <f>Model!$B$13*I365*K365/(Model!$B$13*I365-L365*287*K365)</f>
        <v>303.94552212465851</v>
      </c>
      <c r="O365" s="57">
        <f t="shared" si="103"/>
        <v>278.92838606232925</v>
      </c>
      <c r="P365" s="57">
        <f t="shared" si="104"/>
        <v>5.9286677524700995</v>
      </c>
      <c r="Q365" s="63">
        <f t="shared" si="105"/>
        <v>2.4420915410425379E-2</v>
      </c>
      <c r="R365" s="17">
        <f t="shared" si="106"/>
        <v>1.4216552150482241E-5</v>
      </c>
      <c r="S365" s="46">
        <f>0.37*Model!$B$10*(Q365^2*(N365-K365)*I365/(R365*O365^2))^0.33333*(N365-K365)</f>
        <v>311787.37803357793</v>
      </c>
      <c r="T365" s="51">
        <f>Model!$B$32+(90-Model!$B$6)*SIN(RADIANS(-15*(E365+6)))</f>
        <v>-25.547243118031655</v>
      </c>
      <c r="U365" s="46">
        <f t="shared" si="107"/>
        <v>0</v>
      </c>
      <c r="V365" s="51">
        <f t="shared" si="108"/>
        <v>99999</v>
      </c>
      <c r="W365" s="46">
        <f t="shared" si="109"/>
        <v>4.2253521126760563E-2</v>
      </c>
      <c r="X365" s="46">
        <f>0.3*W365*Model!$B$9</f>
        <v>3.8275201289827652</v>
      </c>
      <c r="Y365" s="17">
        <f>(S365-X365)/Model!$B$11</f>
        <v>6.6884811866019297E-3</v>
      </c>
      <c r="Z365" s="46">
        <f t="shared" si="110"/>
        <v>1.2276058617647313E-3</v>
      </c>
      <c r="AA365" s="57">
        <f>Y365/Model!$B$12*3600</f>
        <v>43.30476556228038</v>
      </c>
      <c r="AB365" s="51">
        <f t="shared" si="116"/>
        <v>475.65767287030985</v>
      </c>
      <c r="AC365" s="51">
        <f t="shared" si="111"/>
        <v>1324.3423271296901</v>
      </c>
      <c r="AD365" s="13">
        <f>IF(AE365=0, Model!$B$19, 0 )</f>
        <v>0</v>
      </c>
      <c r="AE365" s="51">
        <f>IF(AE364+AB364-AB365&lt;Model!$B$19*Model!$B$18, AE364+AB364-AB365,  0)</f>
        <v>418.1640327873024</v>
      </c>
      <c r="AF365" s="13">
        <f t="shared" si="112"/>
        <v>18.150000000000123</v>
      </c>
      <c r="AG365" s="50">
        <f t="shared" si="113"/>
        <v>0</v>
      </c>
    </row>
    <row r="366" spans="2:33" x14ac:dyDescent="0.25">
      <c r="B366" s="15">
        <f t="shared" si="114"/>
        <v>18.200000000000124</v>
      </c>
      <c r="C366" s="15">
        <f>B366+Model!$B$4</f>
        <v>20.200000000000124</v>
      </c>
      <c r="D366" s="15">
        <f t="shared" si="115"/>
        <v>1</v>
      </c>
      <c r="E366" s="15">
        <f t="shared" si="117"/>
        <v>20.200000000000124</v>
      </c>
      <c r="F366" s="16">
        <f>IF(AB366&gt;0, VLOOKUP(B366,Model!$A$40:$B$60, 2), 0)</f>
        <v>300</v>
      </c>
      <c r="G366" s="15">
        <f>IF(AB366&gt;0, VLOOKUP(B366,Model!$A$39:$C$58, 3), 0)</f>
        <v>1</v>
      </c>
      <c r="H366" s="15">
        <f t="shared" si="100"/>
        <v>97</v>
      </c>
      <c r="I366" s="45">
        <f>Model!$B$21*EXP((-0.029*9.81*F366)/(8.31*(273+J366)))</f>
        <v>100357.4491247143</v>
      </c>
      <c r="J366" s="15">
        <f>IF(Model!$B$31="Summer",  IF(F366&lt;=2000,  Model!$B$20-Model!$B$35*F366/1000,  IF(F366&lt;Model!$B$36,  Model!$B$33-6.5*F366/1000,  Model!$B$38)),     IF(F366&lt;=2000,  Model!$B$20-Model!$B$35*F366/1000,  IF(F366&lt;Model!$B$36,  Model!$B$33-5.4*F366/1000,   Model!$B$38)))</f>
        <v>-19.088750000000001</v>
      </c>
      <c r="K366" s="15">
        <f t="shared" si="101"/>
        <v>253.91125</v>
      </c>
      <c r="L366" s="45">
        <f>IF(AB365-AA365*(B366-B365)&gt;0, L365-Y365*(B366-B365)*3600-AD366*Model!$B$16, 0)</f>
        <v>894.27363094412794</v>
      </c>
      <c r="M366" s="56">
        <f t="shared" si="102"/>
        <v>30.865019199943958</v>
      </c>
      <c r="N366" s="56">
        <f>Model!$B$13*I366*K366/(Model!$B$13*I366-L366*287*K366)</f>
        <v>303.86501919994396</v>
      </c>
      <c r="O366" s="56">
        <f t="shared" si="103"/>
        <v>278.88813459997198</v>
      </c>
      <c r="P366" s="56">
        <f t="shared" si="104"/>
        <v>5.8884162901128239</v>
      </c>
      <c r="Q366" s="62">
        <f t="shared" si="105"/>
        <v>2.4418057556598011E-2</v>
      </c>
      <c r="R366" s="33">
        <f t="shared" si="106"/>
        <v>1.4212365998397085E-5</v>
      </c>
      <c r="S366" s="45">
        <f>0.37*Model!$B$10*(Q366^2*(N366-K366)*I366/(R366*O366^2))^0.33333*(N366-K366)</f>
        <v>311154.8924040632</v>
      </c>
      <c r="T366" s="50">
        <f>Model!$B$32+(90-Model!$B$6)*SIN(RADIANS(-15*(E366+6)))</f>
        <v>-25.933101286511221</v>
      </c>
      <c r="U366" s="45">
        <f t="shared" si="107"/>
        <v>0</v>
      </c>
      <c r="V366" s="50">
        <f t="shared" si="108"/>
        <v>99999</v>
      </c>
      <c r="W366" s="45">
        <f t="shared" si="109"/>
        <v>4.2253521126760563E-2</v>
      </c>
      <c r="X366" s="45">
        <f>0.3*W366*Model!$B$9</f>
        <v>3.8275201289827652</v>
      </c>
      <c r="Y366" s="33">
        <f>(S366-X366)/Model!$B$11</f>
        <v>6.6749129010819312E-3</v>
      </c>
      <c r="Z366" s="45">
        <f t="shared" si="110"/>
        <v>1.230101220459802E-3</v>
      </c>
      <c r="AA366" s="56">
        <f>Y366/Model!$B$12*3600</f>
        <v>43.216917303889126</v>
      </c>
      <c r="AB366" s="50">
        <f t="shared" si="116"/>
        <v>473.49243459219582</v>
      </c>
      <c r="AC366" s="50">
        <f t="shared" si="111"/>
        <v>1326.5075654078041</v>
      </c>
      <c r="AD366" s="15">
        <f>IF(AE366=0, Model!$B$19, 0 )</f>
        <v>0</v>
      </c>
      <c r="AE366" s="50">
        <f>IF(AE365+AB365-AB366&lt;Model!$B$19*Model!$B$18, AE365+AB365-AB366,  0)</f>
        <v>420.32927106541644</v>
      </c>
      <c r="AF366" s="15">
        <f t="shared" si="112"/>
        <v>18.200000000000124</v>
      </c>
      <c r="AG366" s="50">
        <f t="shared" si="113"/>
        <v>0</v>
      </c>
    </row>
    <row r="367" spans="2:33" x14ac:dyDescent="0.25">
      <c r="B367" s="13">
        <f t="shared" si="114"/>
        <v>18.250000000000124</v>
      </c>
      <c r="C367" s="13">
        <f>B367+Model!$B$4</f>
        <v>20.250000000000124</v>
      </c>
      <c r="D367" s="13">
        <f t="shared" si="115"/>
        <v>1</v>
      </c>
      <c r="E367" s="13">
        <f t="shared" si="117"/>
        <v>20.250000000000124</v>
      </c>
      <c r="F367" s="14">
        <f>IF(AB367&gt;0, VLOOKUP(B367,Model!$A$40:$B$60, 2), 0)</f>
        <v>300</v>
      </c>
      <c r="G367" s="13">
        <f>IF(AB367&gt;0, VLOOKUP(B367,Model!$A$39:$C$58, 3), 0)</f>
        <v>1</v>
      </c>
      <c r="H367" s="13">
        <f t="shared" si="100"/>
        <v>97</v>
      </c>
      <c r="I367" s="46">
        <f>Model!$B$21*EXP((-0.029*9.81*F367)/(8.31*(273+J367)))</f>
        <v>100357.4491247143</v>
      </c>
      <c r="J367" s="13">
        <f>IF(Model!$B$31="Summer",  IF(F367&lt;=2000,  Model!$B$20-Model!$B$35*F367/1000,  IF(F367&lt;Model!$B$36,  Model!$B$33-6.5*F367/1000,  Model!$B$38)),     IF(F367&lt;=2000,  Model!$B$20-Model!$B$35*F367/1000,  IF(F367&lt;Model!$B$36,  Model!$B$33-5.4*F367/1000,   Model!$B$38)))</f>
        <v>-19.088750000000001</v>
      </c>
      <c r="K367" s="13">
        <f t="shared" si="101"/>
        <v>253.91125</v>
      </c>
      <c r="L367" s="46">
        <f>IF(AB366-AA366*(B367-B366)&gt;0, L366-Y366*(B367-B366)*3600-AD367*Model!$B$16, 0)</f>
        <v>893.07214662193314</v>
      </c>
      <c r="M367" s="57">
        <f t="shared" si="102"/>
        <v>30.784722086909824</v>
      </c>
      <c r="N367" s="57">
        <f>Model!$B$13*I367*K367/(Model!$B$13*I367-L367*287*K367)</f>
        <v>303.78472208690982</v>
      </c>
      <c r="O367" s="57">
        <f t="shared" si="103"/>
        <v>278.84798604345491</v>
      </c>
      <c r="P367" s="57">
        <f t="shared" si="104"/>
        <v>5.8482677335957565</v>
      </c>
      <c r="Q367" s="63">
        <f t="shared" si="105"/>
        <v>2.44152070090853E-2</v>
      </c>
      <c r="R367" s="17">
        <f t="shared" si="106"/>
        <v>1.4208190548519309E-5</v>
      </c>
      <c r="S367" s="46">
        <f>0.37*Model!$B$10*(Q367^2*(N367-K367)*I367/(R367*O367^2))^0.33333*(N367-K367)</f>
        <v>310524.24116467213</v>
      </c>
      <c r="T367" s="51">
        <f>Model!$B$32+(90-Model!$B$6)*SIN(RADIANS(-15*(E367+6)))</f>
        <v>-26.315693216671345</v>
      </c>
      <c r="U367" s="46">
        <f t="shared" si="107"/>
        <v>0</v>
      </c>
      <c r="V367" s="51">
        <f t="shared" si="108"/>
        <v>99999</v>
      </c>
      <c r="W367" s="46">
        <f t="shared" si="109"/>
        <v>4.2253521126760563E-2</v>
      </c>
      <c r="X367" s="46">
        <f>0.3*W367*Model!$B$9</f>
        <v>3.8275201289827652</v>
      </c>
      <c r="Y367" s="17">
        <f>(S367-X367)/Model!$B$11</f>
        <v>6.6613839674899309E-3</v>
      </c>
      <c r="Z367" s="46">
        <f t="shared" si="110"/>
        <v>1.2325994629685021E-3</v>
      </c>
      <c r="AA367" s="57">
        <f>Y367/Model!$B$12*3600</f>
        <v>43.129323830697814</v>
      </c>
      <c r="AB367" s="51">
        <f t="shared" si="116"/>
        <v>471.33158872700136</v>
      </c>
      <c r="AC367" s="51">
        <f t="shared" si="111"/>
        <v>1328.6684112729986</v>
      </c>
      <c r="AD367" s="13">
        <f>IF(AE367=0, Model!$B$19, 0 )</f>
        <v>0</v>
      </c>
      <c r="AE367" s="51">
        <f>IF(AE366+AB366-AB367&lt;Model!$B$19*Model!$B$18, AE366+AB366-AB367,  0)</f>
        <v>422.4901169306109</v>
      </c>
      <c r="AF367" s="13">
        <f t="shared" si="112"/>
        <v>18.250000000000124</v>
      </c>
      <c r="AG367" s="50">
        <f t="shared" si="113"/>
        <v>0</v>
      </c>
    </row>
    <row r="368" spans="2:33" x14ac:dyDescent="0.25">
      <c r="B368" s="15">
        <f t="shared" si="114"/>
        <v>18.300000000000125</v>
      </c>
      <c r="C368" s="15">
        <f>B368+Model!$B$4</f>
        <v>20.300000000000125</v>
      </c>
      <c r="D368" s="15">
        <f t="shared" si="115"/>
        <v>1</v>
      </c>
      <c r="E368" s="15">
        <f t="shared" si="117"/>
        <v>20.300000000000125</v>
      </c>
      <c r="F368" s="16">
        <f>IF(AB368&gt;0, VLOOKUP(B368,Model!$A$40:$B$60, 2), 0)</f>
        <v>300</v>
      </c>
      <c r="G368" s="15">
        <f>IF(AB368&gt;0, VLOOKUP(B368,Model!$A$39:$C$58, 3), 0)</f>
        <v>1</v>
      </c>
      <c r="H368" s="15">
        <f t="shared" si="100"/>
        <v>97</v>
      </c>
      <c r="I368" s="45">
        <f>Model!$B$21*EXP((-0.029*9.81*F368)/(8.31*(273+J368)))</f>
        <v>100357.4491247143</v>
      </c>
      <c r="J368" s="15">
        <f>IF(Model!$B$31="Summer",  IF(F368&lt;=2000,  Model!$B$20-Model!$B$35*F368/1000,  IF(F368&lt;Model!$B$36,  Model!$B$33-6.5*F368/1000,  Model!$B$38)),     IF(F368&lt;=2000,  Model!$B$20-Model!$B$35*F368/1000,  IF(F368&lt;Model!$B$36,  Model!$B$33-5.4*F368/1000,   Model!$B$38)))</f>
        <v>-19.088750000000001</v>
      </c>
      <c r="K368" s="15">
        <f t="shared" si="101"/>
        <v>253.91125</v>
      </c>
      <c r="L368" s="45">
        <f>IF(AB367-AA367*(B368-B367)&gt;0, L367-Y367*(B368-B367)*3600-AD368*Model!$B$16, 0)</f>
        <v>891.87309750778491</v>
      </c>
      <c r="M368" s="56">
        <f t="shared" si="102"/>
        <v>30.704630020062154</v>
      </c>
      <c r="N368" s="56">
        <f>Model!$B$13*I368*K368/(Model!$B$13*I368-L368*287*K368)</f>
        <v>303.70463002006215</v>
      </c>
      <c r="O368" s="56">
        <f t="shared" si="103"/>
        <v>278.80794001003107</v>
      </c>
      <c r="P368" s="56">
        <f t="shared" si="104"/>
        <v>5.8082217001719219</v>
      </c>
      <c r="Q368" s="62">
        <f t="shared" si="105"/>
        <v>2.4412363740712206E-2</v>
      </c>
      <c r="R368" s="33">
        <f t="shared" si="106"/>
        <v>1.4204025761043231E-5</v>
      </c>
      <c r="S368" s="45">
        <f>0.37*Model!$B$10*(Q368^2*(N368-K368)*I368/(R368*O368^2))^0.33333*(N368-K368)</f>
        <v>309895.41705915448</v>
      </c>
      <c r="T368" s="50">
        <f>Model!$B$32+(90-Model!$B$6)*SIN(RADIANS(-15*(E368+6)))</f>
        <v>-26.694953353354407</v>
      </c>
      <c r="U368" s="45">
        <f t="shared" si="107"/>
        <v>0</v>
      </c>
      <c r="V368" s="50">
        <f t="shared" si="108"/>
        <v>99999</v>
      </c>
      <c r="W368" s="45">
        <f t="shared" si="109"/>
        <v>4.2253521126760563E-2</v>
      </c>
      <c r="X368" s="45">
        <f>0.3*W368*Model!$B$9</f>
        <v>3.8275201289827652</v>
      </c>
      <c r="Y368" s="33">
        <f>(S368-X368)/Model!$B$11</f>
        <v>6.647894230162512E-3</v>
      </c>
      <c r="Z368" s="45">
        <f t="shared" si="110"/>
        <v>1.2351005914528086E-3</v>
      </c>
      <c r="AA368" s="56">
        <f>Y368/Model!$B$12*3600</f>
        <v>43.041984134859121</v>
      </c>
      <c r="AB368" s="50">
        <f t="shared" si="116"/>
        <v>469.17512253546641</v>
      </c>
      <c r="AC368" s="50">
        <f t="shared" si="111"/>
        <v>1330.8248774645335</v>
      </c>
      <c r="AD368" s="15">
        <f>IF(AE368=0, Model!$B$19, 0 )</f>
        <v>0</v>
      </c>
      <c r="AE368" s="50">
        <f>IF(AE367+AB367-AB368&lt;Model!$B$19*Model!$B$18, AE367+AB367-AB368,  0)</f>
        <v>424.64658312214584</v>
      </c>
      <c r="AF368" s="15">
        <f t="shared" si="112"/>
        <v>18.300000000000125</v>
      </c>
      <c r="AG368" s="50">
        <f t="shared" si="113"/>
        <v>0</v>
      </c>
    </row>
    <row r="369" spans="2:33" x14ac:dyDescent="0.25">
      <c r="B369" s="13">
        <f t="shared" si="114"/>
        <v>18.350000000000126</v>
      </c>
      <c r="C369" s="13">
        <f>B369+Model!$B$4</f>
        <v>20.350000000000126</v>
      </c>
      <c r="D369" s="13">
        <f t="shared" si="115"/>
        <v>1</v>
      </c>
      <c r="E369" s="13">
        <f t="shared" si="117"/>
        <v>20.350000000000126</v>
      </c>
      <c r="F369" s="14">
        <f>IF(AB369&gt;0, VLOOKUP(B369,Model!$A$40:$B$60, 2), 0)</f>
        <v>300</v>
      </c>
      <c r="G369" s="13">
        <f>IF(AB369&gt;0, VLOOKUP(B369,Model!$A$39:$C$58, 3), 0)</f>
        <v>1</v>
      </c>
      <c r="H369" s="13">
        <f t="shared" si="100"/>
        <v>97</v>
      </c>
      <c r="I369" s="46">
        <f>Model!$B$21*EXP((-0.029*9.81*F369)/(8.31*(273+J369)))</f>
        <v>100357.4491247143</v>
      </c>
      <c r="J369" s="13">
        <f>IF(Model!$B$31="Summer",  IF(F369&lt;=2000,  Model!$B$20-Model!$B$35*F369/1000,  IF(F369&lt;Model!$B$36,  Model!$B$33-6.5*F369/1000,  Model!$B$38)),     IF(F369&lt;=2000,  Model!$B$20-Model!$B$35*F369/1000,  IF(F369&lt;Model!$B$36,  Model!$B$33-5.4*F369/1000,   Model!$B$38)))</f>
        <v>-19.088750000000001</v>
      </c>
      <c r="K369" s="13">
        <f t="shared" si="101"/>
        <v>253.91125</v>
      </c>
      <c r="L369" s="46">
        <f>IF(AB368-AA368*(B369-B368)&gt;0, L368-Y368*(B369-B368)*3600-AD369*Model!$B$16, 0)</f>
        <v>890.67647654635562</v>
      </c>
      <c r="M369" s="57">
        <f t="shared" si="102"/>
        <v>30.62474223774268</v>
      </c>
      <c r="N369" s="57">
        <f>Model!$B$13*I369*K369/(Model!$B$13*I369-L369*287*K369)</f>
        <v>303.62474223774268</v>
      </c>
      <c r="O369" s="57">
        <f t="shared" si="103"/>
        <v>278.76799611887134</v>
      </c>
      <c r="P369" s="57">
        <f t="shared" si="104"/>
        <v>5.7682778090121847</v>
      </c>
      <c r="Q369" s="63">
        <f t="shared" si="105"/>
        <v>2.4409527724439866E-2</v>
      </c>
      <c r="R369" s="17">
        <f t="shared" si="106"/>
        <v>1.4199871596362618E-5</v>
      </c>
      <c r="S369" s="46">
        <f>0.37*Model!$B$10*(Q369^2*(N369-K369)*I369/(R369*O369^2))^0.33333*(N369-K369)</f>
        <v>309268.41286864004</v>
      </c>
      <c r="T369" s="51">
        <f>Model!$B$32+(90-Model!$B$6)*SIN(RADIANS(-15*(E369+6)))</f>
        <v>-27.07081671228843</v>
      </c>
      <c r="U369" s="46">
        <f t="shared" si="107"/>
        <v>0</v>
      </c>
      <c r="V369" s="51">
        <f t="shared" si="108"/>
        <v>99999</v>
      </c>
      <c r="W369" s="46">
        <f t="shared" si="109"/>
        <v>4.2253521126760563E-2</v>
      </c>
      <c r="X369" s="46">
        <f>0.3*W369*Model!$B$9</f>
        <v>3.8275201289827652</v>
      </c>
      <c r="Y369" s="17">
        <f>(S369-X369)/Model!$B$11</f>
        <v>6.6344435342381436E-3</v>
      </c>
      <c r="Z369" s="46">
        <f t="shared" si="110"/>
        <v>1.2376046080750194E-3</v>
      </c>
      <c r="AA369" s="57">
        <f>Y369/Model!$B$12*3600</f>
        <v>42.95489721371758</v>
      </c>
      <c r="AB369" s="51">
        <f t="shared" si="116"/>
        <v>467.02302332872341</v>
      </c>
      <c r="AC369" s="51">
        <f t="shared" si="111"/>
        <v>1332.9769766712766</v>
      </c>
      <c r="AD369" s="13">
        <f>IF(AE369=0, Model!$B$19, 0 )</f>
        <v>0</v>
      </c>
      <c r="AE369" s="51">
        <f>IF(AE368+AB368-AB369&lt;Model!$B$19*Model!$B$18, AE368+AB368-AB369,  0)</f>
        <v>426.79868232888884</v>
      </c>
      <c r="AF369" s="13">
        <f t="shared" si="112"/>
        <v>18.350000000000126</v>
      </c>
      <c r="AG369" s="50">
        <f t="shared" si="113"/>
        <v>0</v>
      </c>
    </row>
    <row r="370" spans="2:33" x14ac:dyDescent="0.25">
      <c r="B370" s="15">
        <f t="shared" si="114"/>
        <v>18.400000000000126</v>
      </c>
      <c r="C370" s="15">
        <f>B370+Model!$B$4</f>
        <v>20.400000000000126</v>
      </c>
      <c r="D370" s="15">
        <f t="shared" si="115"/>
        <v>1</v>
      </c>
      <c r="E370" s="15">
        <f t="shared" si="117"/>
        <v>20.400000000000126</v>
      </c>
      <c r="F370" s="16">
        <f>IF(AB370&gt;0, VLOOKUP(B370,Model!$A$40:$B$60, 2), 0)</f>
        <v>300</v>
      </c>
      <c r="G370" s="15">
        <f>IF(AB370&gt;0, VLOOKUP(B370,Model!$A$39:$C$58, 3), 0)</f>
        <v>1</v>
      </c>
      <c r="H370" s="15">
        <f t="shared" si="100"/>
        <v>97</v>
      </c>
      <c r="I370" s="45">
        <f>Model!$B$21*EXP((-0.029*9.81*F370)/(8.31*(273+J370)))</f>
        <v>100357.4491247143</v>
      </c>
      <c r="J370" s="15">
        <f>IF(Model!$B$31="Summer",  IF(F370&lt;=2000,  Model!$B$20-Model!$B$35*F370/1000,  IF(F370&lt;Model!$B$36,  Model!$B$33-6.5*F370/1000,  Model!$B$38)),     IF(F370&lt;=2000,  Model!$B$20-Model!$B$35*F370/1000,  IF(F370&lt;Model!$B$36,  Model!$B$33-5.4*F370/1000,   Model!$B$38)))</f>
        <v>-19.088750000000001</v>
      </c>
      <c r="K370" s="15">
        <f t="shared" si="101"/>
        <v>253.91125</v>
      </c>
      <c r="L370" s="45">
        <f>IF(AB369-AA369*(B370-B369)&gt;0, L369-Y369*(B370-B369)*3600-AD370*Model!$B$16, 0)</f>
        <v>889.48227671019276</v>
      </c>
      <c r="M370" s="56">
        <f t="shared" si="102"/>
        <v>30.545057982105163</v>
      </c>
      <c r="N370" s="56">
        <f>Model!$B$13*I370*K370/(Model!$B$13*I370-L370*287*K370)</f>
        <v>303.54505798210516</v>
      </c>
      <c r="O370" s="56">
        <f t="shared" si="103"/>
        <v>278.72815399105258</v>
      </c>
      <c r="P370" s="56">
        <f t="shared" si="104"/>
        <v>5.7284356811934263</v>
      </c>
      <c r="Q370" s="62">
        <f t="shared" si="105"/>
        <v>2.4406698933364734E-2</v>
      </c>
      <c r="R370" s="33">
        <f t="shared" si="106"/>
        <v>1.4195728015069467E-5</v>
      </c>
      <c r="S370" s="45">
        <f>0.37*Model!$B$10*(Q370^2*(N370-K370)*I370/(R370*O370^2))^0.33333*(N370-K370)</f>
        <v>308643.22141140304</v>
      </c>
      <c r="T370" s="50">
        <f>Model!$B$32+(90-Model!$B$6)*SIN(RADIANS(-15*(E370+6)))</f>
        <v>-27.443218891221804</v>
      </c>
      <c r="U370" s="45">
        <f t="shared" si="107"/>
        <v>0</v>
      </c>
      <c r="V370" s="50">
        <f t="shared" si="108"/>
        <v>99999</v>
      </c>
      <c r="W370" s="45">
        <f t="shared" si="109"/>
        <v>4.2253521126760563E-2</v>
      </c>
      <c r="X370" s="45">
        <f>0.3*W370*Model!$B$9</f>
        <v>3.8275201289827652</v>
      </c>
      <c r="Y370" s="33">
        <f>(S370-X370)/Model!$B$11</f>
        <v>6.6210317256521307E-3</v>
      </c>
      <c r="Z370" s="45">
        <f t="shared" si="110"/>
        <v>1.2401115149977356E-3</v>
      </c>
      <c r="AA370" s="56">
        <f>Y370/Model!$B$12*3600</f>
        <v>42.868062069776848</v>
      </c>
      <c r="AB370" s="50">
        <f t="shared" si="116"/>
        <v>464.87527846803749</v>
      </c>
      <c r="AC370" s="50">
        <f t="shared" si="111"/>
        <v>1335.1247215319625</v>
      </c>
      <c r="AD370" s="15">
        <f>IF(AE370=0, Model!$B$19, 0 )</f>
        <v>0</v>
      </c>
      <c r="AE370" s="50">
        <f>IF(AE369+AB369-AB370&lt;Model!$B$19*Model!$B$18, AE369+AB369-AB370,  0)</f>
        <v>428.94642718957476</v>
      </c>
      <c r="AF370" s="15">
        <f t="shared" si="112"/>
        <v>18.400000000000126</v>
      </c>
      <c r="AG370" s="50">
        <f t="shared" si="113"/>
        <v>0</v>
      </c>
    </row>
    <row r="371" spans="2:33" x14ac:dyDescent="0.25">
      <c r="B371" s="13">
        <f t="shared" si="114"/>
        <v>18.450000000000127</v>
      </c>
      <c r="C371" s="13">
        <f>B371+Model!$B$4</f>
        <v>20.450000000000127</v>
      </c>
      <c r="D371" s="13">
        <f t="shared" si="115"/>
        <v>1</v>
      </c>
      <c r="E371" s="13">
        <f t="shared" si="117"/>
        <v>20.450000000000127</v>
      </c>
      <c r="F371" s="14">
        <f>IF(AB371&gt;0, VLOOKUP(B371,Model!$A$40:$B$60, 2), 0)</f>
        <v>300</v>
      </c>
      <c r="G371" s="13">
        <f>IF(AB371&gt;0, VLOOKUP(B371,Model!$A$39:$C$58, 3), 0)</f>
        <v>1</v>
      </c>
      <c r="H371" s="13">
        <f t="shared" si="100"/>
        <v>97</v>
      </c>
      <c r="I371" s="46">
        <f>Model!$B$21*EXP((-0.029*9.81*F371)/(8.31*(273+J371)))</f>
        <v>100357.4491247143</v>
      </c>
      <c r="J371" s="13">
        <f>IF(Model!$B$31="Summer",  IF(F371&lt;=2000,  Model!$B$20-Model!$B$35*F371/1000,  IF(F371&lt;Model!$B$36,  Model!$B$33-6.5*F371/1000,  Model!$B$38)),     IF(F371&lt;=2000,  Model!$B$20-Model!$B$35*F371/1000,  IF(F371&lt;Model!$B$36,  Model!$B$33-5.4*F371/1000,   Model!$B$38)))</f>
        <v>-19.088750000000001</v>
      </c>
      <c r="K371" s="13">
        <f t="shared" si="101"/>
        <v>253.91125</v>
      </c>
      <c r="L371" s="46">
        <f>IF(AB370-AA370*(B371-B370)&gt;0, L370-Y370*(B371-B370)*3600-AD371*Model!$B$16, 0)</f>
        <v>888.29049099957535</v>
      </c>
      <c r="M371" s="57">
        <f t="shared" si="102"/>
        <v>30.465576499090616</v>
      </c>
      <c r="N371" s="57">
        <f>Model!$B$13*I371*K371/(Model!$B$13*I371-L371*287*K371)</f>
        <v>303.46557649909062</v>
      </c>
      <c r="O371" s="57">
        <f t="shared" si="103"/>
        <v>278.68841324954531</v>
      </c>
      <c r="P371" s="57">
        <f t="shared" si="104"/>
        <v>5.6886949396861528</v>
      </c>
      <c r="Q371" s="63">
        <f t="shared" si="105"/>
        <v>2.4403877340717719E-2</v>
      </c>
      <c r="R371" s="17">
        <f t="shared" si="106"/>
        <v>1.4191594977952711E-5</v>
      </c>
      <c r="S371" s="46">
        <f>0.37*Model!$B$10*(Q371^2*(N371-K371)*I371/(R371*O371^2))^0.33333*(N371-K371)</f>
        <v>308019.83554261917</v>
      </c>
      <c r="T371" s="51">
        <f>Model!$B$32+(90-Model!$B$6)*SIN(RADIANS(-15*(E371+6)))</f>
        <v>-27.81209608095833</v>
      </c>
      <c r="U371" s="46">
        <f t="shared" si="107"/>
        <v>0</v>
      </c>
      <c r="V371" s="51">
        <f t="shared" si="108"/>
        <v>99999</v>
      </c>
      <c r="W371" s="46">
        <f t="shared" si="109"/>
        <v>4.2253521126760563E-2</v>
      </c>
      <c r="X371" s="46">
        <f>0.3*W371*Model!$B$9</f>
        <v>3.8275201289827652</v>
      </c>
      <c r="Y371" s="17">
        <f>(S371-X371)/Model!$B$11</f>
        <v>6.6076586511313994E-3</v>
      </c>
      <c r="Z371" s="46">
        <f t="shared" si="110"/>
        <v>1.2426213143838817E-3</v>
      </c>
      <c r="AA371" s="57">
        <f>Y371/Model!$B$12*3600</f>
        <v>42.781477710665953</v>
      </c>
      <c r="AB371" s="51">
        <f t="shared" si="116"/>
        <v>462.73187536454861</v>
      </c>
      <c r="AC371" s="51">
        <f t="shared" si="111"/>
        <v>1337.2681246354514</v>
      </c>
      <c r="AD371" s="13">
        <f>IF(AE371=0, Model!$B$19, 0 )</f>
        <v>0</v>
      </c>
      <c r="AE371" s="51">
        <f>IF(AE370+AB370-AB371&lt;Model!$B$19*Model!$B$18, AE370+AB370-AB371,  0)</f>
        <v>431.08983029306364</v>
      </c>
      <c r="AF371" s="13">
        <f t="shared" si="112"/>
        <v>18.450000000000127</v>
      </c>
      <c r="AG371" s="50">
        <f t="shared" si="113"/>
        <v>0</v>
      </c>
    </row>
    <row r="372" spans="2:33" x14ac:dyDescent="0.25">
      <c r="B372" s="15">
        <f t="shared" si="114"/>
        <v>18.500000000000128</v>
      </c>
      <c r="C372" s="15">
        <f>B372+Model!$B$4</f>
        <v>20.500000000000128</v>
      </c>
      <c r="D372" s="15">
        <f t="shared" si="115"/>
        <v>1</v>
      </c>
      <c r="E372" s="15">
        <f t="shared" si="117"/>
        <v>20.500000000000128</v>
      </c>
      <c r="F372" s="16">
        <f>IF(AB372&gt;0, VLOOKUP(B372,Model!$A$40:$B$60, 2), 0)</f>
        <v>300</v>
      </c>
      <c r="G372" s="15">
        <f>IF(AB372&gt;0, VLOOKUP(B372,Model!$A$39:$C$58, 3), 0)</f>
        <v>1</v>
      </c>
      <c r="H372" s="15">
        <f t="shared" si="100"/>
        <v>97</v>
      </c>
      <c r="I372" s="45">
        <f>Model!$B$21*EXP((-0.029*9.81*F372)/(8.31*(273+J372)))</f>
        <v>100357.4491247143</v>
      </c>
      <c r="J372" s="15">
        <f>IF(Model!$B$31="Summer",  IF(F372&lt;=2000,  Model!$B$20-Model!$B$35*F372/1000,  IF(F372&lt;Model!$B$36,  Model!$B$33-6.5*F372/1000,  Model!$B$38)),     IF(F372&lt;=2000,  Model!$B$20-Model!$B$35*F372/1000,  IF(F372&lt;Model!$B$36,  Model!$B$33-5.4*F372/1000,   Model!$B$38)))</f>
        <v>-19.088750000000001</v>
      </c>
      <c r="K372" s="15">
        <f t="shared" si="101"/>
        <v>253.91125</v>
      </c>
      <c r="L372" s="45">
        <f>IF(AB371-AA371*(B372-B371)&gt;0, L371-Y371*(B372-B371)*3600-AD372*Model!$B$16, 0)</f>
        <v>887.10111244237169</v>
      </c>
      <c r="M372" s="56">
        <f t="shared" si="102"/>
        <v>30.386297038403768</v>
      </c>
      <c r="N372" s="56">
        <f>Model!$B$13*I372*K372/(Model!$B$13*I372-L372*287*K372)</f>
        <v>303.38629703840377</v>
      </c>
      <c r="O372" s="56">
        <f t="shared" si="103"/>
        <v>278.64877351920188</v>
      </c>
      <c r="P372" s="56">
        <f t="shared" si="104"/>
        <v>5.6490552093427286</v>
      </c>
      <c r="Q372" s="62">
        <f t="shared" si="105"/>
        <v>2.4401062919863332E-2</v>
      </c>
      <c r="R372" s="33">
        <f t="shared" si="106"/>
        <v>1.4187472445996995E-5</v>
      </c>
      <c r="S372" s="45">
        <f>0.37*Model!$B$10*(Q372^2*(N372-K372)*I372/(R372*O372^2))^0.33333*(N372-K372)</f>
        <v>307398.24815413263</v>
      </c>
      <c r="T372" s="50">
        <f>Model!$B$32+(90-Model!$B$6)*SIN(RADIANS(-15*(E372+6)))</f>
        <v>-28.177385076290477</v>
      </c>
      <c r="U372" s="45">
        <f t="shared" si="107"/>
        <v>0</v>
      </c>
      <c r="V372" s="50">
        <f t="shared" si="108"/>
        <v>99999</v>
      </c>
      <c r="W372" s="45">
        <f t="shared" si="109"/>
        <v>4.2253521126760563E-2</v>
      </c>
      <c r="X372" s="45">
        <f>0.3*W372*Model!$B$9</f>
        <v>3.8275201289827652</v>
      </c>
      <c r="Y372" s="33">
        <f>(S372-X372)/Model!$B$11</f>
        <v>6.5943241581895027E-3</v>
      </c>
      <c r="Z372" s="45">
        <f t="shared" si="110"/>
        <v>1.245134008396693E-3</v>
      </c>
      <c r="AA372" s="56">
        <f>Y372/Model!$B$12*3600</f>
        <v>42.695143149106983</v>
      </c>
      <c r="AB372" s="50">
        <f t="shared" si="116"/>
        <v>460.59280147901529</v>
      </c>
      <c r="AC372" s="50">
        <f t="shared" si="111"/>
        <v>1339.4071985209848</v>
      </c>
      <c r="AD372" s="15">
        <f>IF(AE372=0, Model!$B$19, 0 )</f>
        <v>0</v>
      </c>
      <c r="AE372" s="50">
        <f>IF(AE371+AB371-AB372&lt;Model!$B$19*Model!$B$18, AE371+AB371-AB372,  0)</f>
        <v>433.22890417859696</v>
      </c>
      <c r="AF372" s="15">
        <f t="shared" si="112"/>
        <v>18.500000000000128</v>
      </c>
      <c r="AG372" s="50">
        <f t="shared" si="113"/>
        <v>0</v>
      </c>
    </row>
    <row r="373" spans="2:33" x14ac:dyDescent="0.25">
      <c r="B373" s="13">
        <f t="shared" si="114"/>
        <v>18.550000000000129</v>
      </c>
      <c r="C373" s="13">
        <f>B373+Model!$B$4</f>
        <v>20.550000000000129</v>
      </c>
      <c r="D373" s="13">
        <f t="shared" si="115"/>
        <v>1</v>
      </c>
      <c r="E373" s="13">
        <f t="shared" si="117"/>
        <v>20.550000000000129</v>
      </c>
      <c r="F373" s="14">
        <f>IF(AB373&gt;0, VLOOKUP(B373,Model!$A$40:$B$60, 2), 0)</f>
        <v>300</v>
      </c>
      <c r="G373" s="13">
        <f>IF(AB373&gt;0, VLOOKUP(B373,Model!$A$39:$C$58, 3), 0)</f>
        <v>1</v>
      </c>
      <c r="H373" s="13">
        <f t="shared" si="100"/>
        <v>97</v>
      </c>
      <c r="I373" s="46">
        <f>Model!$B$21*EXP((-0.029*9.81*F373)/(8.31*(273+J373)))</f>
        <v>100357.4491247143</v>
      </c>
      <c r="J373" s="13">
        <f>IF(Model!$B$31="Summer",  IF(F373&lt;=2000,  Model!$B$20-Model!$B$35*F373/1000,  IF(F373&lt;Model!$B$36,  Model!$B$33-6.5*F373/1000,  Model!$B$38)),     IF(F373&lt;=2000,  Model!$B$20-Model!$B$35*F373/1000,  IF(F373&lt;Model!$B$36,  Model!$B$33-5.4*F373/1000,   Model!$B$38)))</f>
        <v>-19.088750000000001</v>
      </c>
      <c r="K373" s="13">
        <f t="shared" si="101"/>
        <v>253.91125</v>
      </c>
      <c r="L373" s="46">
        <f>IF(AB372-AA372*(B373-B372)&gt;0, L372-Y372*(B373-B372)*3600-AD373*Model!$B$16, 0)</f>
        <v>885.91413409389759</v>
      </c>
      <c r="M373" s="57">
        <f t="shared" si="102"/>
        <v>30.307218853488621</v>
      </c>
      <c r="N373" s="57">
        <f>Model!$B$13*I373*K373/(Model!$B$13*I373-L373*287*K373)</f>
        <v>303.30721885348862</v>
      </c>
      <c r="O373" s="57">
        <f t="shared" si="103"/>
        <v>278.60923442674431</v>
      </c>
      <c r="P373" s="57">
        <f t="shared" si="104"/>
        <v>5.6095161168851551</v>
      </c>
      <c r="Q373" s="63">
        <f t="shared" si="105"/>
        <v>2.4398255644298848E-2</v>
      </c>
      <c r="R373" s="17">
        <f t="shared" si="106"/>
        <v>1.4183360380381408E-5</v>
      </c>
      <c r="S373" s="46">
        <f>0.37*Model!$B$10*(Q373^2*(N373-K373)*I373/(R373*O373^2))^0.33333*(N373-K373)</f>
        <v>306778.45217421633</v>
      </c>
      <c r="T373" s="51">
        <f>Model!$B$32+(90-Model!$B$6)*SIN(RADIANS(-15*(E373+6)))</f>
        <v>-28.53902328682944</v>
      </c>
      <c r="U373" s="46">
        <f t="shared" si="107"/>
        <v>0</v>
      </c>
      <c r="V373" s="51">
        <f t="shared" si="108"/>
        <v>99999</v>
      </c>
      <c r="W373" s="46">
        <f t="shared" si="109"/>
        <v>4.2253521126760563E-2</v>
      </c>
      <c r="X373" s="46">
        <f>0.3*W373*Model!$B$9</f>
        <v>3.8275201289827652</v>
      </c>
      <c r="Y373" s="17">
        <f>(S373-X373)/Model!$B$11</f>
        <v>6.5810280951214706E-3</v>
      </c>
      <c r="Z373" s="46">
        <f t="shared" si="110"/>
        <v>1.2476495991997365E-3</v>
      </c>
      <c r="AA373" s="57">
        <f>Y373/Model!$B$12*3600</f>
        <v>42.609057402881696</v>
      </c>
      <c r="AB373" s="51">
        <f t="shared" si="116"/>
        <v>458.4580443215599</v>
      </c>
      <c r="AC373" s="51">
        <f t="shared" si="111"/>
        <v>1341.54195567844</v>
      </c>
      <c r="AD373" s="13">
        <f>IF(AE373=0, Model!$B$19, 0 )</f>
        <v>0</v>
      </c>
      <c r="AE373" s="51">
        <f>IF(AE372+AB372-AB373&lt;Model!$B$19*Model!$B$18, AE372+AB372-AB373,  0)</f>
        <v>435.36366133605236</v>
      </c>
      <c r="AF373" s="13">
        <f t="shared" si="112"/>
        <v>18.550000000000129</v>
      </c>
      <c r="AG373" s="50">
        <f t="shared" si="113"/>
        <v>0</v>
      </c>
    </row>
    <row r="374" spans="2:33" x14ac:dyDescent="0.25">
      <c r="B374" s="15">
        <f t="shared" si="114"/>
        <v>18.600000000000129</v>
      </c>
      <c r="C374" s="15">
        <f>B374+Model!$B$4</f>
        <v>20.600000000000129</v>
      </c>
      <c r="D374" s="15">
        <f t="shared" si="115"/>
        <v>1</v>
      </c>
      <c r="E374" s="15">
        <f t="shared" si="117"/>
        <v>20.600000000000129</v>
      </c>
      <c r="F374" s="16">
        <f>IF(AB374&gt;0, VLOOKUP(B374,Model!$A$40:$B$60, 2), 0)</f>
        <v>300</v>
      </c>
      <c r="G374" s="15">
        <f>IF(AB374&gt;0, VLOOKUP(B374,Model!$A$39:$C$58, 3), 0)</f>
        <v>1</v>
      </c>
      <c r="H374" s="15">
        <f t="shared" si="100"/>
        <v>97</v>
      </c>
      <c r="I374" s="45">
        <f>Model!$B$21*EXP((-0.029*9.81*F374)/(8.31*(273+J374)))</f>
        <v>100357.4491247143</v>
      </c>
      <c r="J374" s="15">
        <f>IF(Model!$B$31="Summer",  IF(F374&lt;=2000,  Model!$B$20-Model!$B$35*F374/1000,  IF(F374&lt;Model!$B$36,  Model!$B$33-6.5*F374/1000,  Model!$B$38)),     IF(F374&lt;=2000,  Model!$B$20-Model!$B$35*F374/1000,  IF(F374&lt;Model!$B$36,  Model!$B$33-5.4*F374/1000,   Model!$B$38)))</f>
        <v>-19.088750000000001</v>
      </c>
      <c r="K374" s="15">
        <f t="shared" si="101"/>
        <v>253.91125</v>
      </c>
      <c r="L374" s="45">
        <f>IF(AB373-AA373*(B374-B373)&gt;0, L373-Y373*(B374-B373)*3600-AD374*Model!$B$16, 0)</f>
        <v>884.72954903677567</v>
      </c>
      <c r="M374" s="56">
        <f t="shared" si="102"/>
        <v>30.22834120150543</v>
      </c>
      <c r="N374" s="56">
        <f>Model!$B$13*I374*K374/(Model!$B$13*I374-L374*287*K374)</f>
        <v>303.22834120150543</v>
      </c>
      <c r="O374" s="56">
        <f t="shared" si="103"/>
        <v>278.56979560075274</v>
      </c>
      <c r="P374" s="56">
        <f t="shared" si="104"/>
        <v>5.5700772908935594</v>
      </c>
      <c r="Q374" s="62">
        <f t="shared" si="105"/>
        <v>2.4395455487653445E-2</v>
      </c>
      <c r="R374" s="33">
        <f t="shared" si="106"/>
        <v>1.4179258742478283E-5</v>
      </c>
      <c r="S374" s="45">
        <f>0.37*Model!$B$10*(Q374^2*(N374-K374)*I374/(R374*O374^2))^0.33333*(N374-K374)</f>
        <v>306160.44056734344</v>
      </c>
      <c r="T374" s="50">
        <f>Model!$B$32+(90-Model!$B$6)*SIN(RADIANS(-15*(E374+6)))</f>
        <v>-28.896948747729553</v>
      </c>
      <c r="U374" s="45">
        <f t="shared" si="107"/>
        <v>0</v>
      </c>
      <c r="V374" s="50">
        <f t="shared" si="108"/>
        <v>99999</v>
      </c>
      <c r="W374" s="45">
        <f t="shared" si="109"/>
        <v>4.2253521126760563E-2</v>
      </c>
      <c r="X374" s="45">
        <f>0.3*W374*Model!$B$9</f>
        <v>3.8275201289827652</v>
      </c>
      <c r="Y374" s="33">
        <f>(S374-X374)/Model!$B$11</f>
        <v>6.5677703109989155E-3</v>
      </c>
      <c r="Z374" s="45">
        <f t="shared" si="110"/>
        <v>1.2501680889568942E-3</v>
      </c>
      <c r="AA374" s="56">
        <f>Y374/Model!$B$12*3600</f>
        <v>42.523219494799868</v>
      </c>
      <c r="AB374" s="50">
        <f t="shared" si="116"/>
        <v>456.3275914514158</v>
      </c>
      <c r="AC374" s="50">
        <f t="shared" si="111"/>
        <v>1343.6724085485841</v>
      </c>
      <c r="AD374" s="15">
        <f>IF(AE374=0, Model!$B$19, 0 )</f>
        <v>0</v>
      </c>
      <c r="AE374" s="50">
        <f>IF(AE373+AB373-AB374&lt;Model!$B$19*Model!$B$18, AE373+AB373-AB374,  0)</f>
        <v>437.49411420619646</v>
      </c>
      <c r="AF374" s="15">
        <f t="shared" si="112"/>
        <v>18.600000000000129</v>
      </c>
      <c r="AG374" s="50">
        <f t="shared" si="113"/>
        <v>0</v>
      </c>
    </row>
    <row r="375" spans="2:33" x14ac:dyDescent="0.25">
      <c r="B375" s="13">
        <f t="shared" si="114"/>
        <v>18.65000000000013</v>
      </c>
      <c r="C375" s="13">
        <f>B375+Model!$B$4</f>
        <v>20.65000000000013</v>
      </c>
      <c r="D375" s="13">
        <f t="shared" si="115"/>
        <v>1</v>
      </c>
      <c r="E375" s="13">
        <f t="shared" si="117"/>
        <v>20.65000000000013</v>
      </c>
      <c r="F375" s="14">
        <f>IF(AB375&gt;0, VLOOKUP(B375,Model!$A$40:$B$60, 2), 0)</f>
        <v>300</v>
      </c>
      <c r="G375" s="13">
        <f>IF(AB375&gt;0, VLOOKUP(B375,Model!$A$39:$C$58, 3), 0)</f>
        <v>1</v>
      </c>
      <c r="H375" s="13">
        <f t="shared" si="100"/>
        <v>97</v>
      </c>
      <c r="I375" s="46">
        <f>Model!$B$21*EXP((-0.029*9.81*F375)/(8.31*(273+J375)))</f>
        <v>100357.4491247143</v>
      </c>
      <c r="J375" s="13">
        <f>IF(Model!$B$31="Summer",  IF(F375&lt;=2000,  Model!$B$20-Model!$B$35*F375/1000,  IF(F375&lt;Model!$B$36,  Model!$B$33-6.5*F375/1000,  Model!$B$38)),     IF(F375&lt;=2000,  Model!$B$20-Model!$B$35*F375/1000,  IF(F375&lt;Model!$B$36,  Model!$B$33-5.4*F375/1000,   Model!$B$38)))</f>
        <v>-19.088750000000001</v>
      </c>
      <c r="K375" s="13">
        <f t="shared" si="101"/>
        <v>253.91125</v>
      </c>
      <c r="L375" s="46">
        <f>IF(AB374-AA374*(B375-B374)&gt;0, L374-Y374*(B375-B374)*3600-AD375*Model!$B$16, 0)</f>
        <v>883.54735038079582</v>
      </c>
      <c r="M375" s="57">
        <f t="shared" si="102"/>
        <v>30.149663343306827</v>
      </c>
      <c r="N375" s="57">
        <f>Model!$B$13*I375*K375/(Model!$B$13*I375-L375*287*K375)</f>
        <v>303.14966334330683</v>
      </c>
      <c r="O375" s="57">
        <f t="shared" si="103"/>
        <v>278.53045667165338</v>
      </c>
      <c r="P375" s="57">
        <f t="shared" si="104"/>
        <v>5.530738361794258</v>
      </c>
      <c r="Q375" s="63">
        <f t="shared" si="105"/>
        <v>2.439266242368739E-2</v>
      </c>
      <c r="R375" s="17">
        <f t="shared" si="106"/>
        <v>1.4175167493851951E-5</v>
      </c>
      <c r="S375" s="46">
        <f>0.37*Model!$B$10*(Q375^2*(N375-K375)*I375/(R375*O375^2))^0.33333*(N375-K375)</f>
        <v>305544.20633395336</v>
      </c>
      <c r="T375" s="51">
        <f>Model!$B$32+(90-Model!$B$6)*SIN(RADIANS(-15*(E375+6)))</f>
        <v>-29.251100130305701</v>
      </c>
      <c r="U375" s="46">
        <f t="shared" si="107"/>
        <v>0</v>
      </c>
      <c r="V375" s="51">
        <f t="shared" si="108"/>
        <v>99999</v>
      </c>
      <c r="W375" s="46">
        <f t="shared" si="109"/>
        <v>4.2253521126760563E-2</v>
      </c>
      <c r="X375" s="46">
        <f>0.3*W375*Model!$B$9</f>
        <v>3.8275201289827652</v>
      </c>
      <c r="Y375" s="17">
        <f>(S375-X375)/Model!$B$11</f>
        <v>6.5545506556650085E-3</v>
      </c>
      <c r="Z375" s="46">
        <f t="shared" si="110"/>
        <v>1.2526894798323769E-3</v>
      </c>
      <c r="AA375" s="57">
        <f>Y375/Model!$B$12*3600</f>
        <v>42.437628452666758</v>
      </c>
      <c r="AB375" s="51">
        <f t="shared" si="116"/>
        <v>454.2014304766758</v>
      </c>
      <c r="AC375" s="51">
        <f t="shared" si="111"/>
        <v>1345.7985695233242</v>
      </c>
      <c r="AD375" s="13">
        <f>IF(AE375=0, Model!$B$19, 0 )</f>
        <v>0</v>
      </c>
      <c r="AE375" s="51">
        <f>IF(AE374+AB374-AB375&lt;Model!$B$19*Model!$B$18, AE374+AB374-AB375,  0)</f>
        <v>439.62027518093646</v>
      </c>
      <c r="AF375" s="13">
        <f t="shared" si="112"/>
        <v>18.65000000000013</v>
      </c>
      <c r="AG375" s="50">
        <f t="shared" si="113"/>
        <v>0</v>
      </c>
    </row>
    <row r="376" spans="2:33" x14ac:dyDescent="0.25">
      <c r="B376" s="15">
        <f t="shared" si="114"/>
        <v>18.700000000000131</v>
      </c>
      <c r="C376" s="15">
        <f>B376+Model!$B$4</f>
        <v>20.700000000000131</v>
      </c>
      <c r="D376" s="15">
        <f t="shared" si="115"/>
        <v>1</v>
      </c>
      <c r="E376" s="15">
        <f t="shared" si="117"/>
        <v>20.700000000000131</v>
      </c>
      <c r="F376" s="16">
        <f>IF(AB376&gt;0, VLOOKUP(B376,Model!$A$40:$B$60, 2), 0)</f>
        <v>300</v>
      </c>
      <c r="G376" s="15">
        <f>IF(AB376&gt;0, VLOOKUP(B376,Model!$A$39:$C$58, 3), 0)</f>
        <v>1</v>
      </c>
      <c r="H376" s="15">
        <f t="shared" si="100"/>
        <v>97</v>
      </c>
      <c r="I376" s="45">
        <f>Model!$B$21*EXP((-0.029*9.81*F376)/(8.31*(273+J376)))</f>
        <v>100357.4491247143</v>
      </c>
      <c r="J376" s="15">
        <f>IF(Model!$B$31="Summer",  IF(F376&lt;=2000,  Model!$B$20-Model!$B$35*F376/1000,  IF(F376&lt;Model!$B$36,  Model!$B$33-6.5*F376/1000,  Model!$B$38)),     IF(F376&lt;=2000,  Model!$B$20-Model!$B$35*F376/1000,  IF(F376&lt;Model!$B$36,  Model!$B$33-5.4*F376/1000,   Model!$B$38)))</f>
        <v>-19.088750000000001</v>
      </c>
      <c r="K376" s="15">
        <f t="shared" si="101"/>
        <v>253.91125</v>
      </c>
      <c r="L376" s="45">
        <f>IF(AB375-AA375*(B376-B375)&gt;0, L375-Y375*(B376-B375)*3600-AD376*Model!$B$16, 0)</f>
        <v>882.36753126277608</v>
      </c>
      <c r="M376" s="56">
        <f t="shared" si="102"/>
        <v>30.071184543414688</v>
      </c>
      <c r="N376" s="56">
        <f>Model!$B$13*I376*K376/(Model!$B$13*I376-L376*287*K376)</f>
        <v>303.07118454341469</v>
      </c>
      <c r="O376" s="56">
        <f t="shared" si="103"/>
        <v>278.49121727170734</v>
      </c>
      <c r="P376" s="56">
        <f t="shared" si="104"/>
        <v>5.4914989618481886</v>
      </c>
      <c r="Q376" s="62">
        <f t="shared" si="105"/>
        <v>2.4389876426291222E-2</v>
      </c>
      <c r="R376" s="33">
        <f t="shared" si="106"/>
        <v>1.4171086596257563E-5</v>
      </c>
      <c r="S376" s="45">
        <f>0.37*Model!$B$10*(Q376^2*(N376-K376)*I376/(R376*O376^2))^0.33333*(N376-K376)</f>
        <v>304929.7425102226</v>
      </c>
      <c r="T376" s="50">
        <f>Model!$B$32+(90-Model!$B$6)*SIN(RADIANS(-15*(E376+6)))</f>
        <v>-29.601416752541652</v>
      </c>
      <c r="U376" s="45">
        <f t="shared" si="107"/>
        <v>0</v>
      </c>
      <c r="V376" s="50">
        <f t="shared" si="108"/>
        <v>99999</v>
      </c>
      <c r="W376" s="45">
        <f t="shared" si="109"/>
        <v>4.2253521126760563E-2</v>
      </c>
      <c r="X376" s="45">
        <f>0.3*W376*Model!$B$9</f>
        <v>3.8275201289827652</v>
      </c>
      <c r="Y376" s="33">
        <f>(S376-X376)/Model!$B$11</f>
        <v>6.5413689797295636E-3</v>
      </c>
      <c r="Z376" s="45">
        <f t="shared" si="110"/>
        <v>1.2552137739907251E-3</v>
      </c>
      <c r="AA376" s="56">
        <f>Y376/Model!$B$12*3600</f>
        <v>42.352283309251256</v>
      </c>
      <c r="AB376" s="50">
        <f t="shared" si="116"/>
        <v>452.07954905404245</v>
      </c>
      <c r="AC376" s="50">
        <f t="shared" si="111"/>
        <v>1347.9204509459576</v>
      </c>
      <c r="AD376" s="15">
        <f>IF(AE376=0, Model!$B$19, 0 )</f>
        <v>0</v>
      </c>
      <c r="AE376" s="50">
        <f>IF(AE375+AB375-AB376&lt;Model!$B$19*Model!$B$18, AE375+AB375-AB376,  0)</f>
        <v>441.74215660356981</v>
      </c>
      <c r="AF376" s="15">
        <f t="shared" si="112"/>
        <v>18.700000000000131</v>
      </c>
      <c r="AG376" s="50">
        <f t="shared" si="113"/>
        <v>0</v>
      </c>
    </row>
    <row r="377" spans="2:33" x14ac:dyDescent="0.25">
      <c r="B377" s="13">
        <f t="shared" si="114"/>
        <v>18.750000000000131</v>
      </c>
      <c r="C377" s="13">
        <f>B377+Model!$B$4</f>
        <v>20.750000000000131</v>
      </c>
      <c r="D377" s="13">
        <f t="shared" si="115"/>
        <v>1</v>
      </c>
      <c r="E377" s="13">
        <f t="shared" si="117"/>
        <v>20.750000000000131</v>
      </c>
      <c r="F377" s="14">
        <f>IF(AB377&gt;0, VLOOKUP(B377,Model!$A$40:$B$60, 2), 0)</f>
        <v>300</v>
      </c>
      <c r="G377" s="13">
        <f>IF(AB377&gt;0, VLOOKUP(B377,Model!$A$39:$C$58, 3), 0)</f>
        <v>1</v>
      </c>
      <c r="H377" s="13">
        <f t="shared" si="100"/>
        <v>97</v>
      </c>
      <c r="I377" s="46">
        <f>Model!$B$21*EXP((-0.029*9.81*F377)/(8.31*(273+J377)))</f>
        <v>100357.4491247143</v>
      </c>
      <c r="J377" s="13">
        <f>IF(Model!$B$31="Summer",  IF(F377&lt;=2000,  Model!$B$20-Model!$B$35*F377/1000,  IF(F377&lt;Model!$B$36,  Model!$B$33-6.5*F377/1000,  Model!$B$38)),     IF(F377&lt;=2000,  Model!$B$20-Model!$B$35*F377/1000,  IF(F377&lt;Model!$B$36,  Model!$B$33-5.4*F377/1000,   Model!$B$38)))</f>
        <v>-19.088750000000001</v>
      </c>
      <c r="K377" s="13">
        <f t="shared" si="101"/>
        <v>253.91125</v>
      </c>
      <c r="L377" s="46">
        <f>IF(AB376-AA376*(B377-B376)&gt;0, L376-Y376*(B377-B376)*3600-AD377*Model!$B$16, 0)</f>
        <v>881.19008484642472</v>
      </c>
      <c r="M377" s="57">
        <f t="shared" si="102"/>
        <v>29.992904069996996</v>
      </c>
      <c r="N377" s="57">
        <f>Model!$B$13*I377*K377/(Model!$B$13*I377-L377*287*K377)</f>
        <v>302.992904069997</v>
      </c>
      <c r="O377" s="57">
        <f t="shared" si="103"/>
        <v>278.45207703499852</v>
      </c>
      <c r="P377" s="57">
        <f t="shared" si="104"/>
        <v>5.4523587251393426</v>
      </c>
      <c r="Q377" s="63">
        <f t="shared" si="105"/>
        <v>2.4387097469484895E-2</v>
      </c>
      <c r="R377" s="17">
        <f t="shared" si="106"/>
        <v>1.4167016011639846E-5</v>
      </c>
      <c r="S377" s="46">
        <f>0.37*Model!$B$10*(Q377^2*(N377-K377)*I377/(R377*O377^2))^0.33333*(N377-K377)</f>
        <v>304317.04216783756</v>
      </c>
      <c r="T377" s="51">
        <f>Model!$B$32+(90-Model!$B$6)*SIN(RADIANS(-15*(E377+6)))</f>
        <v>-29.947838589487649</v>
      </c>
      <c r="U377" s="46">
        <f t="shared" si="107"/>
        <v>0</v>
      </c>
      <c r="V377" s="51">
        <f t="shared" si="108"/>
        <v>99999</v>
      </c>
      <c r="W377" s="46">
        <f t="shared" si="109"/>
        <v>4.2253521126760563E-2</v>
      </c>
      <c r="X377" s="46">
        <f>0.3*W377*Model!$B$9</f>
        <v>3.8275201289827652</v>
      </c>
      <c r="Y377" s="17">
        <f>(S377-X377)/Model!$B$11</f>
        <v>6.5282251345641657E-3</v>
      </c>
      <c r="Z377" s="46">
        <f t="shared" si="110"/>
        <v>1.2577409735968067E-3</v>
      </c>
      <c r="AA377" s="57">
        <f>Y377/Model!$B$12*3600</f>
        <v>42.267183102254393</v>
      </c>
      <c r="AB377" s="51">
        <f t="shared" si="116"/>
        <v>449.96193488857983</v>
      </c>
      <c r="AC377" s="51">
        <f t="shared" si="111"/>
        <v>1350.0380651114201</v>
      </c>
      <c r="AD377" s="13">
        <f>IF(AE377=0, Model!$B$19, 0 )</f>
        <v>0</v>
      </c>
      <c r="AE377" s="51">
        <f>IF(AE376+AB376-AB377&lt;Model!$B$19*Model!$B$18, AE376+AB376-AB377,  0)</f>
        <v>443.85977076903242</v>
      </c>
      <c r="AF377" s="13">
        <f t="shared" si="112"/>
        <v>18.750000000000131</v>
      </c>
      <c r="AG377" s="50">
        <f t="shared" si="113"/>
        <v>0</v>
      </c>
    </row>
    <row r="378" spans="2:33" x14ac:dyDescent="0.25">
      <c r="B378" s="15">
        <f t="shared" si="114"/>
        <v>18.800000000000132</v>
      </c>
      <c r="C378" s="15">
        <f>B378+Model!$B$4</f>
        <v>20.800000000000132</v>
      </c>
      <c r="D378" s="15">
        <f t="shared" si="115"/>
        <v>1</v>
      </c>
      <c r="E378" s="15">
        <f t="shared" si="117"/>
        <v>20.800000000000132</v>
      </c>
      <c r="F378" s="16">
        <f>IF(AB378&gt;0, VLOOKUP(B378,Model!$A$40:$B$60, 2), 0)</f>
        <v>300</v>
      </c>
      <c r="G378" s="15">
        <f>IF(AB378&gt;0, VLOOKUP(B378,Model!$A$39:$C$58, 3), 0)</f>
        <v>1</v>
      </c>
      <c r="H378" s="15">
        <f t="shared" si="100"/>
        <v>97</v>
      </c>
      <c r="I378" s="45">
        <f>Model!$B$21*EXP((-0.029*9.81*F378)/(8.31*(273+J378)))</f>
        <v>100357.4491247143</v>
      </c>
      <c r="J378" s="15">
        <f>IF(Model!$B$31="Summer",  IF(F378&lt;=2000,  Model!$B$20-Model!$B$35*F378/1000,  IF(F378&lt;Model!$B$36,  Model!$B$33-6.5*F378/1000,  Model!$B$38)),     IF(F378&lt;=2000,  Model!$B$20-Model!$B$35*F378/1000,  IF(F378&lt;Model!$B$36,  Model!$B$33-5.4*F378/1000,   Model!$B$38)))</f>
        <v>-19.088750000000001</v>
      </c>
      <c r="K378" s="15">
        <f t="shared" si="101"/>
        <v>253.91125</v>
      </c>
      <c r="L378" s="45">
        <f>IF(AB377-AA377*(B378-B377)&gt;0, L377-Y377*(B378-B377)*3600-AD378*Model!$B$16, 0)</f>
        <v>880.01500432220314</v>
      </c>
      <c r="M378" s="56">
        <f t="shared" si="102"/>
        <v>29.914821194844876</v>
      </c>
      <c r="N378" s="56">
        <f>Model!$B$13*I378*K378/(Model!$B$13*I378-L378*287*K378)</f>
        <v>302.91482119484488</v>
      </c>
      <c r="O378" s="56">
        <f t="shared" si="103"/>
        <v>278.41303559742244</v>
      </c>
      <c r="P378" s="56">
        <f t="shared" si="104"/>
        <v>5.4133172875632827</v>
      </c>
      <c r="Q378" s="62">
        <f t="shared" si="105"/>
        <v>2.4384325527416994E-2</v>
      </c>
      <c r="R378" s="33">
        <f t="shared" si="106"/>
        <v>1.4162955702131932E-5</v>
      </c>
      <c r="S378" s="45">
        <f>0.37*Model!$B$10*(Q378^2*(N378-K378)*I378/(R378*O378^2))^0.33333*(N378-K378)</f>
        <v>303706.09841376753</v>
      </c>
      <c r="T378" s="50">
        <f>Model!$B$32+(90-Model!$B$6)*SIN(RADIANS(-15*(E378+6)))</f>
        <v>-30.29030628354527</v>
      </c>
      <c r="U378" s="45">
        <f t="shared" si="107"/>
        <v>0</v>
      </c>
      <c r="V378" s="50">
        <f t="shared" si="108"/>
        <v>99999</v>
      </c>
      <c r="W378" s="45">
        <f t="shared" si="109"/>
        <v>4.2253521126760563E-2</v>
      </c>
      <c r="X378" s="45">
        <f>0.3*W378*Model!$B$9</f>
        <v>3.8275201289827652</v>
      </c>
      <c r="Y378" s="33">
        <f>(S378-X378)/Model!$B$11</f>
        <v>6.5151189722972977E-3</v>
      </c>
      <c r="Z378" s="45">
        <f t="shared" si="110"/>
        <v>1.2602710808158263E-3</v>
      </c>
      <c r="AA378" s="56">
        <f>Y378/Model!$B$12*3600</f>
        <v>42.182326874277727</v>
      </c>
      <c r="AB378" s="50">
        <f t="shared" si="116"/>
        <v>447.8485757334671</v>
      </c>
      <c r="AC378" s="50">
        <f t="shared" si="111"/>
        <v>1352.151424266533</v>
      </c>
      <c r="AD378" s="15">
        <f>IF(AE378=0, Model!$B$19, 0 )</f>
        <v>0</v>
      </c>
      <c r="AE378" s="50">
        <f>IF(AE377+AB377-AB378&lt;Model!$B$19*Model!$B$18, AE377+AB377-AB378,  0)</f>
        <v>445.97312992414516</v>
      </c>
      <c r="AF378" s="15">
        <f t="shared" si="112"/>
        <v>18.800000000000132</v>
      </c>
      <c r="AG378" s="50">
        <f t="shared" si="113"/>
        <v>0</v>
      </c>
    </row>
    <row r="379" spans="2:33" x14ac:dyDescent="0.25">
      <c r="B379" s="13">
        <f t="shared" si="114"/>
        <v>18.850000000000133</v>
      </c>
      <c r="C379" s="13">
        <f>B379+Model!$B$4</f>
        <v>20.850000000000133</v>
      </c>
      <c r="D379" s="13">
        <f t="shared" si="115"/>
        <v>1</v>
      </c>
      <c r="E379" s="13">
        <f t="shared" si="117"/>
        <v>20.850000000000133</v>
      </c>
      <c r="F379" s="14">
        <f>IF(AB379&gt;0, VLOOKUP(B379,Model!$A$40:$B$60, 2), 0)</f>
        <v>300</v>
      </c>
      <c r="G379" s="13">
        <f>IF(AB379&gt;0, VLOOKUP(B379,Model!$A$39:$C$58, 3), 0)</f>
        <v>1</v>
      </c>
      <c r="H379" s="13">
        <f t="shared" si="100"/>
        <v>97</v>
      </c>
      <c r="I379" s="46">
        <f>Model!$B$21*EXP((-0.029*9.81*F379)/(8.31*(273+J379)))</f>
        <v>100357.4491247143</v>
      </c>
      <c r="J379" s="13">
        <f>IF(Model!$B$31="Summer",  IF(F379&lt;=2000,  Model!$B$20-Model!$B$35*F379/1000,  IF(F379&lt;Model!$B$36,  Model!$B$33-6.5*F379/1000,  Model!$B$38)),     IF(F379&lt;=2000,  Model!$B$20-Model!$B$35*F379/1000,  IF(F379&lt;Model!$B$36,  Model!$B$33-5.4*F379/1000,   Model!$B$38)))</f>
        <v>-19.088750000000001</v>
      </c>
      <c r="K379" s="13">
        <f t="shared" si="101"/>
        <v>253.91125</v>
      </c>
      <c r="L379" s="46">
        <f>IF(AB378-AA378*(B379-B378)&gt;0, L378-Y378*(B379-B378)*3600-AD379*Model!$B$16, 0)</f>
        <v>878.84228290718966</v>
      </c>
      <c r="M379" s="57">
        <f t="shared" si="102"/>
        <v>29.836935193349916</v>
      </c>
      <c r="N379" s="57">
        <f>Model!$B$13*I379*K379/(Model!$B$13*I379-L379*287*K379)</f>
        <v>302.83693519334992</v>
      </c>
      <c r="O379" s="57">
        <f t="shared" si="103"/>
        <v>278.37409259667493</v>
      </c>
      <c r="P379" s="57">
        <f t="shared" si="104"/>
        <v>5.3743742868158026</v>
      </c>
      <c r="Q379" s="63">
        <f t="shared" si="105"/>
        <v>2.4381560574363921E-2</v>
      </c>
      <c r="R379" s="17">
        <f t="shared" si="106"/>
        <v>1.4158905630054192E-5</v>
      </c>
      <c r="S379" s="46">
        <f>0.37*Model!$B$10*(Q379^2*(N379-K379)*I379/(R379*O379^2))^0.33333*(N379-K379)</f>
        <v>303096.90439004137</v>
      </c>
      <c r="T379" s="51">
        <f>Model!$B$32+(90-Model!$B$6)*SIN(RADIANS(-15*(E379+6)))</f>
        <v>-30.628761154638184</v>
      </c>
      <c r="U379" s="46">
        <f t="shared" si="107"/>
        <v>0</v>
      </c>
      <c r="V379" s="51">
        <f t="shared" si="108"/>
        <v>99999</v>
      </c>
      <c r="W379" s="46">
        <f t="shared" si="109"/>
        <v>4.2253521126760563E-2</v>
      </c>
      <c r="X379" s="46">
        <f>0.3*W379*Model!$B$9</f>
        <v>3.8275201289827652</v>
      </c>
      <c r="Y379" s="17">
        <f>(S379-X379)/Model!$B$11</f>
        <v>6.5020503458095543E-3</v>
      </c>
      <c r="Z379" s="46">
        <f t="shared" si="110"/>
        <v>1.2628040978133208E-3</v>
      </c>
      <c r="AA379" s="57">
        <f>Y379/Model!$B$12*3600</f>
        <v>42.097713672792402</v>
      </c>
      <c r="AB379" s="51">
        <f t="shared" si="116"/>
        <v>445.73945938975316</v>
      </c>
      <c r="AC379" s="51">
        <f t="shared" si="111"/>
        <v>1354.2605406102468</v>
      </c>
      <c r="AD379" s="13">
        <f>IF(AE379=0, Model!$B$19, 0 )</f>
        <v>0</v>
      </c>
      <c r="AE379" s="51">
        <f>IF(AE378+AB378-AB379&lt;Model!$B$19*Model!$B$18, AE378+AB378-AB379,  0)</f>
        <v>448.08224626785909</v>
      </c>
      <c r="AF379" s="13">
        <f t="shared" si="112"/>
        <v>18.850000000000133</v>
      </c>
      <c r="AG379" s="50">
        <f t="shared" si="113"/>
        <v>0</v>
      </c>
    </row>
    <row r="380" spans="2:33" x14ac:dyDescent="0.25">
      <c r="B380" s="15">
        <f t="shared" si="114"/>
        <v>18.900000000000134</v>
      </c>
      <c r="C380" s="15">
        <f>B380+Model!$B$4</f>
        <v>20.900000000000134</v>
      </c>
      <c r="D380" s="15">
        <f t="shared" si="115"/>
        <v>1</v>
      </c>
      <c r="E380" s="15">
        <f t="shared" si="117"/>
        <v>20.900000000000134</v>
      </c>
      <c r="F380" s="16">
        <f>IF(AB380&gt;0, VLOOKUP(B380,Model!$A$40:$B$60, 2), 0)</f>
        <v>300</v>
      </c>
      <c r="G380" s="15">
        <f>IF(AB380&gt;0, VLOOKUP(B380,Model!$A$39:$C$58, 3), 0)</f>
        <v>1</v>
      </c>
      <c r="H380" s="15">
        <f t="shared" si="100"/>
        <v>97</v>
      </c>
      <c r="I380" s="45">
        <f>Model!$B$21*EXP((-0.029*9.81*F380)/(8.31*(273+J380)))</f>
        <v>100357.4491247143</v>
      </c>
      <c r="J380" s="15">
        <f>IF(Model!$B$31="Summer",  IF(F380&lt;=2000,  Model!$B$20-Model!$B$35*F380/1000,  IF(F380&lt;Model!$B$36,  Model!$B$33-6.5*F380/1000,  Model!$B$38)),     IF(F380&lt;=2000,  Model!$B$20-Model!$B$35*F380/1000,  IF(F380&lt;Model!$B$36,  Model!$B$33-5.4*F380/1000,   Model!$B$38)))</f>
        <v>-19.088750000000001</v>
      </c>
      <c r="K380" s="15">
        <f t="shared" si="101"/>
        <v>253.91125</v>
      </c>
      <c r="L380" s="45">
        <f>IF(AB379-AA379*(B380-B379)&gt;0, L379-Y379*(B380-B379)*3600-AD380*Model!$B$16, 0)</f>
        <v>767.6719138449439</v>
      </c>
      <c r="M380" s="56">
        <f t="shared" si="102"/>
        <v>22.631118282764476</v>
      </c>
      <c r="N380" s="56">
        <f>Model!$B$13*I380*K380/(Model!$B$13*I380-L380*287*K380)</f>
        <v>295.63111828276448</v>
      </c>
      <c r="O380" s="56">
        <f t="shared" si="103"/>
        <v>274.77118414138226</v>
      </c>
      <c r="P380" s="56">
        <f t="shared" si="104"/>
        <v>1.7714658315230825</v>
      </c>
      <c r="Q380" s="62">
        <f t="shared" si="105"/>
        <v>2.4125754074038143E-2</v>
      </c>
      <c r="R380" s="33">
        <f t="shared" si="106"/>
        <v>1.3784203150703754E-5</v>
      </c>
      <c r="S380" s="45">
        <f>0.37*Model!$B$10*(Q380^2*(N380-K380)*I380/(R380*O380^2))^0.33333*(N380-K380)</f>
        <v>247698.69931073723</v>
      </c>
      <c r="T380" s="50">
        <f>Model!$B$32+(90-Model!$B$6)*SIN(RADIANS(-15*(E380+6)))</f>
        <v>-30.963145210266582</v>
      </c>
      <c r="U380" s="45">
        <f t="shared" si="107"/>
        <v>0</v>
      </c>
      <c r="V380" s="50">
        <f t="shared" si="108"/>
        <v>99999</v>
      </c>
      <c r="W380" s="45">
        <f t="shared" si="109"/>
        <v>4.2253521126760563E-2</v>
      </c>
      <c r="X380" s="45">
        <f>0.3*W380*Model!$B$9</f>
        <v>3.8275201289827652</v>
      </c>
      <c r="Y380" s="33">
        <f>(S380-X380)/Model!$B$11</f>
        <v>5.3136302003777376E-3</v>
      </c>
      <c r="Z380" s="45">
        <f t="shared" si="110"/>
        <v>1.5452322275544747E-3</v>
      </c>
      <c r="AA380" s="56">
        <f>Y380/Model!$B$12*3600</f>
        <v>34.403252949705234</v>
      </c>
      <c r="AB380" s="50">
        <f t="shared" si="116"/>
        <v>443.63457370611354</v>
      </c>
      <c r="AC380" s="50">
        <f t="shared" si="111"/>
        <v>1356.3654262938865</v>
      </c>
      <c r="AD380" s="15">
        <f>IF(AE380=0, Model!$B$19, 0 )</f>
        <v>10</v>
      </c>
      <c r="AE380" s="50">
        <f>IF(AE379+AB379-AB380&lt;Model!$B$19*Model!$B$18, AE379+AB379-AB380,  0)</f>
        <v>0</v>
      </c>
      <c r="AF380" s="15">
        <f t="shared" si="112"/>
        <v>18.900000000000134</v>
      </c>
      <c r="AG380" s="50">
        <f t="shared" si="113"/>
        <v>0</v>
      </c>
    </row>
    <row r="381" spans="2:33" x14ac:dyDescent="0.25">
      <c r="B381" s="13">
        <f t="shared" si="114"/>
        <v>18.950000000000134</v>
      </c>
      <c r="C381" s="13">
        <f>B381+Model!$B$4</f>
        <v>20.950000000000134</v>
      </c>
      <c r="D381" s="13">
        <f t="shared" si="115"/>
        <v>1</v>
      </c>
      <c r="E381" s="13">
        <f t="shared" si="117"/>
        <v>20.950000000000134</v>
      </c>
      <c r="F381" s="14">
        <f>IF(AB381&gt;0, VLOOKUP(B381,Model!$A$40:$B$60, 2), 0)</f>
        <v>300</v>
      </c>
      <c r="G381" s="13">
        <f>IF(AB381&gt;0, VLOOKUP(B381,Model!$A$39:$C$58, 3), 0)</f>
        <v>1</v>
      </c>
      <c r="H381" s="13">
        <f t="shared" si="100"/>
        <v>97</v>
      </c>
      <c r="I381" s="46">
        <f>Model!$B$21*EXP((-0.029*9.81*F381)/(8.31*(273+J381)))</f>
        <v>100357.4491247143</v>
      </c>
      <c r="J381" s="13">
        <f>IF(Model!$B$31="Summer",  IF(F381&lt;=2000,  Model!$B$20-Model!$B$35*F381/1000,  IF(F381&lt;Model!$B$36,  Model!$B$33-6.5*F381/1000,  Model!$B$38)),     IF(F381&lt;=2000,  Model!$B$20-Model!$B$35*F381/1000,  IF(F381&lt;Model!$B$36,  Model!$B$33-5.4*F381/1000,   Model!$B$38)))</f>
        <v>-19.088750000000001</v>
      </c>
      <c r="K381" s="13">
        <f t="shared" si="101"/>
        <v>253.91125</v>
      </c>
      <c r="L381" s="46">
        <f>IF(AB380-AA380*(B381-B380)&gt;0, L380-Y380*(B381-B380)*3600-AD381*Model!$B$16, 0)</f>
        <v>766.71546040887586</v>
      </c>
      <c r="M381" s="57">
        <f t="shared" si="102"/>
        <v>22.570610614963982</v>
      </c>
      <c r="N381" s="57">
        <f>Model!$B$13*I381*K381/(Model!$B$13*I381-L381*287*K381)</f>
        <v>295.57061061496398</v>
      </c>
      <c r="O381" s="57">
        <f t="shared" si="103"/>
        <v>274.74093030748202</v>
      </c>
      <c r="P381" s="57">
        <f t="shared" si="104"/>
        <v>1.7412119976228357</v>
      </c>
      <c r="Q381" s="63">
        <f t="shared" si="105"/>
        <v>2.4123606051831222E-2</v>
      </c>
      <c r="R381" s="17">
        <f t="shared" si="106"/>
        <v>1.3781056751978128E-5</v>
      </c>
      <c r="S381" s="46">
        <f>0.37*Model!$B$10*(Q381^2*(N381-K381)*I381/(R381*O381^2))^0.33333*(N381-K381)</f>
        <v>247242.10877511528</v>
      </c>
      <c r="T381" s="51">
        <f>Model!$B$32+(90-Model!$B$6)*SIN(RADIANS(-15*(E381+6)))</f>
        <v>-31.293401155443988</v>
      </c>
      <c r="U381" s="46">
        <f t="shared" si="107"/>
        <v>0</v>
      </c>
      <c r="V381" s="51">
        <f t="shared" si="108"/>
        <v>99999</v>
      </c>
      <c r="W381" s="46">
        <f t="shared" si="109"/>
        <v>4.2253521126760563E-2</v>
      </c>
      <c r="X381" s="46">
        <f>0.3*W381*Model!$B$9</f>
        <v>3.8275201289827652</v>
      </c>
      <c r="Y381" s="17">
        <f>(S381-X381)/Model!$B$11</f>
        <v>5.3038352730877675E-3</v>
      </c>
      <c r="Z381" s="46">
        <f t="shared" si="110"/>
        <v>1.5480858612414497E-3</v>
      </c>
      <c r="AA381" s="57">
        <f>Y381/Model!$B$12*3600</f>
        <v>34.339835408688394</v>
      </c>
      <c r="AB381" s="51">
        <f t="shared" si="116"/>
        <v>441.91441105862827</v>
      </c>
      <c r="AC381" s="51">
        <f t="shared" si="111"/>
        <v>1358.0855889413717</v>
      </c>
      <c r="AD381" s="13">
        <f>IF(AE381=0, Model!$B$19, 0 )</f>
        <v>0</v>
      </c>
      <c r="AE381" s="51">
        <f>IF(AE380+AB380-AB381&lt;Model!$B$19*Model!$B$18, AE380+AB380-AB381,  0)</f>
        <v>1.7201626474852674</v>
      </c>
      <c r="AF381" s="13">
        <f t="shared" si="112"/>
        <v>18.950000000000134</v>
      </c>
      <c r="AG381" s="50">
        <f t="shared" si="113"/>
        <v>0</v>
      </c>
    </row>
    <row r="382" spans="2:33" x14ac:dyDescent="0.25">
      <c r="B382" s="15">
        <f t="shared" si="114"/>
        <v>19.000000000000135</v>
      </c>
      <c r="C382" s="15">
        <f>B382+Model!$B$4</f>
        <v>21.000000000000135</v>
      </c>
      <c r="D382" s="15">
        <f t="shared" si="115"/>
        <v>1</v>
      </c>
      <c r="E382" s="15">
        <f t="shared" si="117"/>
        <v>21.000000000000135</v>
      </c>
      <c r="F382" s="16">
        <f>IF(AB382&gt;0, VLOOKUP(B382,Model!$A$40:$B$60, 2), 0)</f>
        <v>300</v>
      </c>
      <c r="G382" s="15">
        <f>IF(AB382&gt;0, VLOOKUP(B382,Model!$A$39:$C$58, 3), 0)</f>
        <v>1</v>
      </c>
      <c r="H382" s="15">
        <f t="shared" si="100"/>
        <v>97</v>
      </c>
      <c r="I382" s="45">
        <f>Model!$B$21*EXP((-0.029*9.81*F382)/(8.31*(273+J382)))</f>
        <v>100357.4491247143</v>
      </c>
      <c r="J382" s="15">
        <f>IF(Model!$B$31="Summer",  IF(F382&lt;=2000,  Model!$B$20-Model!$B$35*F382/1000,  IF(F382&lt;Model!$B$36,  Model!$B$33-6.5*F382/1000,  Model!$B$38)),     IF(F382&lt;=2000,  Model!$B$20-Model!$B$35*F382/1000,  IF(F382&lt;Model!$B$36,  Model!$B$33-5.4*F382/1000,   Model!$B$38)))</f>
        <v>-19.088750000000001</v>
      </c>
      <c r="K382" s="15">
        <f t="shared" si="101"/>
        <v>253.91125</v>
      </c>
      <c r="L382" s="45">
        <f>IF(AB381-AA381*(B382-B381)&gt;0, L381-Y381*(B382-B381)*3600-AD382*Model!$B$16, 0)</f>
        <v>765.76077005972002</v>
      </c>
      <c r="M382" s="56">
        <f t="shared" si="102"/>
        <v>22.510239179575024</v>
      </c>
      <c r="N382" s="56">
        <f>Model!$B$13*I382*K382/(Model!$B$13*I382-L382*287*K382)</f>
        <v>295.51023917957502</v>
      </c>
      <c r="O382" s="56">
        <f t="shared" si="103"/>
        <v>274.71074458978751</v>
      </c>
      <c r="P382" s="56">
        <f t="shared" si="104"/>
        <v>1.7110262799283564</v>
      </c>
      <c r="Q382" s="62">
        <f t="shared" si="105"/>
        <v>2.4121462865874913E-2</v>
      </c>
      <c r="R382" s="33">
        <f t="shared" si="106"/>
        <v>1.37779174373379E-5</v>
      </c>
      <c r="S382" s="45">
        <f>0.37*Model!$B$10*(Q382^2*(N382-K382)*I382/(R382*O382^2))^0.33333*(N382-K382)</f>
        <v>246786.69820805921</v>
      </c>
      <c r="T382" s="50">
        <f>Model!$B$32+(90-Model!$B$6)*SIN(RADIANS(-15*(E382+6)))</f>
        <v>-31.619472402514358</v>
      </c>
      <c r="U382" s="45">
        <f t="shared" si="107"/>
        <v>0</v>
      </c>
      <c r="V382" s="50">
        <f t="shared" si="108"/>
        <v>99999</v>
      </c>
      <c r="W382" s="45">
        <f t="shared" si="109"/>
        <v>4.2253521126760563E-2</v>
      </c>
      <c r="X382" s="45">
        <f>0.3*W382*Model!$B$9</f>
        <v>3.8275201289827652</v>
      </c>
      <c r="Y382" s="33">
        <f>(S382-X382)/Model!$B$11</f>
        <v>5.2940656588636751E-3</v>
      </c>
      <c r="Z382" s="45">
        <f t="shared" si="110"/>
        <v>1.5509426386327702E-3</v>
      </c>
      <c r="AA382" s="56">
        <f>Y382/Model!$B$12*3600</f>
        <v>34.276581757851233</v>
      </c>
      <c r="AB382" s="50">
        <f t="shared" si="116"/>
        <v>440.19741928819383</v>
      </c>
      <c r="AC382" s="50">
        <f t="shared" si="111"/>
        <v>1359.8025807118061</v>
      </c>
      <c r="AD382" s="15">
        <f>IF(AE382=0, Model!$B$19, 0 )</f>
        <v>0</v>
      </c>
      <c r="AE382" s="50">
        <f>IF(AE381+AB381-AB382&lt;Model!$B$19*Model!$B$18, AE381+AB381-AB382,  0)</f>
        <v>3.4371544179197144</v>
      </c>
      <c r="AF382" s="15">
        <f t="shared" si="112"/>
        <v>19.000000000000135</v>
      </c>
      <c r="AG382" s="50">
        <f t="shared" si="113"/>
        <v>0</v>
      </c>
    </row>
    <row r="383" spans="2:33" x14ac:dyDescent="0.25">
      <c r="B383" s="13">
        <f t="shared" si="114"/>
        <v>19.050000000000136</v>
      </c>
      <c r="C383" s="13">
        <f>B383+Model!$B$4</f>
        <v>21.050000000000136</v>
      </c>
      <c r="D383" s="13">
        <f t="shared" si="115"/>
        <v>1</v>
      </c>
      <c r="E383" s="13">
        <f t="shared" si="117"/>
        <v>21.050000000000136</v>
      </c>
      <c r="F383" s="14">
        <f>IF(AB383&gt;0, VLOOKUP(B383,Model!$A$40:$B$60, 2), 0)</f>
        <v>300</v>
      </c>
      <c r="G383" s="13">
        <f>IF(AB383&gt;0, VLOOKUP(B383,Model!$A$39:$C$58, 3), 0)</f>
        <v>1</v>
      </c>
      <c r="H383" s="13">
        <f t="shared" si="100"/>
        <v>97</v>
      </c>
      <c r="I383" s="46">
        <f>Model!$B$21*EXP((-0.029*9.81*F383)/(8.31*(273+J383)))</f>
        <v>100357.4491247143</v>
      </c>
      <c r="J383" s="13">
        <f>IF(Model!$B$31="Summer",  IF(F383&lt;=2000,  Model!$B$20-Model!$B$35*F383/1000,  IF(F383&lt;Model!$B$36,  Model!$B$33-6.5*F383/1000,  Model!$B$38)),     IF(F383&lt;=2000,  Model!$B$20-Model!$B$35*F383/1000,  IF(F383&lt;Model!$B$36,  Model!$B$33-5.4*F383/1000,   Model!$B$38)))</f>
        <v>-19.088750000000001</v>
      </c>
      <c r="K383" s="13">
        <f t="shared" si="101"/>
        <v>253.91125</v>
      </c>
      <c r="L383" s="46">
        <f>IF(AB382-AA382*(B383-B382)&gt;0, L382-Y382*(B383-B382)*3600-AD383*Model!$B$16, 0)</f>
        <v>764.8078382411245</v>
      </c>
      <c r="M383" s="57">
        <f t="shared" si="102"/>
        <v>22.450003536880672</v>
      </c>
      <c r="N383" s="57">
        <f>Model!$B$13*I383*K383/(Model!$B$13*I383-L383*287*K383)</f>
        <v>295.45000353688067</v>
      </c>
      <c r="O383" s="57">
        <f t="shared" si="103"/>
        <v>274.68062676844033</v>
      </c>
      <c r="P383" s="57">
        <f t="shared" si="104"/>
        <v>1.6809084585811807</v>
      </c>
      <c r="Q383" s="63">
        <f t="shared" si="105"/>
        <v>2.4119324500559265E-2</v>
      </c>
      <c r="R383" s="17">
        <f t="shared" si="106"/>
        <v>1.3774785183917793E-5</v>
      </c>
      <c r="S383" s="46">
        <f>0.37*Model!$B$10*(Q383^2*(N383-K383)*I383/(R383*O383^2))^0.33333*(N383-K383)</f>
        <v>246332.4635146606</v>
      </c>
      <c r="T383" s="51">
        <f>Model!$B$32+(90-Model!$B$6)*SIN(RADIANS(-15*(E383+6)))</f>
        <v>-31.941303080848083</v>
      </c>
      <c r="U383" s="46">
        <f t="shared" si="107"/>
        <v>0</v>
      </c>
      <c r="V383" s="51">
        <f t="shared" si="108"/>
        <v>99999</v>
      </c>
      <c r="W383" s="46">
        <f t="shared" si="109"/>
        <v>4.2253521126760563E-2</v>
      </c>
      <c r="X383" s="46">
        <f>0.3*W383*Model!$B$9</f>
        <v>3.8275201289827652</v>
      </c>
      <c r="Y383" s="17">
        <f>(S383-X383)/Model!$B$11</f>
        <v>5.2843212698601653E-3</v>
      </c>
      <c r="Z383" s="46">
        <f t="shared" si="110"/>
        <v>1.5538025619408335E-3</v>
      </c>
      <c r="AA383" s="57">
        <f>Y383/Model!$B$12*3600</f>
        <v>34.213491428436839</v>
      </c>
      <c r="AB383" s="51">
        <f t="shared" si="116"/>
        <v>438.48359020030125</v>
      </c>
      <c r="AC383" s="51">
        <f t="shared" si="111"/>
        <v>1361.5164097996987</v>
      </c>
      <c r="AD383" s="13">
        <f>IF(AE383=0, Model!$B$19, 0 )</f>
        <v>0</v>
      </c>
      <c r="AE383" s="51">
        <f>IF(AE382+AB382-AB383&lt;Model!$B$19*Model!$B$18, AE382+AB382-AB383,  0)</f>
        <v>5.1509835058122917</v>
      </c>
      <c r="AF383" s="13">
        <f t="shared" si="112"/>
        <v>19.050000000000136</v>
      </c>
      <c r="AG383" s="50">
        <f t="shared" si="113"/>
        <v>0</v>
      </c>
    </row>
    <row r="384" spans="2:33" x14ac:dyDescent="0.25">
      <c r="B384" s="15">
        <f t="shared" si="114"/>
        <v>19.100000000000136</v>
      </c>
      <c r="C384" s="15">
        <f>B384+Model!$B$4</f>
        <v>21.100000000000136</v>
      </c>
      <c r="D384" s="15">
        <f t="shared" si="115"/>
        <v>1</v>
      </c>
      <c r="E384" s="15">
        <f t="shared" si="117"/>
        <v>21.100000000000136</v>
      </c>
      <c r="F384" s="16">
        <f>IF(AB384&gt;0, VLOOKUP(B384,Model!$A$40:$B$60, 2), 0)</f>
        <v>300</v>
      </c>
      <c r="G384" s="15">
        <f>IF(AB384&gt;0, VLOOKUP(B384,Model!$A$39:$C$58, 3), 0)</f>
        <v>1</v>
      </c>
      <c r="H384" s="15">
        <f t="shared" si="100"/>
        <v>97</v>
      </c>
      <c r="I384" s="45">
        <f>Model!$B$21*EXP((-0.029*9.81*F384)/(8.31*(273+J384)))</f>
        <v>100357.4491247143</v>
      </c>
      <c r="J384" s="15">
        <f>IF(Model!$B$31="Summer",  IF(F384&lt;=2000,  Model!$B$20-Model!$B$35*F384/1000,  IF(F384&lt;Model!$B$36,  Model!$B$33-6.5*F384/1000,  Model!$B$38)),     IF(F384&lt;=2000,  Model!$B$20-Model!$B$35*F384/1000,  IF(F384&lt;Model!$B$36,  Model!$B$33-5.4*F384/1000,   Model!$B$38)))</f>
        <v>-19.088750000000001</v>
      </c>
      <c r="K384" s="15">
        <f t="shared" si="101"/>
        <v>253.91125</v>
      </c>
      <c r="L384" s="45">
        <f>IF(AB383-AA383*(B384-B383)&gt;0, L383-Y383*(B384-B383)*3600-AD384*Model!$B$16, 0)</f>
        <v>763.85666041254967</v>
      </c>
      <c r="M384" s="56">
        <f t="shared" si="102"/>
        <v>22.389903249062911</v>
      </c>
      <c r="N384" s="56">
        <f>Model!$B$13*I384*K384/(Model!$B$13*I384-L384*287*K384)</f>
        <v>295.38990324906291</v>
      </c>
      <c r="O384" s="56">
        <f t="shared" si="103"/>
        <v>274.65057662453148</v>
      </c>
      <c r="P384" s="56">
        <f t="shared" si="104"/>
        <v>1.6508583146723002</v>
      </c>
      <c r="Q384" s="62">
        <f t="shared" si="105"/>
        <v>2.4117190940341735E-2</v>
      </c>
      <c r="R384" s="33">
        <f t="shared" si="106"/>
        <v>1.3771659968951273E-5</v>
      </c>
      <c r="S384" s="45">
        <f>0.37*Model!$B$10*(Q384^2*(N384-K384)*I384/(R384*O384^2))^0.33333*(N384-K384)</f>
        <v>245879.4006183329</v>
      </c>
      <c r="T384" s="50">
        <f>Model!$B$32+(90-Model!$B$6)*SIN(RADIANS(-15*(E384+6)))</f>
        <v>-32.258838046415249</v>
      </c>
      <c r="U384" s="45">
        <f t="shared" si="107"/>
        <v>0</v>
      </c>
      <c r="V384" s="50">
        <f t="shared" si="108"/>
        <v>99999</v>
      </c>
      <c r="W384" s="45">
        <f t="shared" si="109"/>
        <v>4.2253521126760563E-2</v>
      </c>
      <c r="X384" s="45">
        <f>0.3*W384*Model!$B$9</f>
        <v>3.8275201289827652</v>
      </c>
      <c r="Y384" s="33">
        <f>(S384-X384)/Model!$B$11</f>
        <v>5.2746020186249902E-3</v>
      </c>
      <c r="Z384" s="45">
        <f t="shared" si="110"/>
        <v>1.5566656333785545E-3</v>
      </c>
      <c r="AA384" s="56">
        <f>Y384/Model!$B$12*3600</f>
        <v>34.150563854233113</v>
      </c>
      <c r="AB384" s="50">
        <f t="shared" si="116"/>
        <v>436.77291562887939</v>
      </c>
      <c r="AC384" s="50">
        <f t="shared" si="111"/>
        <v>1363.2270843711206</v>
      </c>
      <c r="AD384" s="15">
        <f>IF(AE384=0, Model!$B$19, 0 )</f>
        <v>0</v>
      </c>
      <c r="AE384" s="50">
        <f>IF(AE383+AB383-AB384&lt;Model!$B$19*Model!$B$18, AE383+AB383-AB384,  0)</f>
        <v>6.8616580772341536</v>
      </c>
      <c r="AF384" s="15">
        <f t="shared" si="112"/>
        <v>19.100000000000136</v>
      </c>
      <c r="AG384" s="50">
        <f t="shared" si="113"/>
        <v>0</v>
      </c>
    </row>
    <row r="385" spans="2:33" x14ac:dyDescent="0.25">
      <c r="B385" s="13">
        <f t="shared" si="114"/>
        <v>19.150000000000137</v>
      </c>
      <c r="C385" s="13">
        <f>B385+Model!$B$4</f>
        <v>21.150000000000137</v>
      </c>
      <c r="D385" s="13">
        <f t="shared" si="115"/>
        <v>1</v>
      </c>
      <c r="E385" s="13">
        <f t="shared" si="117"/>
        <v>21.150000000000137</v>
      </c>
      <c r="F385" s="14">
        <f>IF(AB385&gt;0, VLOOKUP(B385,Model!$A$40:$B$60, 2), 0)</f>
        <v>300</v>
      </c>
      <c r="G385" s="13">
        <f>IF(AB385&gt;0, VLOOKUP(B385,Model!$A$39:$C$58, 3), 0)</f>
        <v>1</v>
      </c>
      <c r="H385" s="13">
        <f t="shared" si="100"/>
        <v>97</v>
      </c>
      <c r="I385" s="46">
        <f>Model!$B$21*EXP((-0.029*9.81*F385)/(8.31*(273+J385)))</f>
        <v>100357.4491247143</v>
      </c>
      <c r="J385" s="13">
        <f>IF(Model!$B$31="Summer",  IF(F385&lt;=2000,  Model!$B$20-Model!$B$35*F385/1000,  IF(F385&lt;Model!$B$36,  Model!$B$33-6.5*F385/1000,  Model!$B$38)),     IF(F385&lt;=2000,  Model!$B$20-Model!$B$35*F385/1000,  IF(F385&lt;Model!$B$36,  Model!$B$33-5.4*F385/1000,   Model!$B$38)))</f>
        <v>-19.088750000000001</v>
      </c>
      <c r="K385" s="13">
        <f t="shared" si="101"/>
        <v>253.91125</v>
      </c>
      <c r="L385" s="46">
        <f>IF(AB384-AA384*(B385-B384)&gt;0, L384-Y384*(B385-B384)*3600-AD385*Model!$B$16, 0)</f>
        <v>762.90723204919721</v>
      </c>
      <c r="M385" s="57">
        <f t="shared" si="102"/>
        <v>22.329937880192574</v>
      </c>
      <c r="N385" s="57">
        <f>Model!$B$13*I385*K385/(Model!$B$13*I385-L385*287*K385)</f>
        <v>295.32993788019257</v>
      </c>
      <c r="O385" s="57">
        <f t="shared" si="103"/>
        <v>274.62059394009628</v>
      </c>
      <c r="P385" s="57">
        <f t="shared" si="104"/>
        <v>1.6208756302371317</v>
      </c>
      <c r="Q385" s="63">
        <f t="shared" si="105"/>
        <v>2.4115062169746838E-2</v>
      </c>
      <c r="R385" s="17">
        <f t="shared" si="106"/>
        <v>1.3768541769770013E-5</v>
      </c>
      <c r="S385" s="46">
        <f>0.37*Model!$B$10*(Q385^2*(N385-K385)*I385/(R385*O385^2))^0.33333*(N385-K385)</f>
        <v>245427.50546071035</v>
      </c>
      <c r="T385" s="51">
        <f>Model!$B$32+(90-Model!$B$6)*SIN(RADIANS(-15*(E385+6)))</f>
        <v>-32.572022891234163</v>
      </c>
      <c r="U385" s="46">
        <f t="shared" si="107"/>
        <v>0</v>
      </c>
      <c r="V385" s="51">
        <f t="shared" si="108"/>
        <v>99999</v>
      </c>
      <c r="W385" s="46">
        <f t="shared" si="109"/>
        <v>4.2253521126760563E-2</v>
      </c>
      <c r="X385" s="46">
        <f>0.3*W385*Model!$B$9</f>
        <v>3.8275201289827652</v>
      </c>
      <c r="Y385" s="17">
        <f>(S385-X385)/Model!$B$11</f>
        <v>5.2649078180967797E-3</v>
      </c>
      <c r="Z385" s="46">
        <f t="shared" si="110"/>
        <v>1.559531855159364E-3</v>
      </c>
      <c r="AA385" s="57">
        <f>Y385/Model!$B$12*3600</f>
        <v>34.087798471558671</v>
      </c>
      <c r="AB385" s="51">
        <f t="shared" si="116"/>
        <v>435.06538743616773</v>
      </c>
      <c r="AC385" s="51">
        <f t="shared" si="111"/>
        <v>1364.9346125638322</v>
      </c>
      <c r="AD385" s="13">
        <f>IF(AE385=0, Model!$B$19, 0 )</f>
        <v>0</v>
      </c>
      <c r="AE385" s="51">
        <f>IF(AE384+AB384-AB385&lt;Model!$B$19*Model!$B$18, AE384+AB384-AB385,  0)</f>
        <v>8.569186269945817</v>
      </c>
      <c r="AF385" s="13">
        <f t="shared" si="112"/>
        <v>19.150000000000137</v>
      </c>
      <c r="AG385" s="50">
        <f t="shared" si="113"/>
        <v>0</v>
      </c>
    </row>
    <row r="386" spans="2:33" x14ac:dyDescent="0.25">
      <c r="B386" s="15">
        <f t="shared" si="114"/>
        <v>19.200000000000138</v>
      </c>
      <c r="C386" s="15">
        <f>B386+Model!$B$4</f>
        <v>21.200000000000138</v>
      </c>
      <c r="D386" s="15">
        <f t="shared" si="115"/>
        <v>1</v>
      </c>
      <c r="E386" s="15">
        <f t="shared" si="117"/>
        <v>21.200000000000138</v>
      </c>
      <c r="F386" s="16">
        <f>IF(AB386&gt;0, VLOOKUP(B386,Model!$A$40:$B$60, 2), 0)</f>
        <v>300</v>
      </c>
      <c r="G386" s="15">
        <f>IF(AB386&gt;0, VLOOKUP(B386,Model!$A$39:$C$58, 3), 0)</f>
        <v>1</v>
      </c>
      <c r="H386" s="15">
        <f t="shared" ref="H386:H449" si="118">IF(B386=1, 0, G386*97)</f>
        <v>97</v>
      </c>
      <c r="I386" s="45">
        <f>Model!$B$21*EXP((-0.029*9.81*F386)/(8.31*(273+J386)))</f>
        <v>100357.4491247143</v>
      </c>
      <c r="J386" s="15">
        <f>IF(Model!$B$31="Summer",  IF(F386&lt;=2000,  Model!$B$20-Model!$B$35*F386/1000,  IF(F386&lt;Model!$B$36,  Model!$B$33-6.5*F386/1000,  Model!$B$38)),     IF(F386&lt;=2000,  Model!$B$20-Model!$B$35*F386/1000,  IF(F386&lt;Model!$B$36,  Model!$B$33-5.4*F386/1000,   Model!$B$38)))</f>
        <v>-19.088750000000001</v>
      </c>
      <c r="K386" s="15">
        <f t="shared" ref="K386:K449" si="119">273+J386</f>
        <v>253.91125</v>
      </c>
      <c r="L386" s="45">
        <f>IF(AB385-AA385*(B386-B385)&gt;0, L385-Y385*(B386-B385)*3600-AD386*Model!$B$16, 0)</f>
        <v>761.95954864193982</v>
      </c>
      <c r="M386" s="56">
        <f t="shared" ref="M386:M449" si="120">IF(AB386=0, 0, N386-273)</f>
        <v>22.270106996218658</v>
      </c>
      <c r="N386" s="56">
        <f>Model!$B$13*I386*K386/(Model!$B$13*I386-L386*287*K386)</f>
        <v>295.27010699621866</v>
      </c>
      <c r="O386" s="56">
        <f t="shared" ref="O386:O449" si="121">(K386+N386)/2</f>
        <v>274.59067849810936</v>
      </c>
      <c r="P386" s="56">
        <f t="shared" ref="P386:P449" si="122">(J386+M386)/2+W385/150</f>
        <v>1.5909601882501736</v>
      </c>
      <c r="Q386" s="62">
        <f t="shared" ref="Q386:Q449" si="123">(O386-273)*7.1*0.00001+0.024</f>
        <v>2.4112938173365763E-2</v>
      </c>
      <c r="R386" s="33">
        <f t="shared" ref="R386:R402" si="124">((O386-273)*0.104+13.6)*0.000001</f>
        <v>1.3765430563803372E-5</v>
      </c>
      <c r="S386" s="45">
        <f>0.37*Model!$B$10*(Q386^2*(N386-K386)*I386/(R386*O386^2))^0.33333*(N386-K386)</f>
        <v>244976.77400154609</v>
      </c>
      <c r="T386" s="50">
        <f>Model!$B$32+(90-Model!$B$6)*SIN(RADIANS(-15*(E386+6)))</f>
        <v>-32.880803952693952</v>
      </c>
      <c r="U386" s="45">
        <f t="shared" ref="U386:U449" si="125">IF(OR(T386&lt;0, AB386=0),  0, T386)</f>
        <v>0</v>
      </c>
      <c r="V386" s="50">
        <f t="shared" ref="V386:V449" si="126">IF(T386&lt;0,99999,1/SIN(RADIANS(T386)))</f>
        <v>99999</v>
      </c>
      <c r="W386" s="45">
        <f t="shared" ref="W386:W449" si="127">IF(G386=0,0, 1353*((1+F386/7100)*0.7^V386^0.678)+F386/7100)</f>
        <v>4.2253521126760563E-2</v>
      </c>
      <c r="X386" s="45">
        <f>0.3*W386*Model!$B$9</f>
        <v>3.8275201289827652</v>
      </c>
      <c r="Y386" s="33">
        <f>(S386-X386)/Model!$B$11</f>
        <v>5.2552385816028559E-3</v>
      </c>
      <c r="Z386" s="45">
        <f t="shared" ref="Z386:Z449" si="128">100*X386/S386</f>
        <v>1.5624012294972131E-3</v>
      </c>
      <c r="AA386" s="56">
        <f>Y386/Model!$B$12*3600</f>
        <v>34.025194719248738</v>
      </c>
      <c r="AB386" s="50">
        <f t="shared" si="116"/>
        <v>433.36099751258979</v>
      </c>
      <c r="AC386" s="50">
        <f t="shared" ref="AC386:AC402" si="129">AC385+AB385-AB386</f>
        <v>1366.6390024874102</v>
      </c>
      <c r="AD386" s="15">
        <f>IF(AE386=0, Model!$B$19, 0 )</f>
        <v>0</v>
      </c>
      <c r="AE386" s="50">
        <f>IF(AE385+AB385-AB386&lt;Model!$B$19*Model!$B$18, AE385+AB385-AB386,  0)</f>
        <v>10.273576193523752</v>
      </c>
      <c r="AF386" s="15">
        <f t="shared" ref="AF386:AF449" si="130">B386</f>
        <v>19.200000000000138</v>
      </c>
      <c r="AG386" s="50">
        <f t="shared" ref="AG386:AG449" si="131">IF(OR(P386&gt;0, AB386&lt;=0),0, IF(P386&lt;-2,0.99,ABS(P386/2)))</f>
        <v>0</v>
      </c>
    </row>
    <row r="387" spans="2:33" x14ac:dyDescent="0.25">
      <c r="B387" s="13">
        <f t="shared" ref="B387:B450" si="132">IF(AB386&gt;0, B386+0.05, 1)</f>
        <v>19.250000000000139</v>
      </c>
      <c r="C387" s="13">
        <f>B387+Model!$B$4</f>
        <v>21.250000000000139</v>
      </c>
      <c r="D387" s="13">
        <f t="shared" ref="D387:D450" si="133">INT(C387/24+1)</f>
        <v>1</v>
      </c>
      <c r="E387" s="13">
        <f t="shared" si="117"/>
        <v>21.250000000000139</v>
      </c>
      <c r="F387" s="14">
        <f>IF(AB387&gt;0, VLOOKUP(B387,Model!$A$40:$B$60, 2), 0)</f>
        <v>300</v>
      </c>
      <c r="G387" s="13">
        <f>IF(AB387&gt;0, VLOOKUP(B387,Model!$A$39:$C$58, 3), 0)</f>
        <v>1</v>
      </c>
      <c r="H387" s="13">
        <f t="shared" si="118"/>
        <v>97</v>
      </c>
      <c r="I387" s="46">
        <f>Model!$B$21*EXP((-0.029*9.81*F387)/(8.31*(273+J387)))</f>
        <v>100357.4491247143</v>
      </c>
      <c r="J387" s="13">
        <f>IF(Model!$B$31="Summer",  IF(F387&lt;=2000,  Model!$B$20-Model!$B$35*F387/1000,  IF(F387&lt;Model!$B$36,  Model!$B$33-6.5*F387/1000,  Model!$B$38)),     IF(F387&lt;=2000,  Model!$B$20-Model!$B$35*F387/1000,  IF(F387&lt;Model!$B$36,  Model!$B$33-5.4*F387/1000,   Model!$B$38)))</f>
        <v>-19.088750000000001</v>
      </c>
      <c r="K387" s="13">
        <f t="shared" si="119"/>
        <v>253.91125</v>
      </c>
      <c r="L387" s="46">
        <f>IF(AB386-AA386*(B387-B386)&gt;0, L386-Y386*(B387-B386)*3600-AD387*Model!$B$16, 0)</f>
        <v>761.01360569725125</v>
      </c>
      <c r="M387" s="57">
        <f t="shared" si="120"/>
        <v>22.21041016495866</v>
      </c>
      <c r="N387" s="57">
        <f>Model!$B$13*I387*K387/(Model!$B$13*I387-L387*287*K387)</f>
        <v>295.21041016495866</v>
      </c>
      <c r="O387" s="57">
        <f t="shared" si="121"/>
        <v>274.56083008247936</v>
      </c>
      <c r="P387" s="57">
        <f t="shared" si="122"/>
        <v>1.5611117726201744</v>
      </c>
      <c r="Q387" s="63">
        <f t="shared" si="123"/>
        <v>2.4110818935856034E-2</v>
      </c>
      <c r="R387" s="17">
        <f t="shared" si="124"/>
        <v>1.3762326328577853E-5</v>
      </c>
      <c r="S387" s="46">
        <f>0.37*Model!$B$10*(Q387^2*(N387-K387)*I387/(R387*O387^2))^0.33333*(N387-K387)</f>
        <v>244527.20221861446</v>
      </c>
      <c r="T387" s="51">
        <f>Model!$B$32+(90-Model!$B$6)*SIN(RADIANS(-15*(E387+6)))</f>
        <v>-33.185128322749378</v>
      </c>
      <c r="U387" s="46">
        <f t="shared" si="125"/>
        <v>0</v>
      </c>
      <c r="V387" s="51">
        <f t="shared" si="126"/>
        <v>99999</v>
      </c>
      <c r="W387" s="46">
        <f t="shared" si="127"/>
        <v>4.2253521126760563E-2</v>
      </c>
      <c r="X387" s="46">
        <f>0.3*W387*Model!$B$9</f>
        <v>3.8275201289827652</v>
      </c>
      <c r="Y387" s="17">
        <f>(S387-X387)/Model!$B$11</f>
        <v>5.2455942228571383E-3</v>
      </c>
      <c r="Z387" s="46">
        <f t="shared" si="128"/>
        <v>1.5652737586065581E-3</v>
      </c>
      <c r="AA387" s="57">
        <f>Y387/Model!$B$12*3600</f>
        <v>33.962752038641604</v>
      </c>
      <c r="AB387" s="51">
        <f t="shared" ref="AB387:AB450" si="134">IF(AB386-AA386*(B387-B386)&gt;0, AB386-AA386*(B387-B386), 0)</f>
        <v>431.65973777662731</v>
      </c>
      <c r="AC387" s="51">
        <f t="shared" si="129"/>
        <v>1368.3402622233727</v>
      </c>
      <c r="AD387" s="13">
        <f>IF(AE387=0, Model!$B$19, 0 )</f>
        <v>0</v>
      </c>
      <c r="AE387" s="51">
        <f>IF(AE386+AB386-AB387&lt;Model!$B$19*Model!$B$18, AE386+AB386-AB387,  0)</f>
        <v>11.974835929486233</v>
      </c>
      <c r="AF387" s="13">
        <f t="shared" si="130"/>
        <v>19.250000000000139</v>
      </c>
      <c r="AG387" s="50">
        <f t="shared" si="131"/>
        <v>0</v>
      </c>
    </row>
    <row r="388" spans="2:33" x14ac:dyDescent="0.25">
      <c r="B388" s="15">
        <f t="shared" si="132"/>
        <v>19.300000000000139</v>
      </c>
      <c r="C388" s="15">
        <f>B388+Model!$B$4</f>
        <v>21.300000000000139</v>
      </c>
      <c r="D388" s="15">
        <f t="shared" si="133"/>
        <v>1</v>
      </c>
      <c r="E388" s="15">
        <f t="shared" si="117"/>
        <v>21.300000000000139</v>
      </c>
      <c r="F388" s="16">
        <f>IF(AB388&gt;0, VLOOKUP(B388,Model!$A$40:$B$60, 2), 0)</f>
        <v>300</v>
      </c>
      <c r="G388" s="15">
        <f>IF(AB388&gt;0, VLOOKUP(B388,Model!$A$39:$C$58, 3), 0)</f>
        <v>1</v>
      </c>
      <c r="H388" s="15">
        <f t="shared" si="118"/>
        <v>97</v>
      </c>
      <c r="I388" s="45">
        <f>Model!$B$21*EXP((-0.029*9.81*F388)/(8.31*(273+J388)))</f>
        <v>100357.4491247143</v>
      </c>
      <c r="J388" s="15">
        <f>IF(Model!$B$31="Summer",  IF(F388&lt;=2000,  Model!$B$20-Model!$B$35*F388/1000,  IF(F388&lt;Model!$B$36,  Model!$B$33-6.5*F388/1000,  Model!$B$38)),     IF(F388&lt;=2000,  Model!$B$20-Model!$B$35*F388/1000,  IF(F388&lt;Model!$B$36,  Model!$B$33-5.4*F388/1000,   Model!$B$38)))</f>
        <v>-19.088750000000001</v>
      </c>
      <c r="K388" s="15">
        <f t="shared" si="119"/>
        <v>253.91125</v>
      </c>
      <c r="L388" s="45">
        <f>IF(AB387-AA387*(B388-B387)&gt;0, L387-Y387*(B388-B387)*3600-AD388*Model!$B$16, 0)</f>
        <v>760.06939873713691</v>
      </c>
      <c r="M388" s="56">
        <f t="shared" si="120"/>
        <v>22.150846956087946</v>
      </c>
      <c r="N388" s="56">
        <f>Model!$B$13*I388*K388/(Model!$B$13*I388-L388*287*K388)</f>
        <v>295.15084695608795</v>
      </c>
      <c r="O388" s="56">
        <f t="shared" si="121"/>
        <v>274.531048478044</v>
      </c>
      <c r="P388" s="56">
        <f t="shared" si="122"/>
        <v>1.5313301681848177</v>
      </c>
      <c r="Q388" s="62">
        <f t="shared" si="123"/>
        <v>2.4108704441941124E-2</v>
      </c>
      <c r="R388" s="33">
        <f t="shared" si="124"/>
        <v>1.3759229041716576E-5</v>
      </c>
      <c r="S388" s="45">
        <f>0.37*Model!$B$10*(Q388^2*(N388-K388)*I388/(R388*O388^2))^0.33333*(N388-K388)</f>
        <v>244078.78610760844</v>
      </c>
      <c r="T388" s="50">
        <f>Model!$B$32+(90-Model!$B$6)*SIN(RADIANS(-15*(E388+6)))</f>
        <v>-33.484943856986234</v>
      </c>
      <c r="U388" s="45">
        <f t="shared" si="125"/>
        <v>0</v>
      </c>
      <c r="V388" s="50">
        <f t="shared" si="126"/>
        <v>99999</v>
      </c>
      <c r="W388" s="45">
        <f t="shared" si="127"/>
        <v>4.2253521126760563E-2</v>
      </c>
      <c r="X388" s="45">
        <f>0.3*W388*Model!$B$9</f>
        <v>3.8275201289827652</v>
      </c>
      <c r="Y388" s="33">
        <f>(S388-X388)/Model!$B$11</f>
        <v>5.2359746559579416E-3</v>
      </c>
      <c r="Z388" s="45">
        <f t="shared" si="128"/>
        <v>1.5681494447023774E-3</v>
      </c>
      <c r="AA388" s="56">
        <f>Y388/Model!$B$12*3600</f>
        <v>33.900469873564305</v>
      </c>
      <c r="AB388" s="50">
        <f t="shared" si="134"/>
        <v>429.96160017469521</v>
      </c>
      <c r="AC388" s="50">
        <f t="shared" si="129"/>
        <v>1370.0383998253049</v>
      </c>
      <c r="AD388" s="15">
        <f>IF(AE388=0, Model!$B$19, 0 )</f>
        <v>0</v>
      </c>
      <c r="AE388" s="50">
        <f>IF(AE387+AB387-AB388&lt;Model!$B$19*Model!$B$18, AE387+AB387-AB388,  0)</f>
        <v>13.672973531418336</v>
      </c>
      <c r="AF388" s="15">
        <f t="shared" si="130"/>
        <v>19.300000000000139</v>
      </c>
      <c r="AG388" s="50">
        <f t="shared" si="131"/>
        <v>0</v>
      </c>
    </row>
    <row r="389" spans="2:33" x14ac:dyDescent="0.25">
      <c r="B389" s="13">
        <f t="shared" si="132"/>
        <v>19.35000000000014</v>
      </c>
      <c r="C389" s="13">
        <f>B389+Model!$B$4</f>
        <v>21.35000000000014</v>
      </c>
      <c r="D389" s="13">
        <f t="shared" si="133"/>
        <v>1</v>
      </c>
      <c r="E389" s="13">
        <f t="shared" si="117"/>
        <v>21.35000000000014</v>
      </c>
      <c r="F389" s="14">
        <f>IF(AB389&gt;0, VLOOKUP(B389,Model!$A$40:$B$60, 2), 0)</f>
        <v>300</v>
      </c>
      <c r="G389" s="13">
        <f>IF(AB389&gt;0, VLOOKUP(B389,Model!$A$39:$C$58, 3), 0)</f>
        <v>1</v>
      </c>
      <c r="H389" s="13">
        <f t="shared" si="118"/>
        <v>97</v>
      </c>
      <c r="I389" s="46">
        <f>Model!$B$21*EXP((-0.029*9.81*F389)/(8.31*(273+J389)))</f>
        <v>100357.4491247143</v>
      </c>
      <c r="J389" s="13">
        <f>IF(Model!$B$31="Summer",  IF(F389&lt;=2000,  Model!$B$20-Model!$B$35*F389/1000,  IF(F389&lt;Model!$B$36,  Model!$B$33-6.5*F389/1000,  Model!$B$38)),     IF(F389&lt;=2000,  Model!$B$20-Model!$B$35*F389/1000,  IF(F389&lt;Model!$B$36,  Model!$B$33-5.4*F389/1000,   Model!$B$38)))</f>
        <v>-19.088750000000001</v>
      </c>
      <c r="K389" s="13">
        <f t="shared" si="119"/>
        <v>253.91125</v>
      </c>
      <c r="L389" s="46">
        <f>IF(AB388-AA388*(B389-B388)&gt;0, L388-Y388*(B389-B388)*3600-AD389*Model!$B$16, 0)</f>
        <v>759.12692329906452</v>
      </c>
      <c r="M389" s="57">
        <f t="shared" si="120"/>
        <v>22.091416941129808</v>
      </c>
      <c r="N389" s="57">
        <f>Model!$B$13*I389*K389/(Model!$B$13*I389-L389*287*K389)</f>
        <v>295.09141694112981</v>
      </c>
      <c r="O389" s="57">
        <f t="shared" si="121"/>
        <v>274.50133347056487</v>
      </c>
      <c r="P389" s="57">
        <f t="shared" si="122"/>
        <v>1.5016151607057484</v>
      </c>
      <c r="Q389" s="63">
        <f t="shared" si="123"/>
        <v>2.4106594676410107E-2</v>
      </c>
      <c r="R389" s="17">
        <f t="shared" si="124"/>
        <v>1.3756138680938747E-5</v>
      </c>
      <c r="S389" s="46">
        <f>0.37*Model!$B$10*(Q389^2*(N389-K389)*I389/(R389*O389^2))^0.33333*(N389-K389)</f>
        <v>243631.52168204173</v>
      </c>
      <c r="T389" s="51">
        <f>Model!$B$32+(90-Model!$B$6)*SIN(RADIANS(-15*(E389+6)))</f>
        <v>-33.780199183556228</v>
      </c>
      <c r="U389" s="46">
        <f t="shared" si="125"/>
        <v>0</v>
      </c>
      <c r="V389" s="51">
        <f t="shared" si="126"/>
        <v>99999</v>
      </c>
      <c r="W389" s="46">
        <f t="shared" si="127"/>
        <v>4.2253521126760563E-2</v>
      </c>
      <c r="X389" s="46">
        <f>0.3*W389*Model!$B$9</f>
        <v>3.8275201289827652</v>
      </c>
      <c r="Y389" s="17">
        <f>(S389-X389)/Model!$B$11</f>
        <v>5.2263797953858793E-3</v>
      </c>
      <c r="Z389" s="46">
        <f t="shared" si="128"/>
        <v>1.5710282900001666E-3</v>
      </c>
      <c r="AA389" s="57">
        <f>Y389/Model!$B$12*3600</f>
        <v>33.838347670319081</v>
      </c>
      <c r="AB389" s="51">
        <f t="shared" si="134"/>
        <v>428.26657668101694</v>
      </c>
      <c r="AC389" s="51">
        <f t="shared" si="129"/>
        <v>1371.7334233189831</v>
      </c>
      <c r="AD389" s="13">
        <f>IF(AE389=0, Model!$B$19, 0 )</f>
        <v>0</v>
      </c>
      <c r="AE389" s="51">
        <f>IF(AE388+AB388-AB389&lt;Model!$B$19*Model!$B$18, AE388+AB388-AB389,  0)</f>
        <v>15.367997025096599</v>
      </c>
      <c r="AF389" s="13">
        <f t="shared" si="130"/>
        <v>19.35000000000014</v>
      </c>
      <c r="AG389" s="50">
        <f t="shared" si="131"/>
        <v>0</v>
      </c>
    </row>
    <row r="390" spans="2:33" x14ac:dyDescent="0.25">
      <c r="B390" s="15">
        <f t="shared" si="132"/>
        <v>19.400000000000141</v>
      </c>
      <c r="C390" s="15">
        <f>B390+Model!$B$4</f>
        <v>21.400000000000141</v>
      </c>
      <c r="D390" s="15">
        <f t="shared" si="133"/>
        <v>1</v>
      </c>
      <c r="E390" s="15">
        <f t="shared" si="117"/>
        <v>21.400000000000141</v>
      </c>
      <c r="F390" s="16">
        <f>IF(AB390&gt;0, VLOOKUP(B390,Model!$A$40:$B$60, 2), 0)</f>
        <v>300</v>
      </c>
      <c r="G390" s="15">
        <f>IF(AB390&gt;0, VLOOKUP(B390,Model!$A$39:$C$58, 3), 0)</f>
        <v>1</v>
      </c>
      <c r="H390" s="15">
        <f t="shared" si="118"/>
        <v>97</v>
      </c>
      <c r="I390" s="45">
        <f>Model!$B$21*EXP((-0.029*9.81*F390)/(8.31*(273+J390)))</f>
        <v>100357.4491247143</v>
      </c>
      <c r="J390" s="15">
        <f>IF(Model!$B$31="Summer",  IF(F390&lt;=2000,  Model!$B$20-Model!$B$35*F390/1000,  IF(F390&lt;Model!$B$36,  Model!$B$33-6.5*F390/1000,  Model!$B$38)),     IF(F390&lt;=2000,  Model!$B$20-Model!$B$35*F390/1000,  IF(F390&lt;Model!$B$36,  Model!$B$33-5.4*F390/1000,   Model!$B$38)))</f>
        <v>-19.088750000000001</v>
      </c>
      <c r="K390" s="15">
        <f t="shared" si="119"/>
        <v>253.91125</v>
      </c>
      <c r="L390" s="45">
        <f>IF(AB389-AA389*(B390-B389)&gt;0, L389-Y389*(B390-B389)*3600-AD390*Model!$B$16, 0)</f>
        <v>758.186174935895</v>
      </c>
      <c r="M390" s="56">
        <f t="shared" si="120"/>
        <v>22.032119693445452</v>
      </c>
      <c r="N390" s="56">
        <f>Model!$B$13*I390*K390/(Model!$B$13*I390-L390*287*K390)</f>
        <v>295.03211969344545</v>
      </c>
      <c r="O390" s="56">
        <f t="shared" si="121"/>
        <v>274.47168484672272</v>
      </c>
      <c r="P390" s="56">
        <f t="shared" si="122"/>
        <v>1.4719665368635706</v>
      </c>
      <c r="Q390" s="62">
        <f t="shared" si="123"/>
        <v>2.4104489624117313E-2</v>
      </c>
      <c r="R390" s="33">
        <f t="shared" si="124"/>
        <v>1.3753055224059162E-5</v>
      </c>
      <c r="S390" s="45">
        <f>0.37*Model!$B$10*(Q390^2*(N390-K390)*I390/(R390*O390^2))^0.33333*(N390-K390)</f>
        <v>243185.40497315043</v>
      </c>
      <c r="T390" s="50">
        <f>Model!$B$32+(90-Model!$B$6)*SIN(RADIANS(-15*(E390+6)))</f>
        <v>-34.070843711979109</v>
      </c>
      <c r="U390" s="45">
        <f t="shared" si="125"/>
        <v>0</v>
      </c>
      <c r="V390" s="50">
        <f t="shared" si="126"/>
        <v>99999</v>
      </c>
      <c r="W390" s="45">
        <f t="shared" si="127"/>
        <v>4.2253521126760563E-2</v>
      </c>
      <c r="X390" s="45">
        <f>0.3*W390*Model!$B$9</f>
        <v>3.8275201289827652</v>
      </c>
      <c r="Y390" s="33">
        <f>(S390-X390)/Model!$B$11</f>
        <v>5.2168095560017474E-3</v>
      </c>
      <c r="Z390" s="45">
        <f t="shared" si="128"/>
        <v>1.5739102967159372E-3</v>
      </c>
      <c r="AA390" s="56">
        <f>Y390/Model!$B$12*3600</f>
        <v>33.776384877669692</v>
      </c>
      <c r="AB390" s="50">
        <f t="shared" si="134"/>
        <v>426.57465929750094</v>
      </c>
      <c r="AC390" s="50">
        <f t="shared" si="129"/>
        <v>1373.4253407024989</v>
      </c>
      <c r="AD390" s="15">
        <f>IF(AE390=0, Model!$B$19, 0 )</f>
        <v>0</v>
      </c>
      <c r="AE390" s="50">
        <f>IF(AE389+AB389-AB390&lt;Model!$B$19*Model!$B$18, AE389+AB389-AB390,  0)</f>
        <v>17.059914408612599</v>
      </c>
      <c r="AF390" s="15">
        <f t="shared" si="130"/>
        <v>19.400000000000141</v>
      </c>
      <c r="AG390" s="50">
        <f t="shared" si="131"/>
        <v>0</v>
      </c>
    </row>
    <row r="391" spans="2:33" x14ac:dyDescent="0.25">
      <c r="B391" s="13">
        <f t="shared" si="132"/>
        <v>19.450000000000141</v>
      </c>
      <c r="C391" s="13">
        <f>B391+Model!$B$4</f>
        <v>21.450000000000141</v>
      </c>
      <c r="D391" s="13">
        <f t="shared" si="133"/>
        <v>1</v>
      </c>
      <c r="E391" s="13">
        <f t="shared" si="117"/>
        <v>21.450000000000141</v>
      </c>
      <c r="F391" s="14">
        <f>IF(AB391&gt;0, VLOOKUP(B391,Model!$A$40:$B$60, 2), 0)</f>
        <v>300</v>
      </c>
      <c r="G391" s="13">
        <f>IF(AB391&gt;0, VLOOKUP(B391,Model!$A$39:$C$58, 3), 0)</f>
        <v>1</v>
      </c>
      <c r="H391" s="13">
        <f t="shared" si="118"/>
        <v>97</v>
      </c>
      <c r="I391" s="46">
        <f>Model!$B$21*EXP((-0.029*9.81*F391)/(8.31*(273+J391)))</f>
        <v>100357.4491247143</v>
      </c>
      <c r="J391" s="13">
        <f>IF(Model!$B$31="Summer",  IF(F391&lt;=2000,  Model!$B$20-Model!$B$35*F391/1000,  IF(F391&lt;Model!$B$36,  Model!$B$33-6.5*F391/1000,  Model!$B$38)),     IF(F391&lt;=2000,  Model!$B$20-Model!$B$35*F391/1000,  IF(F391&lt;Model!$B$36,  Model!$B$33-5.4*F391/1000,   Model!$B$38)))</f>
        <v>-19.088750000000001</v>
      </c>
      <c r="K391" s="13">
        <f t="shared" si="119"/>
        <v>253.91125</v>
      </c>
      <c r="L391" s="46">
        <f>IF(AB390-AA390*(B391-B390)&gt;0, L390-Y390*(B391-B390)*3600-AD391*Model!$B$16, 0)</f>
        <v>757.24714921581472</v>
      </c>
      <c r="M391" s="57">
        <f t="shared" si="120"/>
        <v>21.972954788223944</v>
      </c>
      <c r="N391" s="57">
        <f>Model!$B$13*I391*K391/(Model!$B$13*I391-L391*287*K391)</f>
        <v>294.97295478822394</v>
      </c>
      <c r="O391" s="57">
        <f t="shared" si="121"/>
        <v>274.442102394112</v>
      </c>
      <c r="P391" s="57">
        <f t="shared" si="122"/>
        <v>1.4423840842528168</v>
      </c>
      <c r="Q391" s="63">
        <f t="shared" si="123"/>
        <v>2.4102389269981952E-2</v>
      </c>
      <c r="R391" s="17">
        <f t="shared" si="124"/>
        <v>1.3749978648987647E-5</v>
      </c>
      <c r="S391" s="46">
        <f>0.37*Model!$B$10*(Q391^2*(N391-K391)*I391/(R391*O391^2))^0.33333*(N391-K391)</f>
        <v>242740.43202979452</v>
      </c>
      <c r="T391" s="51">
        <f>Model!$B$32+(90-Model!$B$6)*SIN(RADIANS(-15*(E391+6)))</f>
        <v>-34.356827641811194</v>
      </c>
      <c r="U391" s="46">
        <f t="shared" si="125"/>
        <v>0</v>
      </c>
      <c r="V391" s="51">
        <f t="shared" si="126"/>
        <v>99999</v>
      </c>
      <c r="W391" s="46">
        <f t="shared" si="127"/>
        <v>4.2253521126760563E-2</v>
      </c>
      <c r="X391" s="46">
        <f>0.3*W391*Model!$B$9</f>
        <v>3.8275201289827652</v>
      </c>
      <c r="Y391" s="17">
        <f>(S391-X391)/Model!$B$11</f>
        <v>5.2072638530444183E-3</v>
      </c>
      <c r="Z391" s="46">
        <f t="shared" si="128"/>
        <v>1.5767954670662227E-3</v>
      </c>
      <c r="AA391" s="57">
        <f>Y391/Model!$B$12*3600</f>
        <v>33.714580946827766</v>
      </c>
      <c r="AB391" s="51">
        <f t="shared" si="134"/>
        <v>424.88584005361741</v>
      </c>
      <c r="AC391" s="51">
        <f t="shared" si="129"/>
        <v>1375.1141599463826</v>
      </c>
      <c r="AD391" s="13">
        <f>IF(AE391=0, Model!$B$19, 0 )</f>
        <v>0</v>
      </c>
      <c r="AE391" s="51">
        <f>IF(AE390+AB390-AB391&lt;Model!$B$19*Model!$B$18, AE390+AB390-AB391,  0)</f>
        <v>18.748733652496128</v>
      </c>
      <c r="AF391" s="13">
        <f t="shared" si="130"/>
        <v>19.450000000000141</v>
      </c>
      <c r="AG391" s="50">
        <f t="shared" si="131"/>
        <v>0</v>
      </c>
    </row>
    <row r="392" spans="2:33" x14ac:dyDescent="0.25">
      <c r="B392" s="15">
        <f t="shared" si="132"/>
        <v>19.500000000000142</v>
      </c>
      <c r="C392" s="15">
        <f>B392+Model!$B$4</f>
        <v>21.500000000000142</v>
      </c>
      <c r="D392" s="15">
        <f t="shared" si="133"/>
        <v>1</v>
      </c>
      <c r="E392" s="15">
        <f t="shared" si="117"/>
        <v>21.500000000000142</v>
      </c>
      <c r="F392" s="16">
        <f>IF(AB392&gt;0, VLOOKUP(B392,Model!$A$40:$B$60, 2), 0)</f>
        <v>300</v>
      </c>
      <c r="G392" s="15">
        <f>IF(AB392&gt;0, VLOOKUP(B392,Model!$A$39:$C$58, 3), 0)</f>
        <v>1</v>
      </c>
      <c r="H392" s="15">
        <f t="shared" si="118"/>
        <v>97</v>
      </c>
      <c r="I392" s="45">
        <f>Model!$B$21*EXP((-0.029*9.81*F392)/(8.31*(273+J392)))</f>
        <v>100357.4491247143</v>
      </c>
      <c r="J392" s="15">
        <f>IF(Model!$B$31="Summer",  IF(F392&lt;=2000,  Model!$B$20-Model!$B$35*F392/1000,  IF(F392&lt;Model!$B$36,  Model!$B$33-6.5*F392/1000,  Model!$B$38)),     IF(F392&lt;=2000,  Model!$B$20-Model!$B$35*F392/1000,  IF(F392&lt;Model!$B$36,  Model!$B$33-5.4*F392/1000,   Model!$B$38)))</f>
        <v>-19.088750000000001</v>
      </c>
      <c r="K392" s="15">
        <f t="shared" si="119"/>
        <v>253.91125</v>
      </c>
      <c r="L392" s="45">
        <f>IF(AB391-AA391*(B392-B391)&gt;0, L391-Y391*(B392-B391)*3600-AD392*Model!$B$16, 0)</f>
        <v>756.3098417222667</v>
      </c>
      <c r="M392" s="56">
        <f t="shared" si="120"/>
        <v>21.91392180247226</v>
      </c>
      <c r="N392" s="56">
        <f>Model!$B$13*I392*K392/(Model!$B$13*I392-L392*287*K392)</f>
        <v>294.91392180247226</v>
      </c>
      <c r="O392" s="56">
        <f t="shared" si="121"/>
        <v>274.41258590123613</v>
      </c>
      <c r="P392" s="56">
        <f t="shared" si="122"/>
        <v>1.4128675913769744</v>
      </c>
      <c r="Q392" s="62">
        <f t="shared" si="123"/>
        <v>2.4100293598987764E-2</v>
      </c>
      <c r="R392" s="33">
        <f t="shared" si="124"/>
        <v>1.3746908933728556E-5</v>
      </c>
      <c r="S392" s="45">
        <f>0.37*Model!$B$10*(Q392^2*(N392-K392)*I392/(R392*O392^2))^0.33333*(N392-K392)</f>
        <v>242296.59891836072</v>
      </c>
      <c r="T392" s="50">
        <f>Model!$B$32+(90-Model!$B$6)*SIN(RADIANS(-15*(E392+6)))</f>
        <v>-34.638101971178358</v>
      </c>
      <c r="U392" s="45">
        <f t="shared" si="125"/>
        <v>0</v>
      </c>
      <c r="V392" s="50">
        <f t="shared" si="126"/>
        <v>99999</v>
      </c>
      <c r="W392" s="45">
        <f t="shared" si="127"/>
        <v>4.2253521126760563E-2</v>
      </c>
      <c r="X392" s="45">
        <f>0.3*W392*Model!$B$9</f>
        <v>3.8275201289827652</v>
      </c>
      <c r="Y392" s="33">
        <f>(S392-X392)/Model!$B$11</f>
        <v>5.1977426021287514E-3</v>
      </c>
      <c r="Z392" s="45">
        <f t="shared" si="128"/>
        <v>1.5796838032680796E-3</v>
      </c>
      <c r="AA392" s="56">
        <f>Y392/Model!$B$12*3600</f>
        <v>33.652935331439245</v>
      </c>
      <c r="AB392" s="50">
        <f t="shared" si="134"/>
        <v>423.20011100627602</v>
      </c>
      <c r="AC392" s="50">
        <f t="shared" si="129"/>
        <v>1376.7998889937239</v>
      </c>
      <c r="AD392" s="15">
        <f>IF(AE392=0, Model!$B$19, 0 )</f>
        <v>0</v>
      </c>
      <c r="AE392" s="50">
        <f>IF(AE391+AB391-AB392&lt;Model!$B$19*Model!$B$18, AE391+AB391-AB392,  0)</f>
        <v>20.434462699837525</v>
      </c>
      <c r="AF392" s="15">
        <f t="shared" si="130"/>
        <v>19.500000000000142</v>
      </c>
      <c r="AG392" s="50">
        <f t="shared" si="131"/>
        <v>0</v>
      </c>
    </row>
    <row r="393" spans="2:33" x14ac:dyDescent="0.25">
      <c r="B393" s="13">
        <f t="shared" si="132"/>
        <v>19.550000000000143</v>
      </c>
      <c r="C393" s="13">
        <f>B393+Model!$B$4</f>
        <v>21.550000000000143</v>
      </c>
      <c r="D393" s="13">
        <f t="shared" si="133"/>
        <v>1</v>
      </c>
      <c r="E393" s="13">
        <f t="shared" si="117"/>
        <v>21.550000000000143</v>
      </c>
      <c r="F393" s="14">
        <f>IF(AB393&gt;0, VLOOKUP(B393,Model!$A$40:$B$60, 2), 0)</f>
        <v>300</v>
      </c>
      <c r="G393" s="13">
        <f>IF(AB393&gt;0, VLOOKUP(B393,Model!$A$39:$C$58, 3), 0)</f>
        <v>1</v>
      </c>
      <c r="H393" s="13">
        <f t="shared" si="118"/>
        <v>97</v>
      </c>
      <c r="I393" s="46">
        <f>Model!$B$21*EXP((-0.029*9.81*F393)/(8.31*(273+J393)))</f>
        <v>100357.4491247143</v>
      </c>
      <c r="J393" s="13">
        <f>IF(Model!$B$31="Summer",  IF(F393&lt;=2000,  Model!$B$20-Model!$B$35*F393/1000,  IF(F393&lt;Model!$B$36,  Model!$B$33-6.5*F393/1000,  Model!$B$38)),     IF(F393&lt;=2000,  Model!$B$20-Model!$B$35*F393/1000,  IF(F393&lt;Model!$B$36,  Model!$B$33-5.4*F393/1000,   Model!$B$38)))</f>
        <v>-19.088750000000001</v>
      </c>
      <c r="K393" s="13">
        <f t="shared" si="119"/>
        <v>253.91125</v>
      </c>
      <c r="L393" s="46">
        <f>IF(AB392-AA392*(B393-B392)&gt;0, L392-Y392*(B393-B392)*3600-AD393*Model!$B$16, 0)</f>
        <v>755.37424805388355</v>
      </c>
      <c r="M393" s="57">
        <f t="shared" si="120"/>
        <v>21.855020315005561</v>
      </c>
      <c r="N393" s="57">
        <f>Model!$B$13*I393*K393/(Model!$B$13*I393-L393*287*K393)</f>
        <v>294.85502031500556</v>
      </c>
      <c r="O393" s="57">
        <f t="shared" si="121"/>
        <v>274.38313515750281</v>
      </c>
      <c r="P393" s="57">
        <f t="shared" si="122"/>
        <v>1.383416847643625</v>
      </c>
      <c r="Q393" s="63">
        <f t="shared" si="123"/>
        <v>2.40982025961827E-2</v>
      </c>
      <c r="R393" s="17">
        <f t="shared" si="124"/>
        <v>1.3743846056380291E-5</v>
      </c>
      <c r="S393" s="46">
        <f>0.37*Model!$B$10*(Q393^2*(N393-K393)*I393/(R393*O393^2))^0.33333*(N393-K393)</f>
        <v>241853.90172266625</v>
      </c>
      <c r="T393" s="51">
        <f>Model!$B$32+(90-Model!$B$6)*SIN(RADIANS(-15*(E393+6)))</f>
        <v>-34.914618505172243</v>
      </c>
      <c r="U393" s="46">
        <f t="shared" si="125"/>
        <v>0</v>
      </c>
      <c r="V393" s="51">
        <f t="shared" si="126"/>
        <v>99999</v>
      </c>
      <c r="W393" s="46">
        <f t="shared" si="127"/>
        <v>4.2253521126760563E-2</v>
      </c>
      <c r="X393" s="46">
        <f>0.3*W393*Model!$B$9</f>
        <v>3.8275201289827652</v>
      </c>
      <c r="Y393" s="17">
        <f>(S393-X393)/Model!$B$11</f>
        <v>5.188245719243533E-3</v>
      </c>
      <c r="Z393" s="46">
        <f t="shared" si="128"/>
        <v>1.5825753075390863E-3</v>
      </c>
      <c r="AA393" s="57">
        <f>Y393/Model!$B$12*3600</f>
        <v>33.591447487571095</v>
      </c>
      <c r="AB393" s="51">
        <f t="shared" si="134"/>
        <v>421.51746423970405</v>
      </c>
      <c r="AC393" s="51">
        <f t="shared" si="129"/>
        <v>1378.4825357602958</v>
      </c>
      <c r="AD393" s="13">
        <f>IF(AE393=0, Model!$B$19, 0 )</f>
        <v>0</v>
      </c>
      <c r="AE393" s="51">
        <f>IF(AE392+AB392-AB393&lt;Model!$B$19*Model!$B$18, AE392+AB392-AB393,  0)</f>
        <v>22.117109466409488</v>
      </c>
      <c r="AF393" s="13">
        <f t="shared" si="130"/>
        <v>19.550000000000143</v>
      </c>
      <c r="AG393" s="50">
        <f t="shared" si="131"/>
        <v>0</v>
      </c>
    </row>
    <row r="394" spans="2:33" x14ac:dyDescent="0.25">
      <c r="B394" s="15">
        <f t="shared" si="132"/>
        <v>19.600000000000144</v>
      </c>
      <c r="C394" s="15">
        <f>B394+Model!$B$4</f>
        <v>21.600000000000144</v>
      </c>
      <c r="D394" s="15">
        <f t="shared" si="133"/>
        <v>1</v>
      </c>
      <c r="E394" s="15">
        <f t="shared" si="117"/>
        <v>21.600000000000144</v>
      </c>
      <c r="F394" s="16">
        <f>IF(AB394&gt;0, VLOOKUP(B394,Model!$A$40:$B$60, 2), 0)</f>
        <v>300</v>
      </c>
      <c r="G394" s="15">
        <f>IF(AB394&gt;0, VLOOKUP(B394,Model!$A$39:$C$58, 3), 0)</f>
        <v>1</v>
      </c>
      <c r="H394" s="15">
        <f t="shared" si="118"/>
        <v>97</v>
      </c>
      <c r="I394" s="45">
        <f>Model!$B$21*EXP((-0.029*9.81*F394)/(8.31*(273+J394)))</f>
        <v>100357.4491247143</v>
      </c>
      <c r="J394" s="15">
        <f>IF(Model!$B$31="Summer",  IF(F394&lt;=2000,  Model!$B$20-Model!$B$35*F394/1000,  IF(F394&lt;Model!$B$36,  Model!$B$33-6.5*F394/1000,  Model!$B$38)),     IF(F394&lt;=2000,  Model!$B$20-Model!$B$35*F394/1000,  IF(F394&lt;Model!$B$36,  Model!$B$33-5.4*F394/1000,   Model!$B$38)))</f>
        <v>-19.088750000000001</v>
      </c>
      <c r="K394" s="15">
        <f t="shared" si="119"/>
        <v>253.91125</v>
      </c>
      <c r="L394" s="45">
        <f>IF(AB393-AA393*(B394-B393)&gt;0, L393-Y393*(B394-B393)*3600-AD394*Model!$B$16, 0)</f>
        <v>754.44036382441971</v>
      </c>
      <c r="M394" s="56">
        <f t="shared" si="120"/>
        <v>21.796249906437424</v>
      </c>
      <c r="N394" s="56">
        <f>Model!$B$13*I394*K394/(Model!$B$13*I394-L394*287*K394)</f>
        <v>294.79624990643742</v>
      </c>
      <c r="O394" s="56">
        <f t="shared" si="121"/>
        <v>274.35374995321871</v>
      </c>
      <c r="P394" s="56">
        <f t="shared" si="122"/>
        <v>1.3540316433595567</v>
      </c>
      <c r="Q394" s="62">
        <f t="shared" si="123"/>
        <v>2.4096116246678529E-2</v>
      </c>
      <c r="R394" s="33">
        <f t="shared" si="124"/>
        <v>1.3740789995134744E-5</v>
      </c>
      <c r="S394" s="45">
        <f>0.37*Model!$B$10*(Q394^2*(N394-K394)*I394/(R394*O394^2))^0.33333*(N394-K394)</f>
        <v>241412.33654386387</v>
      </c>
      <c r="T394" s="50">
        <f>Model!$B$32+(90-Model!$B$6)*SIN(RADIANS(-15*(E394+6)))</f>
        <v>-35.186329864108259</v>
      </c>
      <c r="U394" s="45">
        <f t="shared" si="125"/>
        <v>0</v>
      </c>
      <c r="V394" s="50">
        <f t="shared" si="126"/>
        <v>99999</v>
      </c>
      <c r="W394" s="45">
        <f t="shared" si="127"/>
        <v>4.2253521126760563E-2</v>
      </c>
      <c r="X394" s="45">
        <f>0.3*W394*Model!$B$9</f>
        <v>3.8275201289827652</v>
      </c>
      <c r="Y394" s="33">
        <f>(S394-X394)/Model!$B$11</f>
        <v>5.178773120749435E-3</v>
      </c>
      <c r="Z394" s="45">
        <f t="shared" si="128"/>
        <v>1.5854699820973385E-3</v>
      </c>
      <c r="AA394" s="56">
        <f>Y394/Model!$B$12*3600</f>
        <v>33.530116873698063</v>
      </c>
      <c r="AB394" s="50">
        <f t="shared" si="134"/>
        <v>419.8378918653255</v>
      </c>
      <c r="AC394" s="50">
        <f t="shared" si="129"/>
        <v>1380.1621081346746</v>
      </c>
      <c r="AD394" s="15">
        <f>IF(AE394=0, Model!$B$19, 0 )</f>
        <v>0</v>
      </c>
      <c r="AE394" s="50">
        <f>IF(AE393+AB393-AB394&lt;Model!$B$19*Model!$B$18, AE393+AB393-AB394,  0)</f>
        <v>23.79668184078804</v>
      </c>
      <c r="AF394" s="15">
        <f t="shared" si="130"/>
        <v>19.600000000000144</v>
      </c>
      <c r="AG394" s="50">
        <f t="shared" si="131"/>
        <v>0</v>
      </c>
    </row>
    <row r="395" spans="2:33" x14ac:dyDescent="0.25">
      <c r="B395" s="13">
        <f t="shared" si="132"/>
        <v>19.650000000000144</v>
      </c>
      <c r="C395" s="13">
        <f>B395+Model!$B$4</f>
        <v>21.650000000000144</v>
      </c>
      <c r="D395" s="13">
        <f t="shared" si="133"/>
        <v>1</v>
      </c>
      <c r="E395" s="13">
        <f t="shared" si="117"/>
        <v>21.650000000000144</v>
      </c>
      <c r="F395" s="14">
        <f>IF(AB395&gt;0, VLOOKUP(B395,Model!$A$40:$B$60, 2), 0)</f>
        <v>300</v>
      </c>
      <c r="G395" s="13">
        <f>IF(AB395&gt;0, VLOOKUP(B395,Model!$A$39:$C$58, 3), 0)</f>
        <v>1</v>
      </c>
      <c r="H395" s="13">
        <f t="shared" si="118"/>
        <v>97</v>
      </c>
      <c r="I395" s="46">
        <f>Model!$B$21*EXP((-0.029*9.81*F395)/(8.31*(273+J395)))</f>
        <v>100357.4491247143</v>
      </c>
      <c r="J395" s="13">
        <f>IF(Model!$B$31="Summer",  IF(F395&lt;=2000,  Model!$B$20-Model!$B$35*F395/1000,  IF(F395&lt;Model!$B$36,  Model!$B$33-6.5*F395/1000,  Model!$B$38)),     IF(F395&lt;=2000,  Model!$B$20-Model!$B$35*F395/1000,  IF(F395&lt;Model!$B$36,  Model!$B$33-5.4*F395/1000,   Model!$B$38)))</f>
        <v>-19.088750000000001</v>
      </c>
      <c r="K395" s="13">
        <f t="shared" si="119"/>
        <v>253.91125</v>
      </c>
      <c r="L395" s="46">
        <f>IF(AB394-AA394*(B395-B394)&gt;0, L394-Y394*(B395-B394)*3600-AD395*Model!$B$16, 0)</f>
        <v>753.50818466268481</v>
      </c>
      <c r="M395" s="57">
        <f t="shared" si="120"/>
        <v>21.737610159170003</v>
      </c>
      <c r="N395" s="57">
        <f>Model!$B$13*I395*K395/(Model!$B$13*I395-L395*287*K395)</f>
        <v>294.73761015917</v>
      </c>
      <c r="O395" s="57">
        <f t="shared" si="121"/>
        <v>274.324430079585</v>
      </c>
      <c r="P395" s="57">
        <f t="shared" si="122"/>
        <v>1.3247117697258464</v>
      </c>
      <c r="Q395" s="63">
        <f t="shared" si="123"/>
        <v>2.4094034535650535E-2</v>
      </c>
      <c r="R395" s="17">
        <f t="shared" si="124"/>
        <v>1.3737740728276839E-5</v>
      </c>
      <c r="S395" s="46">
        <f>0.37*Model!$B$10*(Q395^2*(N395-K395)*I395/(R395*O395^2))^0.33333*(N395-K395)</f>
        <v>240971.89950034473</v>
      </c>
      <c r="T395" s="51">
        <f>Model!$B$32+(90-Model!$B$6)*SIN(RADIANS(-15*(E395+6)))</f>
        <v>-35.453189491643855</v>
      </c>
      <c r="U395" s="46">
        <f t="shared" si="125"/>
        <v>0</v>
      </c>
      <c r="V395" s="51">
        <f t="shared" si="126"/>
        <v>99999</v>
      </c>
      <c r="W395" s="46">
        <f t="shared" si="127"/>
        <v>4.2253521126760563E-2</v>
      </c>
      <c r="X395" s="46">
        <f>0.3*W395*Model!$B$9</f>
        <v>3.8275201289827652</v>
      </c>
      <c r="Y395" s="17">
        <f>(S395-X395)/Model!$B$11</f>
        <v>5.1693247233769333E-3</v>
      </c>
      <c r="Z395" s="46">
        <f t="shared" si="128"/>
        <v>1.5883678291614617E-3</v>
      </c>
      <c r="AA395" s="57">
        <f>Y395/Model!$B$12*3600</f>
        <v>33.468942950689197</v>
      </c>
      <c r="AB395" s="51">
        <f t="shared" si="134"/>
        <v>418.16138602164057</v>
      </c>
      <c r="AC395" s="51">
        <f t="shared" si="129"/>
        <v>1381.8386139783595</v>
      </c>
      <c r="AD395" s="13">
        <f>IF(AE395=0, Model!$B$19, 0 )</f>
        <v>0</v>
      </c>
      <c r="AE395" s="51">
        <f>IF(AE394+AB394-AB395&lt;Model!$B$19*Model!$B$18, AE394+AB394-AB395,  0)</f>
        <v>25.473187684472975</v>
      </c>
      <c r="AF395" s="13">
        <f t="shared" si="130"/>
        <v>19.650000000000144</v>
      </c>
      <c r="AG395" s="50">
        <f t="shared" si="131"/>
        <v>0</v>
      </c>
    </row>
    <row r="396" spans="2:33" x14ac:dyDescent="0.25">
      <c r="B396" s="15">
        <f t="shared" si="132"/>
        <v>19.700000000000145</v>
      </c>
      <c r="C396" s="15">
        <f>B396+Model!$B$4</f>
        <v>21.700000000000145</v>
      </c>
      <c r="D396" s="15">
        <f t="shared" si="133"/>
        <v>1</v>
      </c>
      <c r="E396" s="15">
        <f t="shared" si="117"/>
        <v>21.700000000000145</v>
      </c>
      <c r="F396" s="16">
        <f>IF(AB396&gt;0, VLOOKUP(B396,Model!$A$40:$B$60, 2), 0)</f>
        <v>300</v>
      </c>
      <c r="G396" s="15">
        <f>IF(AB396&gt;0, VLOOKUP(B396,Model!$A$39:$C$58, 3), 0)</f>
        <v>1</v>
      </c>
      <c r="H396" s="15">
        <f t="shared" si="118"/>
        <v>97</v>
      </c>
      <c r="I396" s="45">
        <f>Model!$B$21*EXP((-0.029*9.81*F396)/(8.31*(273+J396)))</f>
        <v>100357.4491247143</v>
      </c>
      <c r="J396" s="15">
        <f>IF(Model!$B$31="Summer",  IF(F396&lt;=2000,  Model!$B$20-Model!$B$35*F396/1000,  IF(F396&lt;Model!$B$36,  Model!$B$33-6.5*F396/1000,  Model!$B$38)),     IF(F396&lt;=2000,  Model!$B$20-Model!$B$35*F396/1000,  IF(F396&lt;Model!$B$36,  Model!$B$33-5.4*F396/1000,   Model!$B$38)))</f>
        <v>-19.088750000000001</v>
      </c>
      <c r="K396" s="15">
        <f t="shared" si="119"/>
        <v>253.91125</v>
      </c>
      <c r="L396" s="45">
        <f>IF(AB395-AA395*(B396-B395)&gt;0, L395-Y395*(B396-B395)*3600-AD396*Model!$B$16, 0)</f>
        <v>752.57770621247698</v>
      </c>
      <c r="M396" s="56">
        <f t="shared" si="120"/>
        <v>21.679100657384311</v>
      </c>
      <c r="N396" s="56">
        <f>Model!$B$13*I396*K396/(Model!$B$13*I396-L396*287*K396)</f>
        <v>294.67910065738431</v>
      </c>
      <c r="O396" s="56">
        <f t="shared" si="121"/>
        <v>274.29517532869215</v>
      </c>
      <c r="P396" s="56">
        <f t="shared" si="122"/>
        <v>1.2954570188329999</v>
      </c>
      <c r="Q396" s="62">
        <f t="shared" si="123"/>
        <v>2.4091957448337142E-2</v>
      </c>
      <c r="R396" s="33">
        <f t="shared" si="124"/>
        <v>1.3734698234183983E-5</v>
      </c>
      <c r="S396" s="45">
        <f>0.37*Model!$B$10*(Q396^2*(N396-K396)*I396/(R396*O396^2))^0.33333*(N396-K396)</f>
        <v>240532.58672764417</v>
      </c>
      <c r="T396" s="50">
        <f>Model!$B$32+(90-Model!$B$6)*SIN(RADIANS(-15*(E396+6)))</f>
        <v>-35.715151662755602</v>
      </c>
      <c r="U396" s="45">
        <f t="shared" si="125"/>
        <v>0</v>
      </c>
      <c r="V396" s="50">
        <f t="shared" si="126"/>
        <v>99999</v>
      </c>
      <c r="W396" s="45">
        <f t="shared" si="127"/>
        <v>4.2253521126760563E-2</v>
      </c>
      <c r="X396" s="45">
        <f>0.3*W396*Model!$B$9</f>
        <v>3.8275201289827652</v>
      </c>
      <c r="Y396" s="33">
        <f>(S396-X396)/Model!$B$11</f>
        <v>5.1599004442242878E-3</v>
      </c>
      <c r="Z396" s="45">
        <f t="shared" si="128"/>
        <v>1.591268850950611E-3</v>
      </c>
      <c r="AA396" s="56">
        <f>Y396/Model!$B$12*3600</f>
        <v>33.407925181794766</v>
      </c>
      <c r="AB396" s="50">
        <f t="shared" si="134"/>
        <v>416.48793887410608</v>
      </c>
      <c r="AC396" s="50">
        <f t="shared" si="129"/>
        <v>1383.512061125894</v>
      </c>
      <c r="AD396" s="15">
        <f>IF(AE396=0, Model!$B$19, 0 )</f>
        <v>0</v>
      </c>
      <c r="AE396" s="50">
        <f>IF(AE395+AB395-AB396&lt;Model!$B$19*Model!$B$18, AE395+AB395-AB396,  0)</f>
        <v>27.146634832007464</v>
      </c>
      <c r="AF396" s="15">
        <f t="shared" si="130"/>
        <v>19.700000000000145</v>
      </c>
      <c r="AG396" s="50">
        <f t="shared" si="131"/>
        <v>0</v>
      </c>
    </row>
    <row r="397" spans="2:33" x14ac:dyDescent="0.25">
      <c r="B397" s="13">
        <f t="shared" si="132"/>
        <v>19.750000000000146</v>
      </c>
      <c r="C397" s="13">
        <f>B397+Model!$B$4</f>
        <v>21.750000000000146</v>
      </c>
      <c r="D397" s="13">
        <f t="shared" si="133"/>
        <v>1</v>
      </c>
      <c r="E397" s="13">
        <f t="shared" si="117"/>
        <v>21.750000000000146</v>
      </c>
      <c r="F397" s="14">
        <f>IF(AB397&gt;0, VLOOKUP(B397,Model!$A$40:$B$60, 2), 0)</f>
        <v>300</v>
      </c>
      <c r="G397" s="13">
        <f>IF(AB397&gt;0, VLOOKUP(B397,Model!$A$39:$C$58, 3), 0)</f>
        <v>1</v>
      </c>
      <c r="H397" s="13">
        <f t="shared" si="118"/>
        <v>97</v>
      </c>
      <c r="I397" s="46">
        <f>Model!$B$21*EXP((-0.029*9.81*F397)/(8.31*(273+J397)))</f>
        <v>100357.4491247143</v>
      </c>
      <c r="J397" s="13">
        <f>IF(Model!$B$31="Summer",  IF(F397&lt;=2000,  Model!$B$20-Model!$B$35*F397/1000,  IF(F397&lt;Model!$B$36,  Model!$B$33-6.5*F397/1000,  Model!$B$38)),     IF(F397&lt;=2000,  Model!$B$20-Model!$B$35*F397/1000,  IF(F397&lt;Model!$B$36,  Model!$B$33-5.4*F397/1000,   Model!$B$38)))</f>
        <v>-19.088750000000001</v>
      </c>
      <c r="K397" s="13">
        <f t="shared" si="119"/>
        <v>253.91125</v>
      </c>
      <c r="L397" s="46">
        <f>IF(AB396-AA396*(B397-B396)&gt;0, L396-Y396*(B397-B396)*3600-AD397*Model!$B$16, 0)</f>
        <v>751.64892413251664</v>
      </c>
      <c r="M397" s="57">
        <f t="shared" si="120"/>
        <v>21.620720987031063</v>
      </c>
      <c r="N397" s="57">
        <f>Model!$B$13*I397*K397/(Model!$B$13*I397-L397*287*K397)</f>
        <v>294.62072098703106</v>
      </c>
      <c r="O397" s="57">
        <f t="shared" si="121"/>
        <v>274.26598549351553</v>
      </c>
      <c r="P397" s="57">
        <f t="shared" si="122"/>
        <v>1.2662671836563764</v>
      </c>
      <c r="Q397" s="63">
        <f t="shared" si="123"/>
        <v>2.4089884970039603E-2</v>
      </c>
      <c r="R397" s="17">
        <f t="shared" si="124"/>
        <v>1.3731662491325614E-5</v>
      </c>
      <c r="S397" s="46">
        <f>0.37*Model!$B$10*(Q397^2*(N397-K397)*I397/(R397*O397^2))^0.33333*(N397-K397)</f>
        <v>240094.39437835038</v>
      </c>
      <c r="T397" s="51">
        <f>Model!$B$32+(90-Model!$B$6)*SIN(RADIANS(-15*(E397+6)))</f>
        <v>-35.97217149157413</v>
      </c>
      <c r="U397" s="46">
        <f t="shared" si="125"/>
        <v>0</v>
      </c>
      <c r="V397" s="51">
        <f t="shared" si="126"/>
        <v>99999</v>
      </c>
      <c r="W397" s="46">
        <f t="shared" si="127"/>
        <v>4.2253521126760563E-2</v>
      </c>
      <c r="X397" s="46">
        <f>0.3*W397*Model!$B$9</f>
        <v>3.8275201289827652</v>
      </c>
      <c r="Y397" s="17">
        <f>(S397-X397)/Model!$B$11</f>
        <v>5.1505002007555811E-3</v>
      </c>
      <c r="Z397" s="46">
        <f t="shared" si="128"/>
        <v>1.5941730496844527E-3</v>
      </c>
      <c r="AA397" s="57">
        <f>Y397/Model!$B$12*3600</f>
        <v>33.347063032633585</v>
      </c>
      <c r="AB397" s="51">
        <f t="shared" si="134"/>
        <v>414.81754261501629</v>
      </c>
      <c r="AC397" s="51">
        <f t="shared" si="129"/>
        <v>1385.1824573849838</v>
      </c>
      <c r="AD397" s="13">
        <f>IF(AE397=0, Model!$B$19, 0 )</f>
        <v>0</v>
      </c>
      <c r="AE397" s="51">
        <f>IF(AE396+AB396-AB397&lt;Model!$B$19*Model!$B$18, AE396+AB396-AB397,  0)</f>
        <v>28.817031091097249</v>
      </c>
      <c r="AF397" s="13">
        <f t="shared" si="130"/>
        <v>19.750000000000146</v>
      </c>
      <c r="AG397" s="50">
        <f t="shared" si="131"/>
        <v>0</v>
      </c>
    </row>
    <row r="398" spans="2:33" x14ac:dyDescent="0.25">
      <c r="B398" s="15">
        <f t="shared" si="132"/>
        <v>19.800000000000146</v>
      </c>
      <c r="C398" s="15">
        <f>B398+Model!$B$4</f>
        <v>21.800000000000146</v>
      </c>
      <c r="D398" s="15">
        <f t="shared" si="133"/>
        <v>1</v>
      </c>
      <c r="E398" s="15">
        <f t="shared" si="117"/>
        <v>21.800000000000146</v>
      </c>
      <c r="F398" s="16">
        <f>IF(AB398&gt;0, VLOOKUP(B398,Model!$A$40:$B$60, 2), 0)</f>
        <v>300</v>
      </c>
      <c r="G398" s="15">
        <f>IF(AB398&gt;0, VLOOKUP(B398,Model!$A$39:$C$58, 3), 0)</f>
        <v>1</v>
      </c>
      <c r="H398" s="15">
        <f t="shared" si="118"/>
        <v>97</v>
      </c>
      <c r="I398" s="45">
        <f>Model!$B$21*EXP((-0.029*9.81*F398)/(8.31*(273+J398)))</f>
        <v>100357.4491247143</v>
      </c>
      <c r="J398" s="15">
        <f>IF(Model!$B$31="Summer",  IF(F398&lt;=2000,  Model!$B$20-Model!$B$35*F398/1000,  IF(F398&lt;Model!$B$36,  Model!$B$33-6.5*F398/1000,  Model!$B$38)),     IF(F398&lt;=2000,  Model!$B$20-Model!$B$35*F398/1000,  IF(F398&lt;Model!$B$36,  Model!$B$33-5.4*F398/1000,   Model!$B$38)))</f>
        <v>-19.088750000000001</v>
      </c>
      <c r="K398" s="15">
        <f t="shared" si="119"/>
        <v>253.91125</v>
      </c>
      <c r="L398" s="45">
        <f>IF(AB397-AA397*(B398-B397)&gt;0, L397-Y397*(B398-B397)*3600-AD398*Model!$B$16, 0)</f>
        <v>750.72183409638058</v>
      </c>
      <c r="M398" s="56">
        <f t="shared" si="120"/>
        <v>21.562470735820511</v>
      </c>
      <c r="N398" s="56">
        <f>Model!$B$13*I398*K398/(Model!$B$13*I398-L398*287*K398)</f>
        <v>294.56247073582051</v>
      </c>
      <c r="O398" s="56">
        <f t="shared" si="121"/>
        <v>274.23686036791025</v>
      </c>
      <c r="P398" s="56">
        <f t="shared" si="122"/>
        <v>1.2371420580511003</v>
      </c>
      <c r="Q398" s="62">
        <f t="shared" si="123"/>
        <v>2.4087817086121628E-2</v>
      </c>
      <c r="R398" s="33">
        <f t="shared" si="124"/>
        <v>1.3728633478262664E-5</v>
      </c>
      <c r="S398" s="45">
        <f>0.37*Model!$B$10*(Q398^2*(N398-K398)*I398/(R398*O398^2))^0.33333*(N398-K398)</f>
        <v>239657.31862200645</v>
      </c>
      <c r="T398" s="50">
        <f>Model!$B$32+(90-Model!$B$6)*SIN(RADIANS(-15*(E398+6)))</f>
        <v>-36.224204939074895</v>
      </c>
      <c r="U398" s="45">
        <f t="shared" si="125"/>
        <v>0</v>
      </c>
      <c r="V398" s="50">
        <f t="shared" si="126"/>
        <v>99999</v>
      </c>
      <c r="W398" s="45">
        <f t="shared" si="127"/>
        <v>4.2253521126760563E-2</v>
      </c>
      <c r="X398" s="45">
        <f>0.3*W398*Model!$B$9</f>
        <v>3.8275201289827652</v>
      </c>
      <c r="Y398" s="33">
        <f>(S398-X398)/Model!$B$11</f>
        <v>5.1411239107986154E-3</v>
      </c>
      <c r="Z398" s="45">
        <f t="shared" si="128"/>
        <v>1.5970804275831968E-3</v>
      </c>
      <c r="AA398" s="56">
        <f>Y398/Model!$B$12*3600</f>
        <v>33.286355971179383</v>
      </c>
      <c r="AB398" s="50">
        <f t="shared" si="134"/>
        <v>413.15018946338461</v>
      </c>
      <c r="AC398" s="50">
        <f t="shared" si="129"/>
        <v>1386.8498105366155</v>
      </c>
      <c r="AD398" s="15">
        <f>IF(AE398=0, Model!$B$19, 0 )</f>
        <v>0</v>
      </c>
      <c r="AE398" s="50">
        <f>IF(AE397+AB397-AB398&lt;Model!$B$19*Model!$B$18, AE397+AB397-AB398,  0)</f>
        <v>30.484384242728936</v>
      </c>
      <c r="AF398" s="15">
        <f t="shared" si="130"/>
        <v>19.800000000000146</v>
      </c>
      <c r="AG398" s="50">
        <f t="shared" si="131"/>
        <v>0</v>
      </c>
    </row>
    <row r="399" spans="2:33" x14ac:dyDescent="0.25">
      <c r="B399" s="13">
        <f t="shared" si="132"/>
        <v>19.850000000000147</v>
      </c>
      <c r="C399" s="13">
        <f>B399+Model!$B$4</f>
        <v>21.850000000000147</v>
      </c>
      <c r="D399" s="13">
        <f t="shared" si="133"/>
        <v>1</v>
      </c>
      <c r="E399" s="13">
        <f t="shared" si="117"/>
        <v>21.850000000000147</v>
      </c>
      <c r="F399" s="14">
        <f>IF(AB399&gt;0, VLOOKUP(B399,Model!$A$40:$B$60, 2), 0)</f>
        <v>300</v>
      </c>
      <c r="G399" s="13">
        <f>IF(AB399&gt;0, VLOOKUP(B399,Model!$A$39:$C$58, 3), 0)</f>
        <v>1</v>
      </c>
      <c r="H399" s="13">
        <f t="shared" si="118"/>
        <v>97</v>
      </c>
      <c r="I399" s="46">
        <f>Model!$B$21*EXP((-0.029*9.81*F399)/(8.31*(273+J399)))</f>
        <v>100357.4491247143</v>
      </c>
      <c r="J399" s="13">
        <f>IF(Model!$B$31="Summer",  IF(F399&lt;=2000,  Model!$B$20-Model!$B$35*F399/1000,  IF(F399&lt;Model!$B$36,  Model!$B$33-6.5*F399/1000,  Model!$B$38)),     IF(F399&lt;=2000,  Model!$B$20-Model!$B$35*F399/1000,  IF(F399&lt;Model!$B$36,  Model!$B$33-5.4*F399/1000,   Model!$B$38)))</f>
        <v>-19.088750000000001</v>
      </c>
      <c r="K399" s="13">
        <f t="shared" si="119"/>
        <v>253.91125</v>
      </c>
      <c r="L399" s="46">
        <f>IF(AB398-AA398*(B399-B398)&gt;0, L398-Y398*(B399-B398)*3600-AD399*Model!$B$16, 0)</f>
        <v>749.79643179243681</v>
      </c>
      <c r="M399" s="57">
        <f t="shared" si="120"/>
        <v>21.504349493213567</v>
      </c>
      <c r="N399" s="57">
        <f>Model!$B$13*I399*K399/(Model!$B$13*I399-L399*287*K399)</f>
        <v>294.50434949321357</v>
      </c>
      <c r="O399" s="57">
        <f t="shared" si="121"/>
        <v>274.20779974660678</v>
      </c>
      <c r="P399" s="57">
        <f t="shared" si="122"/>
        <v>1.2080814367476282</v>
      </c>
      <c r="Q399" s="63">
        <f t="shared" si="123"/>
        <v>2.408575378200908E-2</v>
      </c>
      <c r="R399" s="17">
        <f t="shared" si="124"/>
        <v>1.3725611173647104E-5</v>
      </c>
      <c r="S399" s="46">
        <f>0.37*Model!$B$10*(Q399^2*(N399-K399)*I399/(R399*O399^2))^0.33333*(N399-K399)</f>
        <v>239221.35564502166</v>
      </c>
      <c r="T399" s="51">
        <f>Model!$B$32+(90-Model!$B$6)*SIN(RADIANS(-15*(E399+6)))</f>
        <v>-36.471208820624099</v>
      </c>
      <c r="U399" s="46">
        <f t="shared" si="125"/>
        <v>0</v>
      </c>
      <c r="V399" s="51">
        <f t="shared" si="126"/>
        <v>99999</v>
      </c>
      <c r="W399" s="46">
        <f t="shared" si="127"/>
        <v>4.2253521126760563E-2</v>
      </c>
      <c r="X399" s="46">
        <f>0.3*W399*Model!$B$9</f>
        <v>3.8275201289827652</v>
      </c>
      <c r="Y399" s="17">
        <f>(S399-X399)/Model!$B$11</f>
        <v>5.1317714925430153E-3</v>
      </c>
      <c r="Z399" s="46">
        <f t="shared" si="128"/>
        <v>1.5999909868675715E-3</v>
      </c>
      <c r="AA399" s="57">
        <f>Y399/Model!$B$12*3600</f>
        <v>33.225803467748491</v>
      </c>
      <c r="AB399" s="51">
        <f t="shared" si="134"/>
        <v>411.48587166482559</v>
      </c>
      <c r="AC399" s="51">
        <f t="shared" si="129"/>
        <v>1388.5141283351745</v>
      </c>
      <c r="AD399" s="13">
        <f>IF(AE399=0, Model!$B$19, 0 )</f>
        <v>0</v>
      </c>
      <c r="AE399" s="51">
        <f>IF(AE398+AB398-AB399&lt;Model!$B$19*Model!$B$18, AE398+AB398-AB399,  0)</f>
        <v>32.148702041287947</v>
      </c>
      <c r="AF399" s="13">
        <f t="shared" si="130"/>
        <v>19.850000000000147</v>
      </c>
      <c r="AG399" s="50">
        <f t="shared" si="131"/>
        <v>0</v>
      </c>
    </row>
    <row r="400" spans="2:33" x14ac:dyDescent="0.25">
      <c r="B400" s="15">
        <f t="shared" si="132"/>
        <v>19.900000000000148</v>
      </c>
      <c r="C400" s="15">
        <f>B400+Model!$B$4</f>
        <v>21.900000000000148</v>
      </c>
      <c r="D400" s="15">
        <f t="shared" si="133"/>
        <v>1</v>
      </c>
      <c r="E400" s="15">
        <f t="shared" si="117"/>
        <v>21.900000000000148</v>
      </c>
      <c r="F400" s="16">
        <f>IF(AB400&gt;0, VLOOKUP(B400,Model!$A$40:$B$60, 2), 0)</f>
        <v>300</v>
      </c>
      <c r="G400" s="15">
        <f>IF(AB400&gt;0, VLOOKUP(B400,Model!$A$39:$C$58, 3), 0)</f>
        <v>1</v>
      </c>
      <c r="H400" s="15">
        <f t="shared" si="118"/>
        <v>97</v>
      </c>
      <c r="I400" s="45">
        <f>Model!$B$21*EXP((-0.029*9.81*F400)/(8.31*(273+J400)))</f>
        <v>100357.4491247143</v>
      </c>
      <c r="J400" s="15">
        <f>IF(Model!$B$31="Summer",  IF(F400&lt;=2000,  Model!$B$20-Model!$B$35*F400/1000,  IF(F400&lt;Model!$B$36,  Model!$B$33-6.5*F400/1000,  Model!$B$38)),     IF(F400&lt;=2000,  Model!$B$20-Model!$B$35*F400/1000,  IF(F400&lt;Model!$B$36,  Model!$B$33-5.4*F400/1000,   Model!$B$38)))</f>
        <v>-19.088750000000001</v>
      </c>
      <c r="K400" s="15">
        <f t="shared" si="119"/>
        <v>253.91125</v>
      </c>
      <c r="L400" s="45">
        <f>IF(AB399-AA399*(B400-B399)&gt;0, L399-Y399*(B400-B399)*3600-AD400*Model!$B$16, 0)</f>
        <v>748.87271292377909</v>
      </c>
      <c r="M400" s="56">
        <f t="shared" si="120"/>
        <v>21.446356850411973</v>
      </c>
      <c r="N400" s="56">
        <f>Model!$B$13*I400*K400/(Model!$B$13*I400-L400*287*K400)</f>
        <v>294.44635685041197</v>
      </c>
      <c r="O400" s="56">
        <f t="shared" si="121"/>
        <v>274.17880342520596</v>
      </c>
      <c r="P400" s="56">
        <f t="shared" si="122"/>
        <v>1.1790851153468314</v>
      </c>
      <c r="Q400" s="62">
        <f t="shared" si="123"/>
        <v>2.4083695043189624E-2</v>
      </c>
      <c r="R400" s="33">
        <f t="shared" si="124"/>
        <v>1.3722595556221418E-5</v>
      </c>
      <c r="S400" s="45">
        <f>0.37*Model!$B$10*(Q400^2*(N400-K400)*I400/(R400*O400^2))^0.33333*(N400-K400)</f>
        <v>238786.50165057674</v>
      </c>
      <c r="T400" s="50">
        <f>Model!$B$32+(90-Model!$B$6)*SIN(RADIANS(-15*(E400+6)))</f>
        <v>-36.713140813378253</v>
      </c>
      <c r="U400" s="45">
        <f t="shared" si="125"/>
        <v>0</v>
      </c>
      <c r="V400" s="50">
        <f t="shared" si="126"/>
        <v>99999</v>
      </c>
      <c r="W400" s="45">
        <f t="shared" si="127"/>
        <v>4.2253521126760563E-2</v>
      </c>
      <c r="X400" s="45">
        <f>0.3*W400*Model!$B$9</f>
        <v>3.8275201289827652</v>
      </c>
      <c r="Y400" s="33">
        <f>(S400-X400)/Model!$B$11</f>
        <v>5.1224428645381907E-3</v>
      </c>
      <c r="Z400" s="45">
        <f t="shared" si="128"/>
        <v>1.60290472975884E-3</v>
      </c>
      <c r="AA400" s="56">
        <f>Y400/Model!$B$12*3600</f>
        <v>33.165404994986709</v>
      </c>
      <c r="AB400" s="50">
        <f t="shared" si="134"/>
        <v>409.82458149143815</v>
      </c>
      <c r="AC400" s="50">
        <f t="shared" si="129"/>
        <v>1390.175418508562</v>
      </c>
      <c r="AD400" s="15">
        <f>IF(AE400=0, Model!$B$19, 0 )</f>
        <v>0</v>
      </c>
      <c r="AE400" s="50">
        <f>IF(AE399+AB399-AB400&lt;Model!$B$19*Model!$B$18, AE399+AB399-AB400,  0)</f>
        <v>33.80999221467539</v>
      </c>
      <c r="AF400" s="15">
        <f t="shared" si="130"/>
        <v>19.900000000000148</v>
      </c>
      <c r="AG400" s="50">
        <f t="shared" si="131"/>
        <v>0</v>
      </c>
    </row>
    <row r="401" spans="2:33" x14ac:dyDescent="0.25">
      <c r="B401" s="13">
        <f t="shared" si="132"/>
        <v>19.950000000000149</v>
      </c>
      <c r="C401" s="13">
        <f>B401+Model!$B$4</f>
        <v>21.950000000000149</v>
      </c>
      <c r="D401" s="13">
        <f t="shared" si="133"/>
        <v>1</v>
      </c>
      <c r="E401" s="13">
        <f t="shared" si="117"/>
        <v>21.950000000000149</v>
      </c>
      <c r="F401" s="14">
        <f>IF(AB401&gt;0, VLOOKUP(B401,Model!$A$40:$B$60, 2), 0)</f>
        <v>300</v>
      </c>
      <c r="G401" s="13">
        <f>IF(AB401&gt;0, VLOOKUP(B401,Model!$A$39:$C$58, 3), 0)</f>
        <v>1</v>
      </c>
      <c r="H401" s="13">
        <f t="shared" si="118"/>
        <v>97</v>
      </c>
      <c r="I401" s="46">
        <f>Model!$B$21*EXP((-0.029*9.81*F401)/(8.31*(273+J401)))</f>
        <v>100357.4491247143</v>
      </c>
      <c r="J401" s="13">
        <f>IF(Model!$B$31="Summer",  IF(F401&lt;=2000,  Model!$B$20-Model!$B$35*F401/1000,  IF(F401&lt;Model!$B$36,  Model!$B$33-6.5*F401/1000,  Model!$B$38)),     IF(F401&lt;=2000,  Model!$B$20-Model!$B$35*F401/1000,  IF(F401&lt;Model!$B$36,  Model!$B$33-5.4*F401/1000,   Model!$B$38)))</f>
        <v>-19.088750000000001</v>
      </c>
      <c r="K401" s="13">
        <f t="shared" si="119"/>
        <v>253.91125</v>
      </c>
      <c r="L401" s="46">
        <f>IF(AB400-AA400*(B401-B400)&gt;0, L400-Y400*(B401-B400)*3600-AD401*Model!$B$16, 0)</f>
        <v>747.95067320816224</v>
      </c>
      <c r="M401" s="57">
        <f t="shared" si="120"/>
        <v>21.388492400349321</v>
      </c>
      <c r="N401" s="57">
        <f>Model!$B$13*I401*K401/(Model!$B$13*I401-L401*287*K401)</f>
        <v>294.38849240034932</v>
      </c>
      <c r="O401" s="57">
        <f t="shared" si="121"/>
        <v>274.14987120017463</v>
      </c>
      <c r="P401" s="57">
        <f t="shared" si="122"/>
        <v>1.1501528903155052</v>
      </c>
      <c r="Q401" s="63">
        <f t="shared" si="123"/>
        <v>2.4081640855212399E-2</v>
      </c>
      <c r="R401" s="17">
        <f t="shared" si="124"/>
        <v>1.371958660481816E-5</v>
      </c>
      <c r="S401" s="46">
        <f>0.37*Model!$B$10*(Q401^2*(N401-K401)*I401/(R401*O401^2))^0.33333*(N401-K401)</f>
        <v>238352.75285853466</v>
      </c>
      <c r="T401" s="51">
        <f>Model!$B$32+(90-Model!$B$6)*SIN(RADIANS(-15*(E401+6)))</f>
        <v>-36.949959463535855</v>
      </c>
      <c r="U401" s="46">
        <f t="shared" si="125"/>
        <v>0</v>
      </c>
      <c r="V401" s="51">
        <f t="shared" si="126"/>
        <v>99999</v>
      </c>
      <c r="W401" s="46">
        <f t="shared" si="127"/>
        <v>4.2253521126760563E-2</v>
      </c>
      <c r="X401" s="46">
        <f>0.3*W401*Model!$B$9</f>
        <v>3.8275201289827652</v>
      </c>
      <c r="Y401" s="17">
        <f>(S401-X401)/Model!$B$11</f>
        <v>5.113137945691423E-3</v>
      </c>
      <c r="Z401" s="46">
        <f t="shared" si="128"/>
        <v>1.6058216584787868E-3</v>
      </c>
      <c r="AA401" s="57">
        <f>Y401/Model!$B$12*3600</f>
        <v>33.105160027856883</v>
      </c>
      <c r="AB401" s="51">
        <f t="shared" si="134"/>
        <v>408.16631124168879</v>
      </c>
      <c r="AC401" s="51">
        <f t="shared" si="129"/>
        <v>1391.8336887583112</v>
      </c>
      <c r="AD401" s="13">
        <f>IF(AE401=0, Model!$B$19, 0 )</f>
        <v>0</v>
      </c>
      <c r="AE401" s="51">
        <f>IF(AE400+AB400-AB401&lt;Model!$B$19*Model!$B$18, AE400+AB400-AB401,  0)</f>
        <v>35.468262464424754</v>
      </c>
      <c r="AF401" s="13">
        <f t="shared" si="130"/>
        <v>19.950000000000149</v>
      </c>
      <c r="AG401" s="50">
        <f t="shared" si="131"/>
        <v>0</v>
      </c>
    </row>
    <row r="402" spans="2:33" x14ac:dyDescent="0.25">
      <c r="B402" s="15">
        <f t="shared" si="132"/>
        <v>20.000000000000149</v>
      </c>
      <c r="C402" s="15">
        <f>B402+Model!$B$4</f>
        <v>22.000000000000149</v>
      </c>
      <c r="D402" s="15">
        <f t="shared" si="133"/>
        <v>1</v>
      </c>
      <c r="E402" s="15">
        <f t="shared" si="117"/>
        <v>22.000000000000149</v>
      </c>
      <c r="F402" s="16">
        <f>IF(AB402&gt;0, VLOOKUP(B402,Model!$A$40:$B$60, 2), 0)</f>
        <v>300</v>
      </c>
      <c r="G402" s="15">
        <f>IF(AB402&gt;0, VLOOKUP(B402,Model!$A$39:$C$58, 3), 0)</f>
        <v>1</v>
      </c>
      <c r="H402" s="15">
        <f t="shared" si="118"/>
        <v>97</v>
      </c>
      <c r="I402" s="45">
        <f>Model!$B$21*EXP((-0.029*9.81*F402)/(8.31*(273+J402)))</f>
        <v>100357.4491247143</v>
      </c>
      <c r="J402" s="15">
        <f>IF(Model!$B$31="Summer",  IF(F402&lt;=2000,  Model!$B$20-Model!$B$35*F402/1000,  IF(F402&lt;Model!$B$36,  Model!$B$33-6.5*F402/1000,  Model!$B$38)),     IF(F402&lt;=2000,  Model!$B$20-Model!$B$35*F402/1000,  IF(F402&lt;Model!$B$36,  Model!$B$33-5.4*F402/1000,   Model!$B$38)))</f>
        <v>-19.088750000000001</v>
      </c>
      <c r="K402" s="15">
        <f t="shared" si="119"/>
        <v>253.91125</v>
      </c>
      <c r="L402" s="45">
        <f>IF(AB401-AA401*(B402-B401)&gt;0, L401-Y401*(B402-B401)*3600-AD402*Model!$B$16, 0)</f>
        <v>747.03030837793779</v>
      </c>
      <c r="M402" s="56">
        <f t="shared" si="120"/>
        <v>21.330755737681329</v>
      </c>
      <c r="N402" s="56">
        <f>Model!$B$13*I402*K402/(Model!$B$13*I402-L402*287*K402)</f>
        <v>294.33075573768133</v>
      </c>
      <c r="O402" s="56">
        <f t="shared" si="121"/>
        <v>274.12100286884066</v>
      </c>
      <c r="P402" s="56">
        <f t="shared" si="122"/>
        <v>1.1212845589815092</v>
      </c>
      <c r="Q402" s="62">
        <f t="shared" si="123"/>
        <v>2.4079591203687689E-2</v>
      </c>
      <c r="R402" s="33">
        <f t="shared" si="124"/>
        <v>1.3716584298359429E-5</v>
      </c>
      <c r="S402" s="45">
        <f>0.37*Model!$B$10*(Q402^2*(N402-K402)*I402/(R402*O402^2))^0.33333*(N402-K402)</f>
        <v>237920.10550534594</v>
      </c>
      <c r="T402" s="50">
        <f>Model!$B$32+(90-Model!$B$6)*SIN(RADIANS(-15*(E402+6)))</f>
        <v>-37.181624193440349</v>
      </c>
      <c r="U402" s="45">
        <f t="shared" si="125"/>
        <v>0</v>
      </c>
      <c r="V402" s="50">
        <f t="shared" si="126"/>
        <v>99999</v>
      </c>
      <c r="W402" s="45">
        <f t="shared" si="127"/>
        <v>4.2253521126760563E-2</v>
      </c>
      <c r="X402" s="45">
        <f>0.3*W402*Model!$B$9</f>
        <v>3.8275201289827652</v>
      </c>
      <c r="Y402" s="33">
        <f>(S402-X402)/Model!$B$11</f>
        <v>5.1038566552658367E-3</v>
      </c>
      <c r="Z402" s="45">
        <f t="shared" si="128"/>
        <v>1.6087417752497436E-3</v>
      </c>
      <c r="AA402" s="56">
        <f>Y402/Model!$B$12*3600</f>
        <v>33.045068043625761</v>
      </c>
      <c r="AB402" s="50">
        <f t="shared" si="134"/>
        <v>406.51105324029589</v>
      </c>
      <c r="AC402" s="50">
        <f t="shared" si="129"/>
        <v>1393.488946759704</v>
      </c>
      <c r="AD402" s="15">
        <f>IF(AE402=0, Model!$B$19, 0 )</f>
        <v>0</v>
      </c>
      <c r="AE402" s="50">
        <f>IF(AE401+AB401-AB402&lt;Model!$B$19*Model!$B$18, AE401+AB401-AB402,  0)</f>
        <v>37.123520465817649</v>
      </c>
      <c r="AF402" s="15">
        <f t="shared" si="130"/>
        <v>20.000000000000149</v>
      </c>
      <c r="AG402" s="50">
        <f t="shared" si="131"/>
        <v>0</v>
      </c>
    </row>
    <row r="403" spans="2:33" x14ac:dyDescent="0.25">
      <c r="B403" s="13">
        <f t="shared" si="132"/>
        <v>20.05000000000015</v>
      </c>
      <c r="C403" s="13">
        <f>B403+Model!$B$4</f>
        <v>22.05000000000015</v>
      </c>
      <c r="D403" s="13">
        <f t="shared" si="133"/>
        <v>1</v>
      </c>
      <c r="E403" s="13">
        <f t="shared" si="117"/>
        <v>22.05000000000015</v>
      </c>
      <c r="F403" s="14">
        <f>IF(AB403&gt;0, VLOOKUP(B403,Model!$A$40:$B$60, 2), 0)</f>
        <v>300</v>
      </c>
      <c r="G403" s="13">
        <f>IF(AB403&gt;0, VLOOKUP(B403,Model!$A$39:$C$58, 3), 0)</f>
        <v>1</v>
      </c>
      <c r="H403" s="13">
        <f t="shared" si="118"/>
        <v>97</v>
      </c>
      <c r="I403" s="46">
        <f>Model!$B$21*EXP((-0.029*9.81*F403)/(8.31*(273+J403)))</f>
        <v>100357.4491247143</v>
      </c>
      <c r="J403" s="13">
        <f>IF(Model!$B$31="Summer",  IF(F403&lt;=2000,  Model!$B$20-Model!$B$35*F403/1000,  IF(F403&lt;Model!$B$36,  Model!$B$33-6.5*F403/1000,  Model!$B$38)),     IF(F403&lt;=2000,  Model!$B$20-Model!$B$35*F403/1000,  IF(F403&lt;Model!$B$36,  Model!$B$33-5.4*F403/1000,   Model!$B$38)))</f>
        <v>-19.088750000000001</v>
      </c>
      <c r="K403" s="13">
        <f t="shared" si="119"/>
        <v>253.91125</v>
      </c>
      <c r="L403" s="46">
        <f>IF(AB402-AA402*(B403-B402)&gt;0, L402-Y402*(B403-B402)*3600-AD403*Model!$B$16, 0)</f>
        <v>746.11161417998994</v>
      </c>
      <c r="M403" s="57">
        <f t="shared" si="120"/>
        <v>21.273146458777092</v>
      </c>
      <c r="N403" s="57">
        <f>Model!$B$13*I403*K403/(Model!$B$13*I403-L403*287*K403)</f>
        <v>294.27314645877709</v>
      </c>
      <c r="O403" s="57">
        <f t="shared" si="121"/>
        <v>274.09219822938854</v>
      </c>
      <c r="P403" s="57">
        <f t="shared" si="122"/>
        <v>1.0924799195293904</v>
      </c>
      <c r="Q403" s="63">
        <f t="shared" si="123"/>
        <v>2.4077546074286586E-2</v>
      </c>
      <c r="R403" s="17">
        <f t="shared" ref="R403:R409" si="135">((O403-273)*0.104+13.6)*0.000001</f>
        <v>1.3713588615856406E-5</v>
      </c>
      <c r="S403" s="46">
        <f>0.37*Model!$B$10*(Q403^2*(N403-K403)*I403/(R403*O403^2))^0.33333*(N403-K403)</f>
        <v>237488.55584396303</v>
      </c>
      <c r="T403" s="51">
        <f>Model!$B$32+(90-Model!$B$6)*SIN(RADIANS(-15*(E403+6)))</f>
        <v>-37.408095308532893</v>
      </c>
      <c r="U403" s="46">
        <f t="shared" si="125"/>
        <v>0</v>
      </c>
      <c r="V403" s="51">
        <f t="shared" si="126"/>
        <v>99999</v>
      </c>
      <c r="W403" s="46">
        <f t="shared" si="127"/>
        <v>4.2253521126760563E-2</v>
      </c>
      <c r="X403" s="46">
        <f>0.3*W403*Model!$B$9</f>
        <v>3.8275201289827652</v>
      </c>
      <c r="Y403" s="17">
        <f>(S403-X403)/Model!$B$11</f>
        <v>5.0945989128785597E-3</v>
      </c>
      <c r="Z403" s="46">
        <f t="shared" si="128"/>
        <v>1.6116650822945585E-3</v>
      </c>
      <c r="AA403" s="57">
        <f>Y403/Model!$B$12*3600</f>
        <v>32.985128521852097</v>
      </c>
      <c r="AB403" s="51">
        <f t="shared" si="134"/>
        <v>404.85879983811458</v>
      </c>
      <c r="AC403" s="51">
        <f t="shared" ref="AC403:AC409" si="136">AC402+AB402-AB403</f>
        <v>1395.1412001618855</v>
      </c>
      <c r="AD403" s="13">
        <f>IF(AE403=0, Model!$B$19, 0 )</f>
        <v>0</v>
      </c>
      <c r="AE403" s="51">
        <f>IF(AE402+AB402-AB403&lt;Model!$B$19*Model!$B$18, AE402+AB402-AB403,  0)</f>
        <v>38.775773867998964</v>
      </c>
      <c r="AF403" s="13">
        <f t="shared" si="130"/>
        <v>20.05000000000015</v>
      </c>
      <c r="AG403" s="50">
        <f t="shared" si="131"/>
        <v>0</v>
      </c>
    </row>
    <row r="404" spans="2:33" x14ac:dyDescent="0.25">
      <c r="B404" s="15">
        <f t="shared" si="132"/>
        <v>20.100000000000151</v>
      </c>
      <c r="C404" s="15">
        <f>B404+Model!$B$4</f>
        <v>22.100000000000151</v>
      </c>
      <c r="D404" s="15">
        <f t="shared" si="133"/>
        <v>1</v>
      </c>
      <c r="E404" s="15">
        <f t="shared" si="117"/>
        <v>22.100000000000151</v>
      </c>
      <c r="F404" s="16">
        <f>IF(AB404&gt;0, VLOOKUP(B404,Model!$A$40:$B$60, 2), 0)</f>
        <v>300</v>
      </c>
      <c r="G404" s="15">
        <f>IF(AB404&gt;0, VLOOKUP(B404,Model!$A$39:$C$58, 3), 0)</f>
        <v>1</v>
      </c>
      <c r="H404" s="15">
        <f t="shared" si="118"/>
        <v>97</v>
      </c>
      <c r="I404" s="45">
        <f>Model!$B$21*EXP((-0.029*9.81*F404)/(8.31*(273+J404)))</f>
        <v>100357.4491247143</v>
      </c>
      <c r="J404" s="15">
        <f>IF(Model!$B$31="Summer",  IF(F404&lt;=2000,  Model!$B$20-Model!$B$35*F404/1000,  IF(F404&lt;Model!$B$36,  Model!$B$33-6.5*F404/1000,  Model!$B$38)),     IF(F404&lt;=2000,  Model!$B$20-Model!$B$35*F404/1000,  IF(F404&lt;Model!$B$36,  Model!$B$33-5.4*F404/1000,   Model!$B$38)))</f>
        <v>-19.088750000000001</v>
      </c>
      <c r="K404" s="15">
        <f t="shared" si="119"/>
        <v>253.91125</v>
      </c>
      <c r="L404" s="45">
        <f>IF(AB403-AA403*(B404-B403)&gt;0, L403-Y403*(B404-B403)*3600-AD404*Model!$B$16, 0)</f>
        <v>745.19458637567175</v>
      </c>
      <c r="M404" s="56">
        <f t="shared" si="120"/>
        <v>21.215664161709583</v>
      </c>
      <c r="N404" s="56">
        <f>Model!$B$13*I404*K404/(Model!$B$13*I404-L404*287*K404)</f>
        <v>294.21566416170958</v>
      </c>
      <c r="O404" s="56">
        <f t="shared" si="121"/>
        <v>274.06345708085479</v>
      </c>
      <c r="P404" s="56">
        <f t="shared" si="122"/>
        <v>1.0637387709956361</v>
      </c>
      <c r="Q404" s="62">
        <f t="shared" si="123"/>
        <v>2.4075505452740689E-2</v>
      </c>
      <c r="R404" s="33">
        <f t="shared" si="135"/>
        <v>1.3710599536408897E-5</v>
      </c>
      <c r="S404" s="45">
        <f>0.37*Model!$B$10*(Q404^2*(N404-K404)*I404/(R404*O404^2))^0.33333*(N404-K404)</f>
        <v>237058.10014374639</v>
      </c>
      <c r="T404" s="50">
        <f>Model!$B$32+(90-Model!$B$6)*SIN(RADIANS(-15*(E404+6)))</f>
        <v>-37.629334004153776</v>
      </c>
      <c r="U404" s="45">
        <f t="shared" si="125"/>
        <v>0</v>
      </c>
      <c r="V404" s="50">
        <f t="shared" si="126"/>
        <v>99999</v>
      </c>
      <c r="W404" s="45">
        <f t="shared" si="127"/>
        <v>4.2253521126760563E-2</v>
      </c>
      <c r="X404" s="45">
        <f>0.3*W404*Model!$B$9</f>
        <v>3.8275201289827652</v>
      </c>
      <c r="Y404" s="33">
        <f>(S404-X404)/Model!$B$11</f>
        <v>5.0853646384987107E-3</v>
      </c>
      <c r="Z404" s="45">
        <f t="shared" si="128"/>
        <v>1.614591581836625E-3</v>
      </c>
      <c r="AA404" s="56">
        <f>Y404/Model!$B$12*3600</f>
        <v>32.925340944373652</v>
      </c>
      <c r="AB404" s="50">
        <f t="shared" si="134"/>
        <v>403.20954341202196</v>
      </c>
      <c r="AC404" s="50">
        <f t="shared" si="136"/>
        <v>1396.790456587978</v>
      </c>
      <c r="AD404" s="15">
        <f>IF(AE404=0, Model!$B$19, 0 )</f>
        <v>0</v>
      </c>
      <c r="AE404" s="50">
        <f>IF(AE403+AB403-AB404&lt;Model!$B$19*Model!$B$18, AE403+AB403-AB404,  0)</f>
        <v>40.425030294091584</v>
      </c>
      <c r="AF404" s="15">
        <f t="shared" si="130"/>
        <v>20.100000000000151</v>
      </c>
      <c r="AG404" s="50">
        <f t="shared" si="131"/>
        <v>0</v>
      </c>
    </row>
    <row r="405" spans="2:33" x14ac:dyDescent="0.25">
      <c r="B405" s="13">
        <f t="shared" si="132"/>
        <v>20.150000000000151</v>
      </c>
      <c r="C405" s="13">
        <f>B405+Model!$B$4</f>
        <v>22.150000000000151</v>
      </c>
      <c r="D405" s="13">
        <f t="shared" si="133"/>
        <v>1</v>
      </c>
      <c r="E405" s="13">
        <f t="shared" si="117"/>
        <v>22.150000000000151</v>
      </c>
      <c r="F405" s="14">
        <f>IF(AB405&gt;0, VLOOKUP(B405,Model!$A$40:$B$60, 2), 0)</f>
        <v>300</v>
      </c>
      <c r="G405" s="13">
        <f>IF(AB405&gt;0, VLOOKUP(B405,Model!$A$39:$C$58, 3), 0)</f>
        <v>1</v>
      </c>
      <c r="H405" s="13">
        <f t="shared" si="118"/>
        <v>97</v>
      </c>
      <c r="I405" s="46">
        <f>Model!$B$21*EXP((-0.029*9.81*F405)/(8.31*(273+J405)))</f>
        <v>100357.4491247143</v>
      </c>
      <c r="J405" s="13">
        <f>IF(Model!$B$31="Summer",  IF(F405&lt;=2000,  Model!$B$20-Model!$B$35*F405/1000,  IF(F405&lt;Model!$B$36,  Model!$B$33-6.5*F405/1000,  Model!$B$38)),     IF(F405&lt;=2000,  Model!$B$20-Model!$B$35*F405/1000,  IF(F405&lt;Model!$B$36,  Model!$B$33-5.4*F405/1000,   Model!$B$38)))</f>
        <v>-19.088750000000001</v>
      </c>
      <c r="K405" s="13">
        <f t="shared" si="119"/>
        <v>253.91125</v>
      </c>
      <c r="L405" s="46">
        <f>IF(AB404-AA404*(B405-B404)&gt;0, L404-Y404*(B405-B404)*3600-AD405*Model!$B$16, 0)</f>
        <v>744.27922074074195</v>
      </c>
      <c r="M405" s="57">
        <f t="shared" si="120"/>
        <v>21.158308446246735</v>
      </c>
      <c r="N405" s="57">
        <f>Model!$B$13*I405*K405/(Model!$B$13*I405-L405*287*K405)</f>
        <v>294.15830844624674</v>
      </c>
      <c r="O405" s="57">
        <f t="shared" si="121"/>
        <v>274.03477922312334</v>
      </c>
      <c r="P405" s="57">
        <f t="shared" si="122"/>
        <v>1.0350609132642123</v>
      </c>
      <c r="Q405" s="63">
        <f t="shared" si="123"/>
        <v>2.4073469324841758E-2</v>
      </c>
      <c r="R405" s="17">
        <f t="shared" si="135"/>
        <v>1.3707617039204826E-5</v>
      </c>
      <c r="S405" s="46">
        <f>0.37*Model!$B$10*(Q405^2*(N405-K405)*I405/(R405*O405^2))^0.33333*(N405-K405)</f>
        <v>236628.73469037816</v>
      </c>
      <c r="T405" s="51">
        <f>Model!$B$32+(90-Model!$B$6)*SIN(RADIANS(-15*(E405+6)))</f>
        <v>-37.845302372191433</v>
      </c>
      <c r="U405" s="46">
        <f t="shared" si="125"/>
        <v>0</v>
      </c>
      <c r="V405" s="51">
        <f t="shared" si="126"/>
        <v>99999</v>
      </c>
      <c r="W405" s="46">
        <f t="shared" si="127"/>
        <v>4.2253521126760563E-2</v>
      </c>
      <c r="X405" s="46">
        <f>0.3*W405*Model!$B$9</f>
        <v>3.8275201289827652</v>
      </c>
      <c r="Y405" s="17">
        <f>(S405-X405)/Model!$B$11</f>
        <v>5.0761537524455468E-3</v>
      </c>
      <c r="Z405" s="46">
        <f t="shared" si="128"/>
        <v>1.6175212760998635E-3</v>
      </c>
      <c r="AA405" s="57">
        <f>Y405/Model!$B$12*3600</f>
        <v>32.865704795295123</v>
      </c>
      <c r="AB405" s="51">
        <f t="shared" si="134"/>
        <v>401.56327636480324</v>
      </c>
      <c r="AC405" s="51">
        <f t="shared" si="136"/>
        <v>1398.4367236351968</v>
      </c>
      <c r="AD405" s="13">
        <f>IF(AE405=0, Model!$B$19, 0 )</f>
        <v>0</v>
      </c>
      <c r="AE405" s="51">
        <f>IF(AE404+AB404-AB405&lt;Model!$B$19*Model!$B$18, AE404+AB404-AB405,  0)</f>
        <v>42.071297341310299</v>
      </c>
      <c r="AF405" s="13">
        <f t="shared" si="130"/>
        <v>20.150000000000151</v>
      </c>
      <c r="AG405" s="50">
        <f t="shared" si="131"/>
        <v>0</v>
      </c>
    </row>
    <row r="406" spans="2:33" x14ac:dyDescent="0.25">
      <c r="B406" s="15">
        <f t="shared" si="132"/>
        <v>20.200000000000152</v>
      </c>
      <c r="C406" s="15">
        <f>B406+Model!$B$4</f>
        <v>22.200000000000152</v>
      </c>
      <c r="D406" s="15">
        <f t="shared" si="133"/>
        <v>1</v>
      </c>
      <c r="E406" s="15">
        <f t="shared" si="117"/>
        <v>22.200000000000152</v>
      </c>
      <c r="F406" s="16">
        <f>IF(AB406&gt;0, VLOOKUP(B406,Model!$A$40:$B$60, 2), 0)</f>
        <v>300</v>
      </c>
      <c r="G406" s="15">
        <f>IF(AB406&gt;0, VLOOKUP(B406,Model!$A$39:$C$58, 3), 0)</f>
        <v>1</v>
      </c>
      <c r="H406" s="15">
        <f t="shared" si="118"/>
        <v>97</v>
      </c>
      <c r="I406" s="45">
        <f>Model!$B$21*EXP((-0.029*9.81*F406)/(8.31*(273+J406)))</f>
        <v>100357.4491247143</v>
      </c>
      <c r="J406" s="15">
        <f>IF(Model!$B$31="Summer",  IF(F406&lt;=2000,  Model!$B$20-Model!$B$35*F406/1000,  IF(F406&lt;Model!$B$36,  Model!$B$33-6.5*F406/1000,  Model!$B$38)),     IF(F406&lt;=2000,  Model!$B$20-Model!$B$35*F406/1000,  IF(F406&lt;Model!$B$36,  Model!$B$33-5.4*F406/1000,   Model!$B$38)))</f>
        <v>-19.088750000000001</v>
      </c>
      <c r="K406" s="15">
        <f t="shared" si="119"/>
        <v>253.91125</v>
      </c>
      <c r="L406" s="45">
        <f>IF(AB405-AA405*(B406-B405)&gt;0, L405-Y405*(B406-B405)*3600-AD406*Model!$B$16, 0)</f>
        <v>743.36551306530168</v>
      </c>
      <c r="M406" s="56">
        <f t="shared" si="120"/>
        <v>21.1010789138424</v>
      </c>
      <c r="N406" s="56">
        <f>Model!$B$13*I406*K406/(Model!$B$13*I406-L406*287*K406)</f>
        <v>294.1010789138424</v>
      </c>
      <c r="O406" s="56">
        <f t="shared" si="121"/>
        <v>274.00616445692117</v>
      </c>
      <c r="P406" s="56">
        <f t="shared" si="122"/>
        <v>1.0064461470620447</v>
      </c>
      <c r="Q406" s="62">
        <f t="shared" si="123"/>
        <v>2.4071437676441404E-2</v>
      </c>
      <c r="R406" s="33">
        <f t="shared" si="135"/>
        <v>1.3704641103519801E-5</v>
      </c>
      <c r="S406" s="45">
        <f>0.37*Model!$B$10*(Q406^2*(N406-K406)*I406/(R406*O406^2))^0.33333*(N406-K406)</f>
        <v>236200.45578577273</v>
      </c>
      <c r="T406" s="50">
        <f>Model!$B$32+(90-Model!$B$6)*SIN(RADIANS(-15*(E406+6)))</f>
        <v>-38.055963407577828</v>
      </c>
      <c r="U406" s="45">
        <f t="shared" si="125"/>
        <v>0</v>
      </c>
      <c r="V406" s="50">
        <f t="shared" si="126"/>
        <v>99999</v>
      </c>
      <c r="W406" s="45">
        <f t="shared" si="127"/>
        <v>4.2253521126760563E-2</v>
      </c>
      <c r="X406" s="45">
        <f>0.3*W406*Model!$B$9</f>
        <v>3.8275201289827652</v>
      </c>
      <c r="Y406" s="33">
        <f>(S406-X406)/Model!$B$11</f>
        <v>5.0669661753865438E-3</v>
      </c>
      <c r="Z406" s="45">
        <f t="shared" si="128"/>
        <v>1.6204541673087286E-3</v>
      </c>
      <c r="AA406" s="56">
        <f>Y406/Model!$B$12*3600</f>
        <v>32.806219560975777</v>
      </c>
      <c r="AB406" s="50">
        <f t="shared" si="134"/>
        <v>399.91999112503845</v>
      </c>
      <c r="AC406" s="50">
        <f t="shared" si="136"/>
        <v>1400.0800088749615</v>
      </c>
      <c r="AD406" s="15">
        <f>IF(AE406=0, Model!$B$19, 0 )</f>
        <v>0</v>
      </c>
      <c r="AE406" s="50">
        <f>IF(AE405+AB405-AB406&lt;Model!$B$19*Model!$B$18, AE405+AB405-AB406,  0)</f>
        <v>43.714582581075092</v>
      </c>
      <c r="AF406" s="15">
        <f t="shared" si="130"/>
        <v>20.200000000000152</v>
      </c>
      <c r="AG406" s="50">
        <f t="shared" si="131"/>
        <v>0</v>
      </c>
    </row>
    <row r="407" spans="2:33" x14ac:dyDescent="0.25">
      <c r="B407" s="13">
        <f t="shared" si="132"/>
        <v>20.250000000000153</v>
      </c>
      <c r="C407" s="13">
        <f>B407+Model!$B$4</f>
        <v>22.250000000000153</v>
      </c>
      <c r="D407" s="13">
        <f t="shared" si="133"/>
        <v>1</v>
      </c>
      <c r="E407" s="13">
        <f t="shared" si="117"/>
        <v>22.250000000000153</v>
      </c>
      <c r="F407" s="14">
        <f>IF(AB407&gt;0, VLOOKUP(B407,Model!$A$40:$B$60, 2), 0)</f>
        <v>300</v>
      </c>
      <c r="G407" s="13">
        <f>IF(AB407&gt;0, VLOOKUP(B407,Model!$A$39:$C$58, 3), 0)</f>
        <v>1</v>
      </c>
      <c r="H407" s="13">
        <f t="shared" si="118"/>
        <v>97</v>
      </c>
      <c r="I407" s="46">
        <f>Model!$B$21*EXP((-0.029*9.81*F407)/(8.31*(273+J407)))</f>
        <v>100357.4491247143</v>
      </c>
      <c r="J407" s="13">
        <f>IF(Model!$B$31="Summer",  IF(F407&lt;=2000,  Model!$B$20-Model!$B$35*F407/1000,  IF(F407&lt;Model!$B$36,  Model!$B$33-6.5*F407/1000,  Model!$B$38)),     IF(F407&lt;=2000,  Model!$B$20-Model!$B$35*F407/1000,  IF(F407&lt;Model!$B$36,  Model!$B$33-5.4*F407/1000,   Model!$B$38)))</f>
        <v>-19.088750000000001</v>
      </c>
      <c r="K407" s="13">
        <f t="shared" si="119"/>
        <v>253.91125</v>
      </c>
      <c r="L407" s="46">
        <f>IF(AB406-AA406*(B407-B406)&gt;0, L406-Y406*(B407-B406)*3600-AD407*Model!$B$16, 0)</f>
        <v>742.45345915373207</v>
      </c>
      <c r="M407" s="57">
        <f t="shared" si="120"/>
        <v>21.043975167627195</v>
      </c>
      <c r="N407" s="57">
        <f>Model!$B$13*I407*K407/(Model!$B$13*I407-L407*287*K407)</f>
        <v>294.0439751676272</v>
      </c>
      <c r="O407" s="57">
        <f t="shared" si="121"/>
        <v>273.9776125838136</v>
      </c>
      <c r="P407" s="57">
        <f t="shared" si="122"/>
        <v>0.97789427395444228</v>
      </c>
      <c r="Q407" s="63">
        <f t="shared" si="123"/>
        <v>2.4069410493450766E-2</v>
      </c>
      <c r="R407" s="17">
        <f t="shared" si="135"/>
        <v>1.3701671708716613E-5</v>
      </c>
      <c r="S407" s="46">
        <f>0.37*Model!$B$10*(Q407^2*(N407-K407)*I407/(R407*O407^2))^0.33333*(N407-K407)</f>
        <v>235773.25974798744</v>
      </c>
      <c r="T407" s="51">
        <f>Model!$B$32+(90-Model!$B$6)*SIN(RADIANS(-15*(E407+6)))</f>
        <v>-38.261281014629034</v>
      </c>
      <c r="U407" s="46">
        <f t="shared" si="125"/>
        <v>0</v>
      </c>
      <c r="V407" s="51">
        <f t="shared" si="126"/>
        <v>99999</v>
      </c>
      <c r="W407" s="46">
        <f t="shared" si="127"/>
        <v>4.2253521126760563E-2</v>
      </c>
      <c r="X407" s="46">
        <f>0.3*W407*Model!$B$9</f>
        <v>3.8275201289827652</v>
      </c>
      <c r="Y407" s="17">
        <f>(S407-X407)/Model!$B$11</f>
        <v>5.0578018283354816E-3</v>
      </c>
      <c r="Z407" s="46">
        <f t="shared" si="128"/>
        <v>1.6233902576882181E-3</v>
      </c>
      <c r="AA407" s="57">
        <f>Y407/Model!$B$12*3600</f>
        <v>32.746884730017058</v>
      </c>
      <c r="AB407" s="51">
        <f t="shared" si="134"/>
        <v>398.27968014698962</v>
      </c>
      <c r="AC407" s="51">
        <f t="shared" si="136"/>
        <v>1401.7203198530103</v>
      </c>
      <c r="AD407" s="13">
        <f>IF(AE407=0, Model!$B$19, 0 )</f>
        <v>0</v>
      </c>
      <c r="AE407" s="51">
        <f>IF(AE406+AB406-AB407&lt;Model!$B$19*Model!$B$18, AE406+AB406-AB407,  0)</f>
        <v>45.354893559123923</v>
      </c>
      <c r="AF407" s="13">
        <f t="shared" si="130"/>
        <v>20.250000000000153</v>
      </c>
      <c r="AG407" s="50">
        <f t="shared" si="131"/>
        <v>0</v>
      </c>
    </row>
    <row r="408" spans="2:33" x14ac:dyDescent="0.25">
      <c r="B408" s="15">
        <f t="shared" si="132"/>
        <v>20.300000000000153</v>
      </c>
      <c r="C408" s="15">
        <f>B408+Model!$B$4</f>
        <v>22.300000000000153</v>
      </c>
      <c r="D408" s="15">
        <f t="shared" si="133"/>
        <v>1</v>
      </c>
      <c r="E408" s="15">
        <f t="shared" si="117"/>
        <v>22.300000000000153</v>
      </c>
      <c r="F408" s="16">
        <f>IF(AB408&gt;0, VLOOKUP(B408,Model!$A$40:$B$60, 2), 0)</f>
        <v>300</v>
      </c>
      <c r="G408" s="15">
        <f>IF(AB408&gt;0, VLOOKUP(B408,Model!$A$39:$C$58, 3), 0)</f>
        <v>1</v>
      </c>
      <c r="H408" s="15">
        <f t="shared" si="118"/>
        <v>97</v>
      </c>
      <c r="I408" s="45">
        <f>Model!$B$21*EXP((-0.029*9.81*F408)/(8.31*(273+J408)))</f>
        <v>100357.4491247143</v>
      </c>
      <c r="J408" s="15">
        <f>IF(Model!$B$31="Summer",  IF(F408&lt;=2000,  Model!$B$20-Model!$B$35*F408/1000,  IF(F408&lt;Model!$B$36,  Model!$B$33-6.5*F408/1000,  Model!$B$38)),     IF(F408&lt;=2000,  Model!$B$20-Model!$B$35*F408/1000,  IF(F408&lt;Model!$B$36,  Model!$B$33-5.4*F408/1000,   Model!$B$38)))</f>
        <v>-19.088750000000001</v>
      </c>
      <c r="K408" s="15">
        <f t="shared" si="119"/>
        <v>253.91125</v>
      </c>
      <c r="L408" s="45">
        <f>IF(AB407-AA407*(B408-B407)&gt;0, L407-Y407*(B408-B407)*3600-AD408*Model!$B$16, 0)</f>
        <v>741.54305482463167</v>
      </c>
      <c r="M408" s="56">
        <f t="shared" si="120"/>
        <v>20.986996812399752</v>
      </c>
      <c r="N408" s="56">
        <f>Model!$B$13*I408*K408/(Model!$B$13*I408-L408*287*K408)</f>
        <v>293.98699681239975</v>
      </c>
      <c r="O408" s="56">
        <f t="shared" si="121"/>
        <v>273.94912340619987</v>
      </c>
      <c r="P408" s="56">
        <f t="shared" si="122"/>
        <v>0.94940509634072079</v>
      </c>
      <c r="Q408" s="62">
        <f t="shared" si="123"/>
        <v>2.4067387761840191E-2</v>
      </c>
      <c r="R408" s="33">
        <f t="shared" si="135"/>
        <v>1.3698708834244786E-5</v>
      </c>
      <c r="S408" s="45">
        <f>0.37*Model!$B$10*(Q408^2*(N408-K408)*I408/(R408*O408^2))^0.33333*(N408-K408)</f>
        <v>235347.14291113691</v>
      </c>
      <c r="T408" s="50">
        <f>Model!$B$32+(90-Model!$B$6)*SIN(RADIANS(-15*(E408+6)))</f>
        <v>-38.461220013230047</v>
      </c>
      <c r="U408" s="45">
        <f t="shared" si="125"/>
        <v>0</v>
      </c>
      <c r="V408" s="50">
        <f t="shared" si="126"/>
        <v>99999</v>
      </c>
      <c r="W408" s="45">
        <f t="shared" si="127"/>
        <v>4.2253521126760563E-2</v>
      </c>
      <c r="X408" s="45">
        <f>0.3*W408*Model!$B$9</f>
        <v>3.8275201289827652</v>
      </c>
      <c r="Y408" s="33">
        <f>(S408-X408)/Model!$B$11</f>
        <v>5.0486606326506046E-3</v>
      </c>
      <c r="Z408" s="45">
        <f t="shared" si="128"/>
        <v>1.6263295494638624E-3</v>
      </c>
      <c r="AA408" s="56">
        <f>Y408/Model!$B$12*3600</f>
        <v>32.687699793250623</v>
      </c>
      <c r="AB408" s="50">
        <f t="shared" si="134"/>
        <v>396.64233591048873</v>
      </c>
      <c r="AC408" s="50">
        <f t="shared" si="136"/>
        <v>1403.3576640895112</v>
      </c>
      <c r="AD408" s="15">
        <f>IF(AE408=0, Model!$B$19, 0 )</f>
        <v>0</v>
      </c>
      <c r="AE408" s="50">
        <f>IF(AE407+AB407-AB408&lt;Model!$B$19*Model!$B$18, AE407+AB407-AB408,  0)</f>
        <v>46.992237795624817</v>
      </c>
      <c r="AF408" s="15">
        <f t="shared" si="130"/>
        <v>20.300000000000153</v>
      </c>
      <c r="AG408" s="50">
        <f t="shared" si="131"/>
        <v>0</v>
      </c>
    </row>
    <row r="409" spans="2:33" x14ac:dyDescent="0.25">
      <c r="B409" s="13">
        <f t="shared" si="132"/>
        <v>20.350000000000154</v>
      </c>
      <c r="C409" s="13">
        <f>B409+Model!$B$4</f>
        <v>22.350000000000154</v>
      </c>
      <c r="D409" s="13">
        <f t="shared" si="133"/>
        <v>1</v>
      </c>
      <c r="E409" s="13">
        <f t="shared" si="117"/>
        <v>22.350000000000154</v>
      </c>
      <c r="F409" s="14">
        <f>IF(AB409&gt;0, VLOOKUP(B409,Model!$A$40:$B$60, 2), 0)</f>
        <v>300</v>
      </c>
      <c r="G409" s="13">
        <f>IF(AB409&gt;0, VLOOKUP(B409,Model!$A$39:$C$58, 3), 0)</f>
        <v>1</v>
      </c>
      <c r="H409" s="13">
        <f t="shared" si="118"/>
        <v>97</v>
      </c>
      <c r="I409" s="46">
        <f>Model!$B$21*EXP((-0.029*9.81*F409)/(8.31*(273+J409)))</f>
        <v>100357.4491247143</v>
      </c>
      <c r="J409" s="13">
        <f>IF(Model!$B$31="Summer",  IF(F409&lt;=2000,  Model!$B$20-Model!$B$35*F409/1000,  IF(F409&lt;Model!$B$36,  Model!$B$33-6.5*F409/1000,  Model!$B$38)),     IF(F409&lt;=2000,  Model!$B$20-Model!$B$35*F409/1000,  IF(F409&lt;Model!$B$36,  Model!$B$33-5.4*F409/1000,   Model!$B$38)))</f>
        <v>-19.088750000000001</v>
      </c>
      <c r="K409" s="13">
        <f t="shared" si="119"/>
        <v>253.91125</v>
      </c>
      <c r="L409" s="46">
        <f>IF(AB408-AA408*(B409-B408)&gt;0, L408-Y408*(B409-B408)*3600-AD409*Model!$B$16, 0)</f>
        <v>740.63429591075453</v>
      </c>
      <c r="M409" s="57">
        <f t="shared" si="120"/>
        <v>20.930143454617678</v>
      </c>
      <c r="N409" s="57">
        <f>Model!$B$13*I409*K409/(Model!$B$13*I409-L409*287*K409)</f>
        <v>293.93014345461768</v>
      </c>
      <c r="O409" s="57">
        <f t="shared" si="121"/>
        <v>273.92069672730884</v>
      </c>
      <c r="P409" s="57">
        <f t="shared" si="122"/>
        <v>0.92097841744968356</v>
      </c>
      <c r="Q409" s="63">
        <f t="shared" si="123"/>
        <v>2.4065369467638927E-2</v>
      </c>
      <c r="R409" s="17">
        <f t="shared" si="135"/>
        <v>1.3695752459640119E-5</v>
      </c>
      <c r="S409" s="46">
        <f>0.37*Model!$B$10*(Q409^2*(N409-K409)*I409/(R409*O409^2))^0.33333*(N409-K409)</f>
        <v>234922.10162530458</v>
      </c>
      <c r="T409" s="51">
        <f>Model!$B$32+(90-Model!$B$6)*SIN(RADIANS(-15*(E409+6)))</f>
        <v>-38.655746144862761</v>
      </c>
      <c r="U409" s="46">
        <f t="shared" si="125"/>
        <v>0</v>
      </c>
      <c r="V409" s="51">
        <f t="shared" si="126"/>
        <v>99999</v>
      </c>
      <c r="W409" s="46">
        <f t="shared" si="127"/>
        <v>4.2253521126760563E-2</v>
      </c>
      <c r="X409" s="46">
        <f>0.3*W409*Model!$B$9</f>
        <v>3.8275201289827652</v>
      </c>
      <c r="Y409" s="17">
        <f>(S409-X409)/Model!$B$11</f>
        <v>5.039542510032728E-3</v>
      </c>
      <c r="Z409" s="46">
        <f t="shared" si="128"/>
        <v>1.6292720448617358E-3</v>
      </c>
      <c r="AA409" s="57">
        <f>Y409/Model!$B$12*3600</f>
        <v>32.628664243726128</v>
      </c>
      <c r="AB409" s="51">
        <f t="shared" si="134"/>
        <v>395.00795092082615</v>
      </c>
      <c r="AC409" s="51">
        <f t="shared" si="136"/>
        <v>1404.9920490791737</v>
      </c>
      <c r="AD409" s="13">
        <f>IF(AE409=0, Model!$B$19, 0 )</f>
        <v>0</v>
      </c>
      <c r="AE409" s="51">
        <f>IF(AE408+AB408-AB409&lt;Model!$B$19*Model!$B$18, AE408+AB408-AB409,  0)</f>
        <v>48.626622785287395</v>
      </c>
      <c r="AF409" s="13">
        <f t="shared" si="130"/>
        <v>20.350000000000154</v>
      </c>
      <c r="AG409" s="50">
        <f t="shared" si="131"/>
        <v>0</v>
      </c>
    </row>
    <row r="410" spans="2:33" x14ac:dyDescent="0.25">
      <c r="B410" s="15">
        <f t="shared" si="132"/>
        <v>20.400000000000155</v>
      </c>
      <c r="C410" s="15">
        <f>B410+Model!$B$4</f>
        <v>22.400000000000155</v>
      </c>
      <c r="D410" s="15">
        <f t="shared" si="133"/>
        <v>1</v>
      </c>
      <c r="E410" s="15">
        <f t="shared" si="117"/>
        <v>22.400000000000155</v>
      </c>
      <c r="F410" s="16">
        <f>IF(AB410&gt;0, VLOOKUP(B410,Model!$A$40:$B$60, 2), 0)</f>
        <v>300</v>
      </c>
      <c r="G410" s="15">
        <f>IF(AB410&gt;0, VLOOKUP(B410,Model!$A$39:$C$58, 3), 0)</f>
        <v>1</v>
      </c>
      <c r="H410" s="15">
        <f t="shared" si="118"/>
        <v>97</v>
      </c>
      <c r="I410" s="45">
        <f>Model!$B$21*EXP((-0.029*9.81*F410)/(8.31*(273+J410)))</f>
        <v>100357.4491247143</v>
      </c>
      <c r="J410" s="15">
        <f>IF(Model!$B$31="Summer",  IF(F410&lt;=2000,  Model!$B$20-Model!$B$35*F410/1000,  IF(F410&lt;Model!$B$36,  Model!$B$33-6.5*F410/1000,  Model!$B$38)),     IF(F410&lt;=2000,  Model!$B$20-Model!$B$35*F410/1000,  IF(F410&lt;Model!$B$36,  Model!$B$33-5.4*F410/1000,   Model!$B$38)))</f>
        <v>-19.088750000000001</v>
      </c>
      <c r="K410" s="15">
        <f t="shared" si="119"/>
        <v>253.91125</v>
      </c>
      <c r="L410" s="45">
        <f>IF(AB409-AA409*(B410-B409)&gt;0, L409-Y409*(B410-B409)*3600-AD410*Model!$B$16, 0)</f>
        <v>739.72717825894858</v>
      </c>
      <c r="M410" s="56">
        <f t="shared" si="120"/>
        <v>20.873414702389084</v>
      </c>
      <c r="N410" s="56">
        <f>Model!$B$13*I410*K410/(Model!$B$13*I410-L410*287*K410)</f>
        <v>293.87341470238908</v>
      </c>
      <c r="O410" s="56">
        <f t="shared" si="121"/>
        <v>273.89233235119457</v>
      </c>
      <c r="P410" s="56">
        <f t="shared" si="122"/>
        <v>0.89261404133538669</v>
      </c>
      <c r="Q410" s="62">
        <f t="shared" si="123"/>
        <v>2.4063355596934816E-2</v>
      </c>
      <c r="R410" s="33">
        <f t="shared" ref="R410:R439" si="137">((O410-273)*0.104+13.6)*0.000001</f>
        <v>1.3692802564524233E-5</v>
      </c>
      <c r="S410" s="45">
        <f>0.37*Model!$B$10*(Q410^2*(N410-K410)*I410/(R410*O410^2))^0.33333*(N410-K410)</f>
        <v>234498.1322564588</v>
      </c>
      <c r="T410" s="50">
        <f>Model!$B$32+(90-Model!$B$6)*SIN(RADIANS(-15*(E410+6)))</f>
        <v>-38.844826078475933</v>
      </c>
      <c r="U410" s="45">
        <f t="shared" si="125"/>
        <v>0</v>
      </c>
      <c r="V410" s="50">
        <f t="shared" si="126"/>
        <v>99999</v>
      </c>
      <c r="W410" s="45">
        <f t="shared" si="127"/>
        <v>4.2253521126760563E-2</v>
      </c>
      <c r="X410" s="45">
        <f>0.3*W410*Model!$B$9</f>
        <v>3.8275201289827652</v>
      </c>
      <c r="Y410" s="33">
        <f>(S410-X410)/Model!$B$11</f>
        <v>5.0304473825234326E-3</v>
      </c>
      <c r="Z410" s="45">
        <f t="shared" si="128"/>
        <v>1.632217746108442E-3</v>
      </c>
      <c r="AA410" s="56">
        <f>Y410/Model!$B$12*3600</f>
        <v>32.569777576699536</v>
      </c>
      <c r="AB410" s="50">
        <f t="shared" si="134"/>
        <v>393.37651770863982</v>
      </c>
      <c r="AC410" s="50">
        <f t="shared" ref="AC410:AC439" si="138">AC409+AB409-AB410</f>
        <v>1406.6234822913602</v>
      </c>
      <c r="AD410" s="15">
        <f>IF(AE410=0, Model!$B$19, 0 )</f>
        <v>0</v>
      </c>
      <c r="AE410" s="50">
        <f>IF(AE409+AB409-AB410&lt;Model!$B$19*Model!$B$18, AE409+AB409-AB410,  0)</f>
        <v>50.258055997473718</v>
      </c>
      <c r="AF410" s="15">
        <f t="shared" si="130"/>
        <v>20.400000000000155</v>
      </c>
      <c r="AG410" s="50">
        <f t="shared" si="131"/>
        <v>0</v>
      </c>
    </row>
    <row r="411" spans="2:33" x14ac:dyDescent="0.25">
      <c r="B411" s="13">
        <f t="shared" si="132"/>
        <v>20.450000000000156</v>
      </c>
      <c r="C411" s="13">
        <f>B411+Model!$B$4</f>
        <v>22.450000000000156</v>
      </c>
      <c r="D411" s="13">
        <f t="shared" si="133"/>
        <v>1</v>
      </c>
      <c r="E411" s="13">
        <f t="shared" si="117"/>
        <v>22.450000000000156</v>
      </c>
      <c r="F411" s="14">
        <f>IF(AB411&gt;0, VLOOKUP(B411,Model!$A$40:$B$60, 2), 0)</f>
        <v>300</v>
      </c>
      <c r="G411" s="13">
        <f>IF(AB411&gt;0, VLOOKUP(B411,Model!$A$39:$C$58, 3), 0)</f>
        <v>1</v>
      </c>
      <c r="H411" s="13">
        <f t="shared" si="118"/>
        <v>97</v>
      </c>
      <c r="I411" s="46">
        <f>Model!$B$21*EXP((-0.029*9.81*F411)/(8.31*(273+J411)))</f>
        <v>100357.4491247143</v>
      </c>
      <c r="J411" s="13">
        <f>IF(Model!$B$31="Summer",  IF(F411&lt;=2000,  Model!$B$20-Model!$B$35*F411/1000,  IF(F411&lt;Model!$B$36,  Model!$B$33-6.5*F411/1000,  Model!$B$38)),     IF(F411&lt;=2000,  Model!$B$20-Model!$B$35*F411/1000,  IF(F411&lt;Model!$B$36,  Model!$B$33-5.4*F411/1000,   Model!$B$38)))</f>
        <v>-19.088750000000001</v>
      </c>
      <c r="K411" s="13">
        <f t="shared" si="119"/>
        <v>253.91125</v>
      </c>
      <c r="L411" s="46">
        <f>IF(AB410-AA410*(B411-B410)&gt;0, L410-Y410*(B411-B410)*3600-AD411*Model!$B$16, 0)</f>
        <v>738.82169773009434</v>
      </c>
      <c r="M411" s="57">
        <f t="shared" si="120"/>
        <v>20.816810165463323</v>
      </c>
      <c r="N411" s="57">
        <f>Model!$B$13*I411*K411/(Model!$B$13*I411-L411*287*K411)</f>
        <v>293.81681016546332</v>
      </c>
      <c r="O411" s="57">
        <f t="shared" si="121"/>
        <v>273.86403008273169</v>
      </c>
      <c r="P411" s="57">
        <f t="shared" si="122"/>
        <v>0.86431177287250627</v>
      </c>
      <c r="Q411" s="63">
        <f t="shared" si="123"/>
        <v>2.4061346135873952E-2</v>
      </c>
      <c r="R411" s="17">
        <f t="shared" si="137"/>
        <v>1.3689859128604095E-5</v>
      </c>
      <c r="S411" s="46">
        <f>0.37*Model!$B$10*(Q411^2*(N411-K411)*I411/(R411*O411^2))^0.33333*(N411-K411)</f>
        <v>234075.23118636385</v>
      </c>
      <c r="T411" s="51">
        <f>Model!$B$32+(90-Model!$B$6)*SIN(RADIANS(-15*(E411+6)))</f>
        <v>-39.02842741619633</v>
      </c>
      <c r="U411" s="46">
        <f t="shared" si="125"/>
        <v>0</v>
      </c>
      <c r="V411" s="51">
        <f t="shared" si="126"/>
        <v>99999</v>
      </c>
      <c r="W411" s="46">
        <f t="shared" si="127"/>
        <v>4.2253521126760563E-2</v>
      </c>
      <c r="X411" s="46">
        <f>0.3*W411*Model!$B$9</f>
        <v>3.8275201289827652</v>
      </c>
      <c r="Y411" s="17">
        <f>(S411-X411)/Model!$B$11</f>
        <v>5.0213751725031617E-3</v>
      </c>
      <c r="Z411" s="46">
        <f t="shared" si="128"/>
        <v>1.635166655431136E-3</v>
      </c>
      <c r="AA411" s="57">
        <f>Y411/Model!$B$12*3600</f>
        <v>32.511039289620754</v>
      </c>
      <c r="AB411" s="51">
        <f t="shared" si="134"/>
        <v>391.74802882980481</v>
      </c>
      <c r="AC411" s="51">
        <f t="shared" si="138"/>
        <v>1408.2519711701952</v>
      </c>
      <c r="AD411" s="13">
        <f>IF(AE411=0, Model!$B$19, 0 )</f>
        <v>0</v>
      </c>
      <c r="AE411" s="51">
        <f>IF(AE410+AB410-AB411&lt;Model!$B$19*Model!$B$18, AE410+AB410-AB411,  0)</f>
        <v>51.886544876308733</v>
      </c>
      <c r="AF411" s="13">
        <f t="shared" si="130"/>
        <v>20.450000000000156</v>
      </c>
      <c r="AG411" s="50">
        <f t="shared" si="131"/>
        <v>0</v>
      </c>
    </row>
    <row r="412" spans="2:33" x14ac:dyDescent="0.25">
      <c r="B412" s="15">
        <f t="shared" si="132"/>
        <v>20.500000000000156</v>
      </c>
      <c r="C412" s="15">
        <f>B412+Model!$B$4</f>
        <v>22.500000000000156</v>
      </c>
      <c r="D412" s="15">
        <f t="shared" si="133"/>
        <v>1</v>
      </c>
      <c r="E412" s="15">
        <f t="shared" si="117"/>
        <v>22.500000000000156</v>
      </c>
      <c r="F412" s="16">
        <f>IF(AB412&gt;0, VLOOKUP(B412,Model!$A$40:$B$60, 2), 0)</f>
        <v>300</v>
      </c>
      <c r="G412" s="15">
        <f>IF(AB412&gt;0, VLOOKUP(B412,Model!$A$39:$C$58, 3), 0)</f>
        <v>1</v>
      </c>
      <c r="H412" s="15">
        <f t="shared" si="118"/>
        <v>97</v>
      </c>
      <c r="I412" s="45">
        <f>Model!$B$21*EXP((-0.029*9.81*F412)/(8.31*(273+J412)))</f>
        <v>100357.4491247143</v>
      </c>
      <c r="J412" s="15">
        <f>IF(Model!$B$31="Summer",  IF(F412&lt;=2000,  Model!$B$20-Model!$B$35*F412/1000,  IF(F412&lt;Model!$B$36,  Model!$B$33-6.5*F412/1000,  Model!$B$38)),     IF(F412&lt;=2000,  Model!$B$20-Model!$B$35*F412/1000,  IF(F412&lt;Model!$B$36,  Model!$B$33-5.4*F412/1000,   Model!$B$38)))</f>
        <v>-19.088750000000001</v>
      </c>
      <c r="K412" s="15">
        <f t="shared" si="119"/>
        <v>253.91125</v>
      </c>
      <c r="L412" s="45">
        <f>IF(AB411-AA411*(B412-B411)&gt;0, L411-Y411*(B412-B411)*3600-AD412*Model!$B$16, 0)</f>
        <v>737.91785019904376</v>
      </c>
      <c r="M412" s="56">
        <f t="shared" si="120"/>
        <v>20.760329455222859</v>
      </c>
      <c r="N412" s="56">
        <f>Model!$B$13*I412*K412/(Model!$B$13*I412-L412*287*K412)</f>
        <v>293.76032945522286</v>
      </c>
      <c r="O412" s="56">
        <f t="shared" si="121"/>
        <v>273.83578972761143</v>
      </c>
      <c r="P412" s="56">
        <f t="shared" si="122"/>
        <v>0.83607141775227412</v>
      </c>
      <c r="Q412" s="62">
        <f t="shared" si="123"/>
        <v>2.4059341070660413E-2</v>
      </c>
      <c r="R412" s="33">
        <f t="shared" si="137"/>
        <v>1.3686922131671588E-5</v>
      </c>
      <c r="S412" s="45">
        <f>0.37*Model!$B$10*(Q412^2*(N412-K412)*I412/(R412*O412^2))^0.33333*(N412-K412)</f>
        <v>233653.39481249813</v>
      </c>
      <c r="T412" s="50">
        <f>Model!$B$32+(90-Model!$B$6)*SIN(RADIANS(-15*(E412+6)))</f>
        <v>-39.206518698879897</v>
      </c>
      <c r="U412" s="45">
        <f t="shared" si="125"/>
        <v>0</v>
      </c>
      <c r="V412" s="50">
        <f t="shared" si="126"/>
        <v>99999</v>
      </c>
      <c r="W412" s="45">
        <f t="shared" si="127"/>
        <v>4.2253521126760563E-2</v>
      </c>
      <c r="X412" s="45">
        <f>0.3*W412*Model!$B$9</f>
        <v>3.8275201289827652</v>
      </c>
      <c r="Y412" s="33">
        <f>(S412-X412)/Model!$B$11</f>
        <v>5.0123258026894589E-3</v>
      </c>
      <c r="Z412" s="45">
        <f t="shared" si="128"/>
        <v>1.6381187750575028E-3</v>
      </c>
      <c r="AA412" s="56">
        <f>Y412/Model!$B$12*3600</f>
        <v>32.452448882122297</v>
      </c>
      <c r="AB412" s="50">
        <f t="shared" si="134"/>
        <v>390.12247686532373</v>
      </c>
      <c r="AC412" s="50">
        <f t="shared" si="138"/>
        <v>1409.8775231346763</v>
      </c>
      <c r="AD412" s="15">
        <f>IF(AE412=0, Model!$B$19, 0 )</f>
        <v>0</v>
      </c>
      <c r="AE412" s="50">
        <f>IF(AE411+AB411-AB412&lt;Model!$B$19*Model!$B$18, AE411+AB411-AB412,  0)</f>
        <v>53.512096840789809</v>
      </c>
      <c r="AF412" s="15">
        <f t="shared" si="130"/>
        <v>20.500000000000156</v>
      </c>
      <c r="AG412" s="50">
        <f t="shared" si="131"/>
        <v>0</v>
      </c>
    </row>
    <row r="413" spans="2:33" x14ac:dyDescent="0.25">
      <c r="B413" s="13">
        <f t="shared" si="132"/>
        <v>20.550000000000157</v>
      </c>
      <c r="C413" s="13">
        <f>B413+Model!$B$4</f>
        <v>22.550000000000157</v>
      </c>
      <c r="D413" s="13">
        <f t="shared" si="133"/>
        <v>1</v>
      </c>
      <c r="E413" s="13">
        <f t="shared" si="117"/>
        <v>22.550000000000157</v>
      </c>
      <c r="F413" s="14">
        <f>IF(AB413&gt;0, VLOOKUP(B413,Model!$A$40:$B$60, 2), 0)</f>
        <v>300</v>
      </c>
      <c r="G413" s="13">
        <f>IF(AB413&gt;0, VLOOKUP(B413,Model!$A$39:$C$58, 3), 0)</f>
        <v>1</v>
      </c>
      <c r="H413" s="13">
        <f t="shared" si="118"/>
        <v>97</v>
      </c>
      <c r="I413" s="46">
        <f>Model!$B$21*EXP((-0.029*9.81*F413)/(8.31*(273+J413)))</f>
        <v>100357.4491247143</v>
      </c>
      <c r="J413" s="13">
        <f>IF(Model!$B$31="Summer",  IF(F413&lt;=2000,  Model!$B$20-Model!$B$35*F413/1000,  IF(F413&lt;Model!$B$36,  Model!$B$33-6.5*F413/1000,  Model!$B$38)),     IF(F413&lt;=2000,  Model!$B$20-Model!$B$35*F413/1000,  IF(F413&lt;Model!$B$36,  Model!$B$33-5.4*F413/1000,   Model!$B$38)))</f>
        <v>-19.088750000000001</v>
      </c>
      <c r="K413" s="13">
        <f t="shared" si="119"/>
        <v>253.91125</v>
      </c>
      <c r="L413" s="46">
        <f>IF(AB412-AA412*(B413-B412)&gt;0, L412-Y412*(B413-B412)*3600-AD413*Model!$B$16, 0)</f>
        <v>737.0156315545596</v>
      </c>
      <c r="M413" s="57">
        <f t="shared" si="120"/>
        <v>20.703972184674171</v>
      </c>
      <c r="N413" s="57">
        <f>Model!$B$13*I413*K413/(Model!$B$13*I413-L413*287*K413)</f>
        <v>293.70397218467417</v>
      </c>
      <c r="O413" s="57">
        <f t="shared" si="121"/>
        <v>273.80761109233708</v>
      </c>
      <c r="P413" s="57">
        <f t="shared" si="122"/>
        <v>0.80789278247793028</v>
      </c>
      <c r="Q413" s="63">
        <f t="shared" si="123"/>
        <v>2.4057340387555932E-2</v>
      </c>
      <c r="R413" s="17">
        <f t="shared" si="137"/>
        <v>1.3683991553603055E-5</v>
      </c>
      <c r="S413" s="46">
        <f>0.37*Model!$B$10*(Q413^2*(N413-K413)*I413/(R413*O413^2))^0.33333*(N413-K413)</f>
        <v>233232.61954796684</v>
      </c>
      <c r="T413" s="51">
        <f>Model!$B$32+(90-Model!$B$6)*SIN(RADIANS(-15*(E413+6)))</f>
        <v>-39.379069411502194</v>
      </c>
      <c r="U413" s="46">
        <f t="shared" si="125"/>
        <v>0</v>
      </c>
      <c r="V413" s="51">
        <f t="shared" si="126"/>
        <v>99999</v>
      </c>
      <c r="W413" s="46">
        <f t="shared" si="127"/>
        <v>4.2253521126760563E-2</v>
      </c>
      <c r="X413" s="46">
        <f>0.3*W413*Model!$B$9</f>
        <v>3.8275201289827652</v>
      </c>
      <c r="Y413" s="17">
        <f>(S413-X413)/Model!$B$11</f>
        <v>5.0032991961351039E-3</v>
      </c>
      <c r="Z413" s="46">
        <f t="shared" si="128"/>
        <v>1.6410741072157764E-3</v>
      </c>
      <c r="AA413" s="57">
        <f>Y413/Model!$B$12*3600</f>
        <v>32.394005856007148</v>
      </c>
      <c r="AB413" s="51">
        <f t="shared" si="134"/>
        <v>388.49985442121761</v>
      </c>
      <c r="AC413" s="51">
        <f t="shared" si="138"/>
        <v>1411.5001455787824</v>
      </c>
      <c r="AD413" s="13">
        <f>IF(AE413=0, Model!$B$19, 0 )</f>
        <v>0</v>
      </c>
      <c r="AE413" s="51">
        <f>IF(AE412+AB412-AB413&lt;Model!$B$19*Model!$B$18, AE412+AB412-AB413,  0)</f>
        <v>55.134719284895937</v>
      </c>
      <c r="AF413" s="13">
        <f t="shared" si="130"/>
        <v>20.550000000000157</v>
      </c>
      <c r="AG413" s="50">
        <f t="shared" si="131"/>
        <v>0</v>
      </c>
    </row>
    <row r="414" spans="2:33" x14ac:dyDescent="0.25">
      <c r="B414" s="15">
        <f t="shared" si="132"/>
        <v>20.600000000000158</v>
      </c>
      <c r="C414" s="15">
        <f>B414+Model!$B$4</f>
        <v>22.600000000000158</v>
      </c>
      <c r="D414" s="15">
        <f t="shared" si="133"/>
        <v>1</v>
      </c>
      <c r="E414" s="15">
        <f t="shared" si="117"/>
        <v>22.600000000000158</v>
      </c>
      <c r="F414" s="16">
        <f>IF(AB414&gt;0, VLOOKUP(B414,Model!$A$40:$B$60, 2), 0)</f>
        <v>300</v>
      </c>
      <c r="G414" s="15">
        <f>IF(AB414&gt;0, VLOOKUP(B414,Model!$A$39:$C$58, 3), 0)</f>
        <v>1</v>
      </c>
      <c r="H414" s="15">
        <f t="shared" si="118"/>
        <v>97</v>
      </c>
      <c r="I414" s="45">
        <f>Model!$B$21*EXP((-0.029*9.81*F414)/(8.31*(273+J414)))</f>
        <v>100357.4491247143</v>
      </c>
      <c r="J414" s="15">
        <f>IF(Model!$B$31="Summer",  IF(F414&lt;=2000,  Model!$B$20-Model!$B$35*F414/1000,  IF(F414&lt;Model!$B$36,  Model!$B$33-6.5*F414/1000,  Model!$B$38)),     IF(F414&lt;=2000,  Model!$B$20-Model!$B$35*F414/1000,  IF(F414&lt;Model!$B$36,  Model!$B$33-5.4*F414/1000,   Model!$B$38)))</f>
        <v>-19.088750000000001</v>
      </c>
      <c r="K414" s="15">
        <f t="shared" si="119"/>
        <v>253.91125</v>
      </c>
      <c r="L414" s="45">
        <f>IF(AB413-AA413*(B414-B413)&gt;0, L413-Y413*(B414-B413)*3600-AD414*Model!$B$16, 0)</f>
        <v>736.11503769925525</v>
      </c>
      <c r="M414" s="56">
        <f t="shared" si="120"/>
        <v>20.647737968439174</v>
      </c>
      <c r="N414" s="56">
        <f>Model!$B$13*I414*K414/(Model!$B$13*I414-L414*287*K414)</f>
        <v>293.64773796843917</v>
      </c>
      <c r="O414" s="56">
        <f t="shared" si="121"/>
        <v>273.77949398421958</v>
      </c>
      <c r="P414" s="56">
        <f t="shared" si="122"/>
        <v>0.77977567436043138</v>
      </c>
      <c r="Q414" s="62">
        <f t="shared" si="123"/>
        <v>2.4055344072879591E-2</v>
      </c>
      <c r="R414" s="33">
        <f t="shared" si="137"/>
        <v>1.3681067374358835E-5</v>
      </c>
      <c r="S414" s="45">
        <f>0.37*Model!$B$10*(Q414^2*(N414-K414)*I414/(R414*O414^2))^0.33333*(N414-K414)</f>
        <v>232812.90182141779</v>
      </c>
      <c r="T414" s="50">
        <f>Model!$B$32+(90-Model!$B$6)*SIN(RADIANS(-15*(E414+6)))</f>
        <v>-39.546049988386898</v>
      </c>
      <c r="U414" s="45">
        <f t="shared" si="125"/>
        <v>0</v>
      </c>
      <c r="V414" s="50">
        <f t="shared" si="126"/>
        <v>99999</v>
      </c>
      <c r="W414" s="45">
        <f t="shared" si="127"/>
        <v>4.2253521126760563E-2</v>
      </c>
      <c r="X414" s="45">
        <f>0.3*W414*Model!$B$9</f>
        <v>3.8275201289827652</v>
      </c>
      <c r="Y414" s="33">
        <f>(S414-X414)/Model!$B$11</f>
        <v>4.9942952762262963E-3</v>
      </c>
      <c r="Z414" s="45">
        <f t="shared" si="128"/>
        <v>1.6440326541347417E-3</v>
      </c>
      <c r="AA414" s="56">
        <f>Y414/Model!$B$12*3600</f>
        <v>32.335709715237023</v>
      </c>
      <c r="AB414" s="50">
        <f t="shared" si="134"/>
        <v>386.88015412841725</v>
      </c>
      <c r="AC414" s="50">
        <f t="shared" si="138"/>
        <v>1413.1198458715828</v>
      </c>
      <c r="AD414" s="15">
        <f>IF(AE414=0, Model!$B$19, 0 )</f>
        <v>0</v>
      </c>
      <c r="AE414" s="50">
        <f>IF(AE413+AB413-AB414&lt;Model!$B$19*Model!$B$18, AE413+AB413-AB414,  0)</f>
        <v>56.754419577696297</v>
      </c>
      <c r="AF414" s="15">
        <f t="shared" si="130"/>
        <v>20.600000000000158</v>
      </c>
      <c r="AG414" s="50">
        <f t="shared" si="131"/>
        <v>0</v>
      </c>
    </row>
    <row r="415" spans="2:33" x14ac:dyDescent="0.25">
      <c r="B415" s="13">
        <f t="shared" si="132"/>
        <v>20.650000000000158</v>
      </c>
      <c r="C415" s="13">
        <f>B415+Model!$B$4</f>
        <v>22.650000000000158</v>
      </c>
      <c r="D415" s="13">
        <f t="shared" si="133"/>
        <v>1</v>
      </c>
      <c r="E415" s="13">
        <f t="shared" si="117"/>
        <v>22.650000000000158</v>
      </c>
      <c r="F415" s="14">
        <f>IF(AB415&gt;0, VLOOKUP(B415,Model!$A$40:$B$60, 2), 0)</f>
        <v>300</v>
      </c>
      <c r="G415" s="13">
        <f>IF(AB415&gt;0, VLOOKUP(B415,Model!$A$39:$C$58, 3), 0)</f>
        <v>1</v>
      </c>
      <c r="H415" s="13">
        <f t="shared" si="118"/>
        <v>97</v>
      </c>
      <c r="I415" s="46">
        <f>Model!$B$21*EXP((-0.029*9.81*F415)/(8.31*(273+J415)))</f>
        <v>100357.4491247143</v>
      </c>
      <c r="J415" s="13">
        <f>IF(Model!$B$31="Summer",  IF(F415&lt;=2000,  Model!$B$20-Model!$B$35*F415/1000,  IF(F415&lt;Model!$B$36,  Model!$B$33-6.5*F415/1000,  Model!$B$38)),     IF(F415&lt;=2000,  Model!$B$20-Model!$B$35*F415/1000,  IF(F415&lt;Model!$B$36,  Model!$B$33-5.4*F415/1000,   Model!$B$38)))</f>
        <v>-19.088750000000001</v>
      </c>
      <c r="K415" s="13">
        <f t="shared" si="119"/>
        <v>253.91125</v>
      </c>
      <c r="L415" s="46">
        <f>IF(AB414-AA414*(B415-B414)&gt;0, L414-Y414*(B415-B414)*3600-AD415*Model!$B$16, 0)</f>
        <v>735.21606454953451</v>
      </c>
      <c r="M415" s="57">
        <f t="shared" si="120"/>
        <v>20.591626422747311</v>
      </c>
      <c r="N415" s="57">
        <f>Model!$B$13*I415*K415/(Model!$B$13*I415-L415*287*K415)</f>
        <v>293.59162642274731</v>
      </c>
      <c r="O415" s="57">
        <f t="shared" si="121"/>
        <v>273.75143821137362</v>
      </c>
      <c r="P415" s="57">
        <f t="shared" si="122"/>
        <v>0.75171990151449997</v>
      </c>
      <c r="Q415" s="63">
        <f t="shared" si="123"/>
        <v>2.4053352113007527E-2</v>
      </c>
      <c r="R415" s="17">
        <f t="shared" si="137"/>
        <v>1.3678149573982857E-5</v>
      </c>
      <c r="S415" s="46">
        <f>0.37*Model!$B$10*(Q415^2*(N415-K415)*I415/(R415*O415^2))^0.33333*(N415-K415)</f>
        <v>232394.23807696204</v>
      </c>
      <c r="T415" s="51">
        <f>Model!$B$32+(90-Model!$B$6)*SIN(RADIANS(-15*(E415+6)))</f>
        <v>-39.707431818271765</v>
      </c>
      <c r="U415" s="46">
        <f t="shared" si="125"/>
        <v>0</v>
      </c>
      <c r="V415" s="51">
        <f t="shared" si="126"/>
        <v>99999</v>
      </c>
      <c r="W415" s="46">
        <f t="shared" si="127"/>
        <v>4.2253521126760563E-2</v>
      </c>
      <c r="X415" s="46">
        <f>0.3*W415*Model!$B$9</f>
        <v>3.8275201289827652</v>
      </c>
      <c r="Y415" s="17">
        <f>(S415-X415)/Model!$B$11</f>
        <v>4.9853139666809626E-3</v>
      </c>
      <c r="Z415" s="46">
        <f t="shared" si="128"/>
        <v>1.6469944180437059E-3</v>
      </c>
      <c r="AA415" s="57">
        <f>Y415/Model!$B$12*3600</f>
        <v>32.277559965921434</v>
      </c>
      <c r="AB415" s="51">
        <f t="shared" si="134"/>
        <v>385.26336864265539</v>
      </c>
      <c r="AC415" s="51">
        <f t="shared" si="138"/>
        <v>1414.7366313573445</v>
      </c>
      <c r="AD415" s="13">
        <f>IF(AE415=0, Model!$B$19, 0 )</f>
        <v>0</v>
      </c>
      <c r="AE415" s="51">
        <f>IF(AE414+AB414-AB415&lt;Model!$B$19*Model!$B$18, AE414+AB414-AB415,  0)</f>
        <v>58.371205063458149</v>
      </c>
      <c r="AF415" s="13">
        <f t="shared" si="130"/>
        <v>20.650000000000158</v>
      </c>
      <c r="AG415" s="50">
        <f t="shared" si="131"/>
        <v>0</v>
      </c>
    </row>
    <row r="416" spans="2:33" x14ac:dyDescent="0.25">
      <c r="B416" s="15">
        <f t="shared" si="132"/>
        <v>20.700000000000159</v>
      </c>
      <c r="C416" s="15">
        <f>B416+Model!$B$4</f>
        <v>22.700000000000159</v>
      </c>
      <c r="D416" s="15">
        <f t="shared" si="133"/>
        <v>1</v>
      </c>
      <c r="E416" s="15">
        <f t="shared" si="117"/>
        <v>22.700000000000159</v>
      </c>
      <c r="F416" s="16">
        <f>IF(AB416&gt;0, VLOOKUP(B416,Model!$A$40:$B$60, 2), 0)</f>
        <v>300</v>
      </c>
      <c r="G416" s="15">
        <f>IF(AB416&gt;0, VLOOKUP(B416,Model!$A$39:$C$58, 3), 0)</f>
        <v>1</v>
      </c>
      <c r="H416" s="15">
        <f t="shared" si="118"/>
        <v>97</v>
      </c>
      <c r="I416" s="45">
        <f>Model!$B$21*EXP((-0.029*9.81*F416)/(8.31*(273+J416)))</f>
        <v>100357.4491247143</v>
      </c>
      <c r="J416" s="15">
        <f>IF(Model!$B$31="Summer",  IF(F416&lt;=2000,  Model!$B$20-Model!$B$35*F416/1000,  IF(F416&lt;Model!$B$36,  Model!$B$33-6.5*F416/1000,  Model!$B$38)),     IF(F416&lt;=2000,  Model!$B$20-Model!$B$35*F416/1000,  IF(F416&lt;Model!$B$36,  Model!$B$33-5.4*F416/1000,   Model!$B$38)))</f>
        <v>-19.088750000000001</v>
      </c>
      <c r="K416" s="15">
        <f t="shared" si="119"/>
        <v>253.91125</v>
      </c>
      <c r="L416" s="45">
        <f>IF(AB415-AA415*(B416-B415)&gt;0, L415-Y415*(B416-B415)*3600-AD416*Model!$B$16, 0)</f>
        <v>734.31870803553193</v>
      </c>
      <c r="M416" s="56">
        <f t="shared" si="120"/>
        <v>20.535637165426238</v>
      </c>
      <c r="N416" s="56">
        <f>Model!$B$13*I416*K416/(Model!$B$13*I416-L416*287*K416)</f>
        <v>293.53563716542624</v>
      </c>
      <c r="O416" s="56">
        <f t="shared" si="121"/>
        <v>273.72344358271312</v>
      </c>
      <c r="P416" s="56">
        <f t="shared" si="122"/>
        <v>0.72372527285396338</v>
      </c>
      <c r="Q416" s="62">
        <f t="shared" si="123"/>
        <v>2.4051364494372632E-2</v>
      </c>
      <c r="R416" s="33">
        <f t="shared" si="137"/>
        <v>1.3675238132602164E-5</v>
      </c>
      <c r="S416" s="45">
        <f>0.37*Model!$B$10*(Q416^2*(N416-K416)*I416/(R416*O416^2))^0.33333*(N416-K416)</f>
        <v>231976.6247740853</v>
      </c>
      <c r="T416" s="50">
        <f>Model!$B$32+(90-Model!$B$6)*SIN(RADIANS(-15*(E416+6)))</f>
        <v>-39.863187249211052</v>
      </c>
      <c r="U416" s="45">
        <f t="shared" si="125"/>
        <v>0</v>
      </c>
      <c r="V416" s="50">
        <f t="shared" si="126"/>
        <v>99999</v>
      </c>
      <c r="W416" s="45">
        <f t="shared" si="127"/>
        <v>4.2253521126760563E-2</v>
      </c>
      <c r="X416" s="45">
        <f>0.3*W416*Model!$B$9</f>
        <v>3.8275201289827652</v>
      </c>
      <c r="Y416" s="33">
        <f>(S416-X416)/Model!$B$11</f>
        <v>4.9763551915468478E-3</v>
      </c>
      <c r="Z416" s="45">
        <f t="shared" si="128"/>
        <v>1.6499594011725389E-3</v>
      </c>
      <c r="AA416" s="56">
        <f>Y416/Model!$B$12*3600</f>
        <v>32.219556116305299</v>
      </c>
      <c r="AB416" s="50">
        <f t="shared" si="134"/>
        <v>383.64949064435928</v>
      </c>
      <c r="AC416" s="50">
        <f t="shared" si="138"/>
        <v>1416.3505093556407</v>
      </c>
      <c r="AD416" s="15">
        <f>IF(AE416=0, Model!$B$19, 0 )</f>
        <v>0</v>
      </c>
      <c r="AE416" s="50">
        <f>IF(AE415+AB415-AB416&lt;Model!$B$19*Model!$B$18, AE415+AB415-AB416,  0)</f>
        <v>59.985083061754267</v>
      </c>
      <c r="AF416" s="15">
        <f t="shared" si="130"/>
        <v>20.700000000000159</v>
      </c>
      <c r="AG416" s="50">
        <f t="shared" si="131"/>
        <v>0</v>
      </c>
    </row>
    <row r="417" spans="2:33" x14ac:dyDescent="0.25">
      <c r="B417" s="13">
        <f t="shared" si="132"/>
        <v>20.75000000000016</v>
      </c>
      <c r="C417" s="13">
        <f>B417+Model!$B$4</f>
        <v>22.75000000000016</v>
      </c>
      <c r="D417" s="13">
        <f t="shared" si="133"/>
        <v>1</v>
      </c>
      <c r="E417" s="13">
        <f t="shared" si="117"/>
        <v>22.75000000000016</v>
      </c>
      <c r="F417" s="14">
        <f>IF(AB417&gt;0, VLOOKUP(B417,Model!$A$40:$B$60, 2), 0)</f>
        <v>300</v>
      </c>
      <c r="G417" s="13">
        <f>IF(AB417&gt;0, VLOOKUP(B417,Model!$A$39:$C$58, 3), 0)</f>
        <v>1</v>
      </c>
      <c r="H417" s="13">
        <f t="shared" si="118"/>
        <v>97</v>
      </c>
      <c r="I417" s="46">
        <f>Model!$B$21*EXP((-0.029*9.81*F417)/(8.31*(273+J417)))</f>
        <v>100357.4491247143</v>
      </c>
      <c r="J417" s="13">
        <f>IF(Model!$B$31="Summer",  IF(F417&lt;=2000,  Model!$B$20-Model!$B$35*F417/1000,  IF(F417&lt;Model!$B$36,  Model!$B$33-6.5*F417/1000,  Model!$B$38)),     IF(F417&lt;=2000,  Model!$B$20-Model!$B$35*F417/1000,  IF(F417&lt;Model!$B$36,  Model!$B$33-5.4*F417/1000,   Model!$B$38)))</f>
        <v>-19.088750000000001</v>
      </c>
      <c r="K417" s="13">
        <f t="shared" si="119"/>
        <v>253.91125</v>
      </c>
      <c r="L417" s="46">
        <f>IF(AB416-AA416*(B417-B416)&gt;0, L416-Y416*(B417-B416)*3600-AD417*Model!$B$16, 0)</f>
        <v>733.42296410105348</v>
      </c>
      <c r="M417" s="57">
        <f t="shared" si="120"/>
        <v>20.479769815893803</v>
      </c>
      <c r="N417" s="57">
        <f>Model!$B$13*I417*K417/(Model!$B$13*I417-L417*287*K417)</f>
        <v>293.4797698158938</v>
      </c>
      <c r="O417" s="57">
        <f t="shared" si="121"/>
        <v>273.69550990794687</v>
      </c>
      <c r="P417" s="57">
        <f t="shared" si="122"/>
        <v>0.69579159808774627</v>
      </c>
      <c r="Q417" s="63">
        <f t="shared" si="123"/>
        <v>2.404938120346423E-2</v>
      </c>
      <c r="R417" s="17">
        <f t="shared" si="137"/>
        <v>1.3672333030426474E-5</v>
      </c>
      <c r="S417" s="46">
        <f>0.37*Model!$B$10*(Q417^2*(N417-K417)*I417/(R417*O417^2))^0.33333*(N417-K417)</f>
        <v>231560.05838756807</v>
      </c>
      <c r="T417" s="51">
        <f>Model!$B$32+(90-Model!$B$6)*SIN(RADIANS(-15*(E417+6)))</f>
        <v>-40.013289593313488</v>
      </c>
      <c r="U417" s="46">
        <f t="shared" si="125"/>
        <v>0</v>
      </c>
      <c r="V417" s="51">
        <f t="shared" si="126"/>
        <v>99999</v>
      </c>
      <c r="W417" s="46">
        <f t="shared" si="127"/>
        <v>4.2253521126760563E-2</v>
      </c>
      <c r="X417" s="46">
        <f>0.3*W417*Model!$B$9</f>
        <v>3.8275201289827652</v>
      </c>
      <c r="Y417" s="17">
        <f>(S417-X417)/Model!$B$11</f>
        <v>4.9674188751998088E-3</v>
      </c>
      <c r="Z417" s="46">
        <f t="shared" si="128"/>
        <v>1.6529276057516559E-3</v>
      </c>
      <c r="AA417" s="57">
        <f>Y417/Model!$B$12*3600</f>
        <v>32.161697676757903</v>
      </c>
      <c r="AB417" s="51">
        <f t="shared" si="134"/>
        <v>382.03851283854397</v>
      </c>
      <c r="AC417" s="51">
        <f t="shared" si="138"/>
        <v>1417.961487161456</v>
      </c>
      <c r="AD417" s="13">
        <f>IF(AE417=0, Model!$B$19, 0 )</f>
        <v>0</v>
      </c>
      <c r="AE417" s="51">
        <f>IF(AE416+AB416-AB417&lt;Model!$B$19*Model!$B$18, AE416+AB416-AB417,  0)</f>
        <v>61.596060867569577</v>
      </c>
      <c r="AF417" s="13">
        <f t="shared" si="130"/>
        <v>20.75000000000016</v>
      </c>
      <c r="AG417" s="50">
        <f t="shared" si="131"/>
        <v>0</v>
      </c>
    </row>
    <row r="418" spans="2:33" x14ac:dyDescent="0.25">
      <c r="B418" s="15">
        <f t="shared" si="132"/>
        <v>20.800000000000161</v>
      </c>
      <c r="C418" s="15">
        <f>B418+Model!$B$4</f>
        <v>22.800000000000161</v>
      </c>
      <c r="D418" s="15">
        <f t="shared" si="133"/>
        <v>1</v>
      </c>
      <c r="E418" s="15">
        <f t="shared" si="117"/>
        <v>22.800000000000161</v>
      </c>
      <c r="F418" s="16">
        <f>IF(AB418&gt;0, VLOOKUP(B418,Model!$A$40:$B$60, 2), 0)</f>
        <v>300</v>
      </c>
      <c r="G418" s="15">
        <f>IF(AB418&gt;0, VLOOKUP(B418,Model!$A$39:$C$58, 3), 0)</f>
        <v>1</v>
      </c>
      <c r="H418" s="15">
        <f t="shared" si="118"/>
        <v>97</v>
      </c>
      <c r="I418" s="45">
        <f>Model!$B$21*EXP((-0.029*9.81*F418)/(8.31*(273+J418)))</f>
        <v>100357.4491247143</v>
      </c>
      <c r="J418" s="15">
        <f>IF(Model!$B$31="Summer",  IF(F418&lt;=2000,  Model!$B$20-Model!$B$35*F418/1000,  IF(F418&lt;Model!$B$36,  Model!$B$33-6.5*F418/1000,  Model!$B$38)),     IF(F418&lt;=2000,  Model!$B$20-Model!$B$35*F418/1000,  IF(F418&lt;Model!$B$36,  Model!$B$33-5.4*F418/1000,   Model!$B$38)))</f>
        <v>-19.088750000000001</v>
      </c>
      <c r="K418" s="15">
        <f t="shared" si="119"/>
        <v>253.91125</v>
      </c>
      <c r="L418" s="45">
        <f>IF(AB417-AA417*(B418-B417)&gt;0, L417-Y417*(B418-B417)*3600-AD418*Model!$B$16, 0)</f>
        <v>732.52882870351755</v>
      </c>
      <c r="M418" s="56">
        <f t="shared" si="120"/>
        <v>20.424023995149867</v>
      </c>
      <c r="N418" s="56">
        <f>Model!$B$13*I418*K418/(Model!$B$13*I418-L418*287*K418)</f>
        <v>293.42402399514987</v>
      </c>
      <c r="O418" s="56">
        <f t="shared" si="121"/>
        <v>273.66763699757496</v>
      </c>
      <c r="P418" s="56">
        <f t="shared" si="122"/>
        <v>0.66791868771577789</v>
      </c>
      <c r="Q418" s="62">
        <f t="shared" si="123"/>
        <v>2.4047402226827823E-2</v>
      </c>
      <c r="R418" s="33">
        <f t="shared" si="137"/>
        <v>1.3669434247747794E-5</v>
      </c>
      <c r="S418" s="45">
        <f>0.37*Model!$B$10*(Q418^2*(N418-K418)*I418/(R418*O418^2))^0.33333*(N418-K418)</f>
        <v>231144.53540740506</v>
      </c>
      <c r="T418" s="50">
        <f>Model!$B$32+(90-Model!$B$6)*SIN(RADIANS(-15*(E418+6)))</f>
        <v>-40.157713131315148</v>
      </c>
      <c r="U418" s="45">
        <f t="shared" si="125"/>
        <v>0</v>
      </c>
      <c r="V418" s="50">
        <f t="shared" si="126"/>
        <v>99999</v>
      </c>
      <c r="W418" s="45">
        <f t="shared" si="127"/>
        <v>4.2253521126760563E-2</v>
      </c>
      <c r="X418" s="45">
        <f>0.3*W418*Model!$B$9</f>
        <v>3.8275201289827652</v>
      </c>
      <c r="Y418" s="33">
        <f>(S418-X418)/Model!$B$11</f>
        <v>4.9585049423420801E-3</v>
      </c>
      <c r="Z418" s="45">
        <f t="shared" si="128"/>
        <v>1.6558990340120084E-3</v>
      </c>
      <c r="AA418" s="56">
        <f>Y418/Model!$B$12*3600</f>
        <v>32.10398415976168</v>
      </c>
      <c r="AB418" s="50">
        <f t="shared" si="134"/>
        <v>380.43042795470603</v>
      </c>
      <c r="AC418" s="50">
        <f t="shared" si="138"/>
        <v>1419.5695720452941</v>
      </c>
      <c r="AD418" s="15">
        <f>IF(AE418=0, Model!$B$19, 0 )</f>
        <v>0</v>
      </c>
      <c r="AE418" s="50">
        <f>IF(AE417+AB417-AB418&lt;Model!$B$19*Model!$B$18, AE417+AB417-AB418,  0)</f>
        <v>63.204145751407509</v>
      </c>
      <c r="AF418" s="15">
        <f t="shared" si="130"/>
        <v>20.800000000000161</v>
      </c>
      <c r="AG418" s="50">
        <f t="shared" si="131"/>
        <v>0</v>
      </c>
    </row>
    <row r="419" spans="2:33" x14ac:dyDescent="0.25">
      <c r="B419" s="13">
        <f t="shared" si="132"/>
        <v>20.850000000000161</v>
      </c>
      <c r="C419" s="13">
        <f>B419+Model!$B$4</f>
        <v>22.850000000000161</v>
      </c>
      <c r="D419" s="13">
        <f t="shared" si="133"/>
        <v>1</v>
      </c>
      <c r="E419" s="13">
        <f t="shared" ref="E419:E482" si="139">C419-24*(D419-1)</f>
        <v>22.850000000000161</v>
      </c>
      <c r="F419" s="14">
        <f>IF(AB419&gt;0, VLOOKUP(B419,Model!$A$40:$B$60, 2), 0)</f>
        <v>300</v>
      </c>
      <c r="G419" s="13">
        <f>IF(AB419&gt;0, VLOOKUP(B419,Model!$A$39:$C$58, 3), 0)</f>
        <v>1</v>
      </c>
      <c r="H419" s="13">
        <f t="shared" si="118"/>
        <v>97</v>
      </c>
      <c r="I419" s="46">
        <f>Model!$B$21*EXP((-0.029*9.81*F419)/(8.31*(273+J419)))</f>
        <v>100357.4491247143</v>
      </c>
      <c r="J419" s="13">
        <f>IF(Model!$B$31="Summer",  IF(F419&lt;=2000,  Model!$B$20-Model!$B$35*F419/1000,  IF(F419&lt;Model!$B$36,  Model!$B$33-6.5*F419/1000,  Model!$B$38)),     IF(F419&lt;=2000,  Model!$B$20-Model!$B$35*F419/1000,  IF(F419&lt;Model!$B$36,  Model!$B$33-5.4*F419/1000,   Model!$B$38)))</f>
        <v>-19.088750000000001</v>
      </c>
      <c r="K419" s="13">
        <f t="shared" si="119"/>
        <v>253.91125</v>
      </c>
      <c r="L419" s="46">
        <f>IF(AB418-AA418*(B419-B418)&gt;0, L418-Y418*(B419-B418)*3600-AD419*Model!$B$16, 0)</f>
        <v>731.63629781389591</v>
      </c>
      <c r="M419" s="57">
        <f t="shared" si="120"/>
        <v>20.368399325767541</v>
      </c>
      <c r="N419" s="57">
        <f>Model!$B$13*I419*K419/(Model!$B$13*I419-L419*287*K419)</f>
        <v>293.36839932576754</v>
      </c>
      <c r="O419" s="57">
        <f t="shared" si="121"/>
        <v>273.63982466288377</v>
      </c>
      <c r="P419" s="57">
        <f t="shared" si="122"/>
        <v>0.64010635302461516</v>
      </c>
      <c r="Q419" s="63">
        <f t="shared" si="123"/>
        <v>2.4045427551064747E-2</v>
      </c>
      <c r="R419" s="17">
        <f t="shared" si="137"/>
        <v>1.3666541764939911E-5</v>
      </c>
      <c r="S419" s="46">
        <f>0.37*Model!$B$10*(Q419^2*(N419-K419)*I419/(R419*O419^2))^0.33333*(N419-K419)</f>
        <v>230730.05233872065</v>
      </c>
      <c r="T419" s="51">
        <f>Model!$B$32+(90-Model!$B$6)*SIN(RADIANS(-15*(E419+6)))</f>
        <v>-40.296433116986293</v>
      </c>
      <c r="U419" s="46">
        <f t="shared" si="125"/>
        <v>0</v>
      </c>
      <c r="V419" s="51">
        <f t="shared" si="126"/>
        <v>99999</v>
      </c>
      <c r="W419" s="46">
        <f t="shared" si="127"/>
        <v>4.2253521126760563E-2</v>
      </c>
      <c r="X419" s="46">
        <f>0.3*W419*Model!$B$9</f>
        <v>3.8275201289827652</v>
      </c>
      <c r="Y419" s="17">
        <f>(S419-X419)/Model!$B$11</f>
        <v>4.9496133180004648E-3</v>
      </c>
      <c r="Z419" s="46">
        <f t="shared" si="128"/>
        <v>1.658873688185108E-3</v>
      </c>
      <c r="AA419" s="57">
        <f>Y419/Model!$B$12*3600</f>
        <v>32.046415079900498</v>
      </c>
      <c r="AB419" s="51">
        <f t="shared" si="134"/>
        <v>378.82522874671793</v>
      </c>
      <c r="AC419" s="51">
        <f t="shared" si="138"/>
        <v>1421.174771253282</v>
      </c>
      <c r="AD419" s="13">
        <f>IF(AE419=0, Model!$B$19, 0 )</f>
        <v>0</v>
      </c>
      <c r="AE419" s="51">
        <f>IF(AE418+AB418-AB419&lt;Model!$B$19*Model!$B$18, AE418+AB418-AB419,  0)</f>
        <v>64.809344959395617</v>
      </c>
      <c r="AF419" s="13">
        <f t="shared" si="130"/>
        <v>20.850000000000161</v>
      </c>
      <c r="AG419" s="50">
        <f t="shared" si="131"/>
        <v>0</v>
      </c>
    </row>
    <row r="420" spans="2:33" x14ac:dyDescent="0.25">
      <c r="B420" s="15">
        <f t="shared" si="132"/>
        <v>20.900000000000162</v>
      </c>
      <c r="C420" s="15">
        <f>B420+Model!$B$4</f>
        <v>22.900000000000162</v>
      </c>
      <c r="D420" s="15">
        <f t="shared" si="133"/>
        <v>1</v>
      </c>
      <c r="E420" s="15">
        <f t="shared" si="139"/>
        <v>22.900000000000162</v>
      </c>
      <c r="F420" s="16">
        <f>IF(AB420&gt;0, VLOOKUP(B420,Model!$A$40:$B$60, 2), 0)</f>
        <v>300</v>
      </c>
      <c r="G420" s="15">
        <f>IF(AB420&gt;0, VLOOKUP(B420,Model!$A$39:$C$58, 3), 0)</f>
        <v>1</v>
      </c>
      <c r="H420" s="15">
        <f t="shared" si="118"/>
        <v>97</v>
      </c>
      <c r="I420" s="45">
        <f>Model!$B$21*EXP((-0.029*9.81*F420)/(8.31*(273+J420)))</f>
        <v>100357.4491247143</v>
      </c>
      <c r="J420" s="15">
        <f>IF(Model!$B$31="Summer",  IF(F420&lt;=2000,  Model!$B$20-Model!$B$35*F420/1000,  IF(F420&lt;Model!$B$36,  Model!$B$33-6.5*F420/1000,  Model!$B$38)),     IF(F420&lt;=2000,  Model!$B$20-Model!$B$35*F420/1000,  IF(F420&lt;Model!$B$36,  Model!$B$33-5.4*F420/1000,   Model!$B$38)))</f>
        <v>-19.088750000000001</v>
      </c>
      <c r="K420" s="15">
        <f t="shared" si="119"/>
        <v>253.91125</v>
      </c>
      <c r="L420" s="45">
        <f>IF(AB419-AA419*(B420-B419)&gt;0, L419-Y419*(B420-B419)*3600-AD420*Model!$B$16, 0)</f>
        <v>730.74536741665577</v>
      </c>
      <c r="M420" s="56">
        <f t="shared" si="120"/>
        <v>20.312895431885408</v>
      </c>
      <c r="N420" s="56">
        <f>Model!$B$13*I420*K420/(Model!$B$13*I420-L420*287*K420)</f>
        <v>293.31289543188541</v>
      </c>
      <c r="O420" s="56">
        <f t="shared" si="121"/>
        <v>273.6120727159427</v>
      </c>
      <c r="P420" s="56">
        <f t="shared" si="122"/>
        <v>0.61235440608354885</v>
      </c>
      <c r="Q420" s="62">
        <f t="shared" si="123"/>
        <v>2.4043457162831933E-2</v>
      </c>
      <c r="R420" s="33">
        <f t="shared" si="137"/>
        <v>1.366365556245804E-5</v>
      </c>
      <c r="S420" s="45">
        <f>0.37*Model!$B$10*(Q420^2*(N420-K420)*I420/(R420*O420^2))^0.33333*(N420-K420)</f>
        <v>230316.60570169138</v>
      </c>
      <c r="T420" s="50">
        <f>Model!$B$32+(90-Model!$B$6)*SIN(RADIANS(-15*(E420+6)))</f>
        <v>-40.429425781371506</v>
      </c>
      <c r="U420" s="45">
        <f t="shared" si="125"/>
        <v>0</v>
      </c>
      <c r="V420" s="50">
        <f t="shared" si="126"/>
        <v>99999</v>
      </c>
      <c r="W420" s="45">
        <f t="shared" si="127"/>
        <v>4.2253521126760563E-2</v>
      </c>
      <c r="X420" s="45">
        <f>0.3*W420*Model!$B$9</f>
        <v>3.8275201289827652</v>
      </c>
      <c r="Y420" s="33">
        <f>(S420-X420)/Model!$B$11</f>
        <v>4.9407439275246682E-3</v>
      </c>
      <c r="Z420" s="45">
        <f t="shared" si="128"/>
        <v>1.661851570503002E-3</v>
      </c>
      <c r="AA420" s="56">
        <f>Y420/Model!$B$12*3600</f>
        <v>31.988989953848847</v>
      </c>
      <c r="AB420" s="50">
        <f t="shared" si="134"/>
        <v>377.22290799272287</v>
      </c>
      <c r="AC420" s="50">
        <f t="shared" si="138"/>
        <v>1422.7770920072771</v>
      </c>
      <c r="AD420" s="15">
        <f>IF(AE420=0, Model!$B$19, 0 )</f>
        <v>0</v>
      </c>
      <c r="AE420" s="50">
        <f>IF(AE419+AB419-AB420&lt;Model!$B$19*Model!$B$18, AE419+AB419-AB420,  0)</f>
        <v>66.411665713390676</v>
      </c>
      <c r="AF420" s="15">
        <f t="shared" si="130"/>
        <v>20.900000000000162</v>
      </c>
      <c r="AG420" s="50">
        <f t="shared" si="131"/>
        <v>0</v>
      </c>
    </row>
    <row r="421" spans="2:33" x14ac:dyDescent="0.25">
      <c r="B421" s="13">
        <f t="shared" si="132"/>
        <v>20.950000000000163</v>
      </c>
      <c r="C421" s="13">
        <f>B421+Model!$B$4</f>
        <v>22.950000000000163</v>
      </c>
      <c r="D421" s="13">
        <f t="shared" si="133"/>
        <v>1</v>
      </c>
      <c r="E421" s="13">
        <f t="shared" si="139"/>
        <v>22.950000000000163</v>
      </c>
      <c r="F421" s="14">
        <f>IF(AB421&gt;0, VLOOKUP(B421,Model!$A$40:$B$60, 2), 0)</f>
        <v>300</v>
      </c>
      <c r="G421" s="13">
        <f>IF(AB421&gt;0, VLOOKUP(B421,Model!$A$39:$C$58, 3), 0)</f>
        <v>1</v>
      </c>
      <c r="H421" s="13">
        <f t="shared" si="118"/>
        <v>97</v>
      </c>
      <c r="I421" s="46">
        <f>Model!$B$21*EXP((-0.029*9.81*F421)/(8.31*(273+J421)))</f>
        <v>100357.4491247143</v>
      </c>
      <c r="J421" s="13">
        <f>IF(Model!$B$31="Summer",  IF(F421&lt;=2000,  Model!$B$20-Model!$B$35*F421/1000,  IF(F421&lt;Model!$B$36,  Model!$B$33-6.5*F421/1000,  Model!$B$38)),     IF(F421&lt;=2000,  Model!$B$20-Model!$B$35*F421/1000,  IF(F421&lt;Model!$B$36,  Model!$B$33-5.4*F421/1000,   Model!$B$38)))</f>
        <v>-19.088750000000001</v>
      </c>
      <c r="K421" s="13">
        <f t="shared" si="119"/>
        <v>253.91125</v>
      </c>
      <c r="L421" s="46">
        <f>IF(AB420-AA420*(B421-B420)&gt;0, L420-Y420*(B421-B420)*3600-AD421*Model!$B$16, 0)</f>
        <v>729.85603350970132</v>
      </c>
      <c r="M421" s="57">
        <f t="shared" si="120"/>
        <v>20.257511939198878</v>
      </c>
      <c r="N421" s="57">
        <f>Model!$B$13*I421*K421/(Model!$B$13*I421-L421*287*K421)</f>
        <v>293.25751193919888</v>
      </c>
      <c r="O421" s="57">
        <f t="shared" si="121"/>
        <v>273.58438096959947</v>
      </c>
      <c r="P421" s="57">
        <f t="shared" si="122"/>
        <v>0.58466265974028353</v>
      </c>
      <c r="Q421" s="63">
        <f t="shared" si="123"/>
        <v>2.4041491048841561E-2</v>
      </c>
      <c r="R421" s="17">
        <f t="shared" si="137"/>
        <v>1.3660775620838343E-5</v>
      </c>
      <c r="S421" s="46">
        <f>0.37*Model!$B$10*(Q421^2*(N421-K421)*I421/(R421*O421^2))^0.33333*(N421-K421)</f>
        <v>229904.19203146259</v>
      </c>
      <c r="T421" s="51">
        <f>Model!$B$32+(90-Model!$B$6)*SIN(RADIANS(-15*(E421+6)))</f>
        <v>-40.55666833686238</v>
      </c>
      <c r="U421" s="46">
        <f t="shared" si="125"/>
        <v>0</v>
      </c>
      <c r="V421" s="51">
        <f t="shared" si="126"/>
        <v>99999</v>
      </c>
      <c r="W421" s="46">
        <f t="shared" si="127"/>
        <v>4.2253521126760563E-2</v>
      </c>
      <c r="X421" s="46">
        <f>0.3*W421*Model!$B$9</f>
        <v>3.8275201289827652</v>
      </c>
      <c r="Y421" s="17">
        <f>(S421-X421)/Model!$B$11</f>
        <v>4.9318966965855113E-3</v>
      </c>
      <c r="Z421" s="46">
        <f t="shared" si="128"/>
        <v>1.6648326831982976E-3</v>
      </c>
      <c r="AA421" s="57">
        <f>Y421/Model!$B$12*3600</f>
        <v>31.931708300360309</v>
      </c>
      <c r="AB421" s="51">
        <f t="shared" si="134"/>
        <v>375.62345849503038</v>
      </c>
      <c r="AC421" s="51">
        <f t="shared" si="138"/>
        <v>1424.3765415049697</v>
      </c>
      <c r="AD421" s="13">
        <f>IF(AE421=0, Model!$B$19, 0 )</f>
        <v>0</v>
      </c>
      <c r="AE421" s="51">
        <f>IF(AE420+AB420-AB421&lt;Model!$B$19*Model!$B$18, AE420+AB420-AB421,  0)</f>
        <v>68.011115211083165</v>
      </c>
      <c r="AF421" s="13">
        <f t="shared" si="130"/>
        <v>20.950000000000163</v>
      </c>
      <c r="AG421" s="50">
        <f t="shared" si="131"/>
        <v>0</v>
      </c>
    </row>
    <row r="422" spans="2:33" x14ac:dyDescent="0.25">
      <c r="B422" s="15">
        <f t="shared" si="132"/>
        <v>21.000000000000163</v>
      </c>
      <c r="C422" s="15">
        <f>B422+Model!$B$4</f>
        <v>23.000000000000163</v>
      </c>
      <c r="D422" s="15">
        <f t="shared" si="133"/>
        <v>1</v>
      </c>
      <c r="E422" s="15">
        <f t="shared" si="139"/>
        <v>23.000000000000163</v>
      </c>
      <c r="F422" s="16">
        <f>IF(AB422&gt;0, VLOOKUP(B422,Model!$A$40:$B$60, 2), 0)</f>
        <v>300</v>
      </c>
      <c r="G422" s="15">
        <f>IF(AB422&gt;0, VLOOKUP(B422,Model!$A$39:$C$58, 3), 0)</f>
        <v>1</v>
      </c>
      <c r="H422" s="15">
        <f t="shared" si="118"/>
        <v>97</v>
      </c>
      <c r="I422" s="45">
        <f>Model!$B$21*EXP((-0.029*9.81*F422)/(8.31*(273+J422)))</f>
        <v>100357.4491247143</v>
      </c>
      <c r="J422" s="15">
        <f>IF(Model!$B$31="Summer",  IF(F422&lt;=2000,  Model!$B$20-Model!$B$35*F422/1000,  IF(F422&lt;Model!$B$36,  Model!$B$33-6.5*F422/1000,  Model!$B$38)),     IF(F422&lt;=2000,  Model!$B$20-Model!$B$35*F422/1000,  IF(F422&lt;Model!$B$36,  Model!$B$33-5.4*F422/1000,   Model!$B$38)))</f>
        <v>-19.088750000000001</v>
      </c>
      <c r="K422" s="15">
        <f t="shared" si="119"/>
        <v>253.91125</v>
      </c>
      <c r="L422" s="45">
        <f>IF(AB421-AA421*(B422-B421)&gt;0, L421-Y421*(B422-B421)*3600-AD422*Model!$B$16, 0)</f>
        <v>728.96829210431588</v>
      </c>
      <c r="M422" s="56">
        <f t="shared" si="120"/>
        <v>20.202248474952341</v>
      </c>
      <c r="N422" s="56">
        <f>Model!$B$13*I422*K422/(Model!$B$13*I422-L422*287*K422)</f>
        <v>293.20224847495234</v>
      </c>
      <c r="O422" s="56">
        <f t="shared" si="121"/>
        <v>273.5567492374762</v>
      </c>
      <c r="P422" s="56">
        <f t="shared" si="122"/>
        <v>0.55703092761701534</v>
      </c>
      <c r="Q422" s="62">
        <f t="shared" si="123"/>
        <v>2.4039529195860811E-2</v>
      </c>
      <c r="R422" s="33">
        <f t="shared" si="137"/>
        <v>1.3657901920697523E-5</v>
      </c>
      <c r="S422" s="45">
        <f>0.37*Model!$B$10*(Q422^2*(N422-K422)*I422/(R422*O422^2))^0.33333*(N422-K422)</f>
        <v>229492.80787807083</v>
      </c>
      <c r="T422" s="50">
        <f>Model!$B$32+(90-Model!$B$6)*SIN(RADIANS(-15*(E422+6)))</f>
        <v>-40.678138981102101</v>
      </c>
      <c r="U422" s="45">
        <f t="shared" si="125"/>
        <v>0</v>
      </c>
      <c r="V422" s="50">
        <f t="shared" si="126"/>
        <v>99999</v>
      </c>
      <c r="W422" s="45">
        <f t="shared" si="127"/>
        <v>4.2253521126760563E-2</v>
      </c>
      <c r="X422" s="45">
        <f>0.3*W422*Model!$B$9</f>
        <v>3.8275201289827652</v>
      </c>
      <c r="Y422" s="33">
        <f>(S422-X422)/Model!$B$11</f>
        <v>4.923071551173267E-3</v>
      </c>
      <c r="Z422" s="45">
        <f t="shared" si="128"/>
        <v>1.667817028504144E-3</v>
      </c>
      <c r="AA422" s="56">
        <f>Y422/Model!$B$12*3600</f>
        <v>31.874569640256752</v>
      </c>
      <c r="AB422" s="50">
        <f t="shared" si="134"/>
        <v>374.02687308001236</v>
      </c>
      <c r="AC422" s="50">
        <f t="shared" si="138"/>
        <v>1425.9731269199876</v>
      </c>
      <c r="AD422" s="15">
        <f>IF(AE422=0, Model!$B$19, 0 )</f>
        <v>0</v>
      </c>
      <c r="AE422" s="50">
        <f>IF(AE421+AB421-AB422&lt;Model!$B$19*Model!$B$18, AE421+AB421-AB422,  0)</f>
        <v>69.607700626101177</v>
      </c>
      <c r="AF422" s="15">
        <f t="shared" si="130"/>
        <v>21.000000000000163</v>
      </c>
      <c r="AG422" s="50">
        <f t="shared" si="131"/>
        <v>0</v>
      </c>
    </row>
    <row r="423" spans="2:33" x14ac:dyDescent="0.25">
      <c r="B423" s="13">
        <f t="shared" si="132"/>
        <v>21.050000000000164</v>
      </c>
      <c r="C423" s="13">
        <f>B423+Model!$B$4</f>
        <v>23.050000000000164</v>
      </c>
      <c r="D423" s="13">
        <f t="shared" si="133"/>
        <v>1</v>
      </c>
      <c r="E423" s="13">
        <f t="shared" si="139"/>
        <v>23.050000000000164</v>
      </c>
      <c r="F423" s="14">
        <f>IF(AB423&gt;0, VLOOKUP(B423,Model!$A$40:$B$60, 2), 0)</f>
        <v>300</v>
      </c>
      <c r="G423" s="13">
        <f>IF(AB423&gt;0, VLOOKUP(B423,Model!$A$39:$C$58, 3), 0)</f>
        <v>1</v>
      </c>
      <c r="H423" s="13">
        <f t="shared" si="118"/>
        <v>97</v>
      </c>
      <c r="I423" s="46">
        <f>Model!$B$21*EXP((-0.029*9.81*F423)/(8.31*(273+J423)))</f>
        <v>100357.4491247143</v>
      </c>
      <c r="J423" s="13">
        <f>IF(Model!$B$31="Summer",  IF(F423&lt;=2000,  Model!$B$20-Model!$B$35*F423/1000,  IF(F423&lt;Model!$B$36,  Model!$B$33-6.5*F423/1000,  Model!$B$38)),     IF(F423&lt;=2000,  Model!$B$20-Model!$B$35*F423/1000,  IF(F423&lt;Model!$B$36,  Model!$B$33-5.4*F423/1000,   Model!$B$38)))</f>
        <v>-19.088750000000001</v>
      </c>
      <c r="K423" s="13">
        <f t="shared" si="119"/>
        <v>253.91125</v>
      </c>
      <c r="L423" s="46">
        <f>IF(AB422-AA422*(B423-B422)&gt;0, L422-Y422*(B423-B422)*3600-AD423*Model!$B$16, 0)</f>
        <v>728.0821392251047</v>
      </c>
      <c r="M423" s="57">
        <f t="shared" si="120"/>
        <v>20.147104667930762</v>
      </c>
      <c r="N423" s="57">
        <f>Model!$B$13*I423*K423/(Model!$B$13*I423-L423*287*K423)</f>
        <v>293.14710466793076</v>
      </c>
      <c r="O423" s="57">
        <f t="shared" si="121"/>
        <v>273.52917733396538</v>
      </c>
      <c r="P423" s="57">
        <f t="shared" si="122"/>
        <v>0.52945902410622558</v>
      </c>
      <c r="Q423" s="63">
        <f t="shared" si="123"/>
        <v>2.4037571590711543E-2</v>
      </c>
      <c r="R423" s="17">
        <f t="shared" si="137"/>
        <v>1.3655034442732399E-5</v>
      </c>
      <c r="S423" s="46">
        <f>0.37*Model!$B$10*(Q423^2*(N423-K423)*I423/(R423*O423^2))^0.33333*(N423-K423)</f>
        <v>229082.44980636187</v>
      </c>
      <c r="T423" s="51">
        <f>Model!$B$32+(90-Model!$B$6)*SIN(RADIANS(-15*(E423+6)))</f>
        <v>-40.793816900721097</v>
      </c>
      <c r="U423" s="46">
        <f t="shared" si="125"/>
        <v>0</v>
      </c>
      <c r="V423" s="51">
        <f t="shared" si="126"/>
        <v>99999</v>
      </c>
      <c r="W423" s="46">
        <f t="shared" si="127"/>
        <v>4.2253521126760563E-2</v>
      </c>
      <c r="X423" s="46">
        <f>0.3*W423*Model!$B$9</f>
        <v>3.8275201289827652</v>
      </c>
      <c r="Y423" s="17">
        <f>(S423-X423)/Model!$B$11</f>
        <v>4.9142684175959E-3</v>
      </c>
      <c r="Z423" s="46">
        <f t="shared" si="128"/>
        <v>1.6708046086542554E-3</v>
      </c>
      <c r="AA423" s="57">
        <f>Y423/Model!$B$12*3600</f>
        <v>31.817573496416962</v>
      </c>
      <c r="AB423" s="51">
        <f t="shared" si="134"/>
        <v>372.4331445979995</v>
      </c>
      <c r="AC423" s="51">
        <f t="shared" si="138"/>
        <v>1427.5668554020006</v>
      </c>
      <c r="AD423" s="13">
        <f>IF(AE423=0, Model!$B$19, 0 )</f>
        <v>0</v>
      </c>
      <c r="AE423" s="51">
        <f>IF(AE422+AB422-AB423&lt;Model!$B$19*Model!$B$18, AE422+AB422-AB423,  0)</f>
        <v>71.201429108114041</v>
      </c>
      <c r="AF423" s="13">
        <f t="shared" si="130"/>
        <v>21.050000000000164</v>
      </c>
      <c r="AG423" s="50">
        <f t="shared" si="131"/>
        <v>0</v>
      </c>
    </row>
    <row r="424" spans="2:33" x14ac:dyDescent="0.25">
      <c r="B424" s="15">
        <f t="shared" si="132"/>
        <v>21.100000000000165</v>
      </c>
      <c r="C424" s="15">
        <f>B424+Model!$B$4</f>
        <v>23.100000000000165</v>
      </c>
      <c r="D424" s="15">
        <f t="shared" si="133"/>
        <v>1</v>
      </c>
      <c r="E424" s="15">
        <f t="shared" si="139"/>
        <v>23.100000000000165</v>
      </c>
      <c r="F424" s="16">
        <f>IF(AB424&gt;0, VLOOKUP(B424,Model!$A$40:$B$60, 2), 0)</f>
        <v>300</v>
      </c>
      <c r="G424" s="15">
        <f>IF(AB424&gt;0, VLOOKUP(B424,Model!$A$39:$C$58, 3), 0)</f>
        <v>1</v>
      </c>
      <c r="H424" s="15">
        <f t="shared" si="118"/>
        <v>97</v>
      </c>
      <c r="I424" s="45">
        <f>Model!$B$21*EXP((-0.029*9.81*F424)/(8.31*(273+J424)))</f>
        <v>100357.4491247143</v>
      </c>
      <c r="J424" s="15">
        <f>IF(Model!$B$31="Summer",  IF(F424&lt;=2000,  Model!$B$20-Model!$B$35*F424/1000,  IF(F424&lt;Model!$B$36,  Model!$B$33-6.5*F424/1000,  Model!$B$38)),     IF(F424&lt;=2000,  Model!$B$20-Model!$B$35*F424/1000,  IF(F424&lt;Model!$B$36,  Model!$B$33-5.4*F424/1000,   Model!$B$38)))</f>
        <v>-19.088750000000001</v>
      </c>
      <c r="K424" s="15">
        <f t="shared" si="119"/>
        <v>253.91125</v>
      </c>
      <c r="L424" s="45">
        <f>IF(AB423-AA423*(B424-B423)&gt;0, L423-Y423*(B424-B423)*3600-AD424*Model!$B$16, 0)</f>
        <v>727.19757090993744</v>
      </c>
      <c r="M424" s="56">
        <f t="shared" si="120"/>
        <v>20.092080148452055</v>
      </c>
      <c r="N424" s="56">
        <f>Model!$B$13*I424*K424/(Model!$B$13*I424-L424*287*K424)</f>
        <v>293.09208014845206</v>
      </c>
      <c r="O424" s="56">
        <f t="shared" si="121"/>
        <v>273.50166507422603</v>
      </c>
      <c r="P424" s="56">
        <f t="shared" si="122"/>
        <v>0.50194676436687224</v>
      </c>
      <c r="Q424" s="62">
        <f t="shared" si="123"/>
        <v>2.4035618220270047E-2</v>
      </c>
      <c r="R424" s="33">
        <f t="shared" si="137"/>
        <v>1.3652173167719507E-5</v>
      </c>
      <c r="S424" s="45">
        <f>0.37*Model!$B$10*(Q424^2*(N424-K424)*I424/(R424*O424^2))^0.33333*(N424-K424)</f>
        <v>228673.11439591553</v>
      </c>
      <c r="T424" s="50">
        <f>Model!$B$32+(90-Model!$B$6)*SIN(RADIANS(-15*(E424+6)))</f>
        <v>-40.90368227490336</v>
      </c>
      <c r="U424" s="45">
        <f t="shared" si="125"/>
        <v>0</v>
      </c>
      <c r="V424" s="50">
        <f t="shared" si="126"/>
        <v>99999</v>
      </c>
      <c r="W424" s="45">
        <f t="shared" si="127"/>
        <v>4.2253521126760563E-2</v>
      </c>
      <c r="X424" s="45">
        <f>0.3*W424*Model!$B$9</f>
        <v>3.8275201289827652</v>
      </c>
      <c r="Y424" s="33">
        <f>(S424-X424)/Model!$B$11</f>
        <v>4.9054872224774549E-3</v>
      </c>
      <c r="Z424" s="45">
        <f t="shared" si="128"/>
        <v>1.6737954258828824E-3</v>
      </c>
      <c r="AA424" s="56">
        <f>Y424/Model!$B$12*3600</f>
        <v>31.760719393766177</v>
      </c>
      <c r="AB424" s="50">
        <f t="shared" si="134"/>
        <v>370.84226592317862</v>
      </c>
      <c r="AC424" s="50">
        <f t="shared" si="138"/>
        <v>1429.1577340768213</v>
      </c>
      <c r="AD424" s="15">
        <f>IF(AE424=0, Model!$B$19, 0 )</f>
        <v>0</v>
      </c>
      <c r="AE424" s="50">
        <f>IF(AE423+AB423-AB424&lt;Model!$B$19*Model!$B$18, AE423+AB423-AB424,  0)</f>
        <v>72.792307782934927</v>
      </c>
      <c r="AF424" s="15">
        <f t="shared" si="130"/>
        <v>21.100000000000165</v>
      </c>
      <c r="AG424" s="50">
        <f t="shared" si="131"/>
        <v>0</v>
      </c>
    </row>
    <row r="425" spans="2:33" x14ac:dyDescent="0.25">
      <c r="B425" s="13">
        <f t="shared" si="132"/>
        <v>21.150000000000166</v>
      </c>
      <c r="C425" s="13">
        <f>B425+Model!$B$4</f>
        <v>23.150000000000166</v>
      </c>
      <c r="D425" s="13">
        <f t="shared" si="133"/>
        <v>1</v>
      </c>
      <c r="E425" s="13">
        <f t="shared" si="139"/>
        <v>23.150000000000166</v>
      </c>
      <c r="F425" s="14">
        <f>IF(AB425&gt;0, VLOOKUP(B425,Model!$A$40:$B$60, 2), 0)</f>
        <v>300</v>
      </c>
      <c r="G425" s="13">
        <f>IF(AB425&gt;0, VLOOKUP(B425,Model!$A$39:$C$58, 3), 0)</f>
        <v>1</v>
      </c>
      <c r="H425" s="13">
        <f t="shared" si="118"/>
        <v>97</v>
      </c>
      <c r="I425" s="46">
        <f>Model!$B$21*EXP((-0.029*9.81*F425)/(8.31*(273+J425)))</f>
        <v>100357.4491247143</v>
      </c>
      <c r="J425" s="13">
        <f>IF(Model!$B$31="Summer",  IF(F425&lt;=2000,  Model!$B$20-Model!$B$35*F425/1000,  IF(F425&lt;Model!$B$36,  Model!$B$33-6.5*F425/1000,  Model!$B$38)),     IF(F425&lt;=2000,  Model!$B$20-Model!$B$35*F425/1000,  IF(F425&lt;Model!$B$36,  Model!$B$33-5.4*F425/1000,   Model!$B$38)))</f>
        <v>-19.088750000000001</v>
      </c>
      <c r="K425" s="13">
        <f t="shared" si="119"/>
        <v>253.91125</v>
      </c>
      <c r="L425" s="46">
        <f>IF(AB424-AA424*(B425-B424)&gt;0, L424-Y424*(B425-B424)*3600-AD425*Model!$B$16, 0)</f>
        <v>726.31458320989145</v>
      </c>
      <c r="M425" s="57">
        <f t="shared" si="120"/>
        <v>20.037174548358735</v>
      </c>
      <c r="N425" s="57">
        <f>Model!$B$13*I425*K425/(Model!$B$13*I425-L425*287*K425)</f>
        <v>293.03717454835873</v>
      </c>
      <c r="O425" s="57">
        <f t="shared" si="121"/>
        <v>273.47421227417937</v>
      </c>
      <c r="P425" s="57">
        <f t="shared" si="122"/>
        <v>0.4744939643202119</v>
      </c>
      <c r="Q425" s="63">
        <f t="shared" si="123"/>
        <v>2.4033669071466736E-2</v>
      </c>
      <c r="R425" s="17">
        <f t="shared" si="137"/>
        <v>1.3649318076514652E-5</v>
      </c>
      <c r="S425" s="46">
        <f>0.37*Model!$B$10*(Q425^2*(N425-K425)*I425/(R425*O425^2))^0.33333*(N425-K425)</f>
        <v>228264.79824096474</v>
      </c>
      <c r="T425" s="51">
        <f>Model!$B$32+(90-Model!$B$6)*SIN(RADIANS(-15*(E425+6)))</f>
        <v>-41.007716278782603</v>
      </c>
      <c r="U425" s="46">
        <f t="shared" si="125"/>
        <v>0</v>
      </c>
      <c r="V425" s="51">
        <f t="shared" si="126"/>
        <v>99999</v>
      </c>
      <c r="W425" s="46">
        <f t="shared" si="127"/>
        <v>4.2253521126760563E-2</v>
      </c>
      <c r="X425" s="46">
        <f>0.3*W425*Model!$B$9</f>
        <v>3.8275201289827652</v>
      </c>
      <c r="Y425" s="17">
        <f>(S425-X425)/Model!$B$11</f>
        <v>4.8967278927563177E-3</v>
      </c>
      <c r="Z425" s="46">
        <f t="shared" si="128"/>
        <v>1.6767894824248344E-3</v>
      </c>
      <c r="AA425" s="57">
        <f>Y425/Model!$B$12*3600</f>
        <v>31.704006859264858</v>
      </c>
      <c r="AB425" s="51">
        <f t="shared" si="134"/>
        <v>369.25422995349027</v>
      </c>
      <c r="AC425" s="51">
        <f t="shared" si="138"/>
        <v>1430.7457700465097</v>
      </c>
      <c r="AD425" s="13">
        <f>IF(AE425=0, Model!$B$19, 0 )</f>
        <v>0</v>
      </c>
      <c r="AE425" s="51">
        <f>IF(AE424+AB424-AB425&lt;Model!$B$19*Model!$B$18, AE424+AB424-AB425,  0)</f>
        <v>74.380343752623276</v>
      </c>
      <c r="AF425" s="13">
        <f t="shared" si="130"/>
        <v>21.150000000000166</v>
      </c>
      <c r="AG425" s="50">
        <f t="shared" si="131"/>
        <v>0</v>
      </c>
    </row>
    <row r="426" spans="2:33" x14ac:dyDescent="0.25">
      <c r="B426" s="15">
        <f t="shared" si="132"/>
        <v>21.200000000000166</v>
      </c>
      <c r="C426" s="15">
        <f>B426+Model!$B$4</f>
        <v>23.200000000000166</v>
      </c>
      <c r="D426" s="15">
        <f t="shared" si="133"/>
        <v>1</v>
      </c>
      <c r="E426" s="15">
        <f t="shared" si="139"/>
        <v>23.200000000000166</v>
      </c>
      <c r="F426" s="16">
        <f>IF(AB426&gt;0, VLOOKUP(B426,Model!$A$40:$B$60, 2), 0)</f>
        <v>300</v>
      </c>
      <c r="G426" s="15">
        <f>IF(AB426&gt;0, VLOOKUP(B426,Model!$A$39:$C$58, 3), 0)</f>
        <v>1</v>
      </c>
      <c r="H426" s="15">
        <f t="shared" si="118"/>
        <v>97</v>
      </c>
      <c r="I426" s="45">
        <f>Model!$B$21*EXP((-0.029*9.81*F426)/(8.31*(273+J426)))</f>
        <v>100357.4491247143</v>
      </c>
      <c r="J426" s="15">
        <f>IF(Model!$B$31="Summer",  IF(F426&lt;=2000,  Model!$B$20-Model!$B$35*F426/1000,  IF(F426&lt;Model!$B$36,  Model!$B$33-6.5*F426/1000,  Model!$B$38)),     IF(F426&lt;=2000,  Model!$B$20-Model!$B$35*F426/1000,  IF(F426&lt;Model!$B$36,  Model!$B$33-5.4*F426/1000,   Model!$B$38)))</f>
        <v>-19.088750000000001</v>
      </c>
      <c r="K426" s="15">
        <f t="shared" si="119"/>
        <v>253.91125</v>
      </c>
      <c r="L426" s="45">
        <f>IF(AB425-AA425*(B426-B425)&gt;0, L425-Y425*(B426-B425)*3600-AD426*Model!$B$16, 0)</f>
        <v>725.43317218919526</v>
      </c>
      <c r="M426" s="56">
        <f t="shared" si="120"/>
        <v>19.98238750101001</v>
      </c>
      <c r="N426" s="56">
        <f>Model!$B$13*I426*K426/(Model!$B$13*I426-L426*287*K426)</f>
        <v>292.98238750101001</v>
      </c>
      <c r="O426" s="56">
        <f t="shared" si="121"/>
        <v>273.44681875050503</v>
      </c>
      <c r="P426" s="56">
        <f t="shared" si="122"/>
        <v>0.44710044064584936</v>
      </c>
      <c r="Q426" s="62">
        <f t="shared" si="123"/>
        <v>2.4031724131285858E-2</v>
      </c>
      <c r="R426" s="33">
        <f t="shared" si="137"/>
        <v>1.3646469150052523E-5</v>
      </c>
      <c r="S426" s="45">
        <f>0.37*Model!$B$10*(Q426^2*(N426-K426)*I426/(R426*O426^2))^0.33333*(N426-K426)</f>
        <v>227857.49795031751</v>
      </c>
      <c r="T426" s="50">
        <f>Model!$B$32+(90-Model!$B$6)*SIN(RADIANS(-15*(E426+6)))</f>
        <v>-41.105901086667842</v>
      </c>
      <c r="U426" s="45">
        <f t="shared" si="125"/>
        <v>0</v>
      </c>
      <c r="V426" s="50">
        <f t="shared" si="126"/>
        <v>99999</v>
      </c>
      <c r="W426" s="45">
        <f t="shared" si="127"/>
        <v>4.2253521126760563E-2</v>
      </c>
      <c r="X426" s="45">
        <f>0.3*W426*Model!$B$9</f>
        <v>3.8275201289827652</v>
      </c>
      <c r="Y426" s="33">
        <f>(S426-X426)/Model!$B$11</f>
        <v>4.8879903556835469E-3</v>
      </c>
      <c r="Z426" s="45">
        <f t="shared" si="128"/>
        <v>1.6797867805154803E-3</v>
      </c>
      <c r="AA426" s="56">
        <f>Y426/Model!$B$12*3600</f>
        <v>31.647435421897878</v>
      </c>
      <c r="AB426" s="50">
        <f t="shared" si="134"/>
        <v>367.66902961052699</v>
      </c>
      <c r="AC426" s="50">
        <f t="shared" si="138"/>
        <v>1432.3309703894729</v>
      </c>
      <c r="AD426" s="15">
        <f>IF(AE426=0, Model!$B$19, 0 )</f>
        <v>0</v>
      </c>
      <c r="AE426" s="50">
        <f>IF(AE425+AB425-AB426&lt;Model!$B$19*Model!$B$18, AE425+AB425-AB426,  0)</f>
        <v>75.965544095586552</v>
      </c>
      <c r="AF426" s="15">
        <f t="shared" si="130"/>
        <v>21.200000000000166</v>
      </c>
      <c r="AG426" s="50">
        <f t="shared" si="131"/>
        <v>0</v>
      </c>
    </row>
    <row r="427" spans="2:33" x14ac:dyDescent="0.25">
      <c r="B427" s="13">
        <f t="shared" si="132"/>
        <v>21.250000000000167</v>
      </c>
      <c r="C427" s="13">
        <f>B427+Model!$B$4</f>
        <v>23.250000000000167</v>
      </c>
      <c r="D427" s="13">
        <f t="shared" si="133"/>
        <v>1</v>
      </c>
      <c r="E427" s="13">
        <f t="shared" si="139"/>
        <v>23.250000000000167</v>
      </c>
      <c r="F427" s="14">
        <f>IF(AB427&gt;0, VLOOKUP(B427,Model!$A$40:$B$60, 2), 0)</f>
        <v>300</v>
      </c>
      <c r="G427" s="13">
        <f>IF(AB427&gt;0, VLOOKUP(B427,Model!$A$39:$C$58, 3), 0)</f>
        <v>1</v>
      </c>
      <c r="H427" s="13">
        <f t="shared" si="118"/>
        <v>97</v>
      </c>
      <c r="I427" s="46">
        <f>Model!$B$21*EXP((-0.029*9.81*F427)/(8.31*(273+J427)))</f>
        <v>100357.4491247143</v>
      </c>
      <c r="J427" s="13">
        <f>IF(Model!$B$31="Summer",  IF(F427&lt;=2000,  Model!$B$20-Model!$B$35*F427/1000,  IF(F427&lt;Model!$B$36,  Model!$B$33-6.5*F427/1000,  Model!$B$38)),     IF(F427&lt;=2000,  Model!$B$20-Model!$B$35*F427/1000,  IF(F427&lt;Model!$B$36,  Model!$B$33-5.4*F427/1000,   Model!$B$38)))</f>
        <v>-19.088750000000001</v>
      </c>
      <c r="K427" s="13">
        <f t="shared" si="119"/>
        <v>253.91125</v>
      </c>
      <c r="L427" s="46">
        <f>IF(AB426-AA426*(B427-B426)&gt;0, L426-Y426*(B427-B426)*3600-AD427*Model!$B$16, 0)</f>
        <v>724.55333392517218</v>
      </c>
      <c r="M427" s="57">
        <f t="shared" si="120"/>
        <v>19.927718641273941</v>
      </c>
      <c r="N427" s="57">
        <f>Model!$B$13*I427*K427/(Model!$B$13*I427-L427*287*K427)</f>
        <v>292.92771864127394</v>
      </c>
      <c r="O427" s="57">
        <f t="shared" si="121"/>
        <v>273.41948432063697</v>
      </c>
      <c r="P427" s="57">
        <f t="shared" si="122"/>
        <v>0.41976601077781511</v>
      </c>
      <c r="Q427" s="63">
        <f t="shared" si="123"/>
        <v>2.4029783386765226E-2</v>
      </c>
      <c r="R427" s="17">
        <f t="shared" si="137"/>
        <v>1.3643626369346244E-5</v>
      </c>
      <c r="S427" s="46">
        <f>0.37*Model!$B$10*(Q427^2*(N427-K427)*I427/(R427*O427^2))^0.33333*(N427-K427)</f>
        <v>227451.21014728112</v>
      </c>
      <c r="T427" s="51">
        <f>Model!$B$32+(90-Model!$B$6)*SIN(RADIANS(-15*(E427+6)))</f>
        <v>-41.198219875097685</v>
      </c>
      <c r="U427" s="46">
        <f t="shared" si="125"/>
        <v>0</v>
      </c>
      <c r="V427" s="51">
        <f t="shared" si="126"/>
        <v>99999</v>
      </c>
      <c r="W427" s="46">
        <f t="shared" si="127"/>
        <v>4.2253521126760563E-2</v>
      </c>
      <c r="X427" s="46">
        <f>0.3*W427*Model!$B$9</f>
        <v>3.8275201289827652</v>
      </c>
      <c r="Y427" s="17">
        <f>(S427-X427)/Model!$B$11</f>
        <v>4.8792745388212405E-3</v>
      </c>
      <c r="Z427" s="46">
        <f t="shared" si="128"/>
        <v>1.6827873223907391E-3</v>
      </c>
      <c r="AA427" s="57">
        <f>Y427/Model!$B$12*3600</f>
        <v>31.591004612663937</v>
      </c>
      <c r="AB427" s="51">
        <f t="shared" si="134"/>
        <v>366.08665783943206</v>
      </c>
      <c r="AC427" s="51">
        <f t="shared" si="138"/>
        <v>1433.9133421605679</v>
      </c>
      <c r="AD427" s="13">
        <f>IF(AE427=0, Model!$B$19, 0 )</f>
        <v>0</v>
      </c>
      <c r="AE427" s="51">
        <f>IF(AE426+AB426-AB427&lt;Model!$B$19*Model!$B$18, AE426+AB426-AB427,  0)</f>
        <v>77.547915866681478</v>
      </c>
      <c r="AF427" s="13">
        <f t="shared" si="130"/>
        <v>21.250000000000167</v>
      </c>
      <c r="AG427" s="50">
        <f t="shared" si="131"/>
        <v>0</v>
      </c>
    </row>
    <row r="428" spans="2:33" x14ac:dyDescent="0.25">
      <c r="B428" s="15">
        <f t="shared" si="132"/>
        <v>21.300000000000168</v>
      </c>
      <c r="C428" s="15">
        <f>B428+Model!$B$4</f>
        <v>23.300000000000168</v>
      </c>
      <c r="D428" s="15">
        <f t="shared" si="133"/>
        <v>1</v>
      </c>
      <c r="E428" s="15">
        <f t="shared" si="139"/>
        <v>23.300000000000168</v>
      </c>
      <c r="F428" s="16">
        <f>IF(AB428&gt;0, VLOOKUP(B428,Model!$A$40:$B$60, 2), 0)</f>
        <v>300</v>
      </c>
      <c r="G428" s="15">
        <f>IF(AB428&gt;0, VLOOKUP(B428,Model!$A$39:$C$58, 3), 0)</f>
        <v>1</v>
      </c>
      <c r="H428" s="15">
        <f t="shared" si="118"/>
        <v>97</v>
      </c>
      <c r="I428" s="45">
        <f>Model!$B$21*EXP((-0.029*9.81*F428)/(8.31*(273+J428)))</f>
        <v>100357.4491247143</v>
      </c>
      <c r="J428" s="15">
        <f>IF(Model!$B$31="Summer",  IF(F428&lt;=2000,  Model!$B$20-Model!$B$35*F428/1000,  IF(F428&lt;Model!$B$36,  Model!$B$33-6.5*F428/1000,  Model!$B$38)),     IF(F428&lt;=2000,  Model!$B$20-Model!$B$35*F428/1000,  IF(F428&lt;Model!$B$36,  Model!$B$33-5.4*F428/1000,   Model!$B$38)))</f>
        <v>-19.088750000000001</v>
      </c>
      <c r="K428" s="15">
        <f t="shared" si="119"/>
        <v>253.91125</v>
      </c>
      <c r="L428" s="45">
        <f>IF(AB427-AA427*(B428-B427)&gt;0, L427-Y427*(B428-B427)*3600-AD428*Model!$B$16, 0)</f>
        <v>723.67506450818439</v>
      </c>
      <c r="M428" s="56">
        <f t="shared" si="120"/>
        <v>19.873167605519711</v>
      </c>
      <c r="N428" s="56">
        <f>Model!$B$13*I428*K428/(Model!$B$13*I428-L428*287*K428)</f>
        <v>292.87316760551971</v>
      </c>
      <c r="O428" s="56">
        <f t="shared" si="121"/>
        <v>273.39220880275985</v>
      </c>
      <c r="P428" s="56">
        <f t="shared" si="122"/>
        <v>0.39249049290070021</v>
      </c>
      <c r="Q428" s="62">
        <f t="shared" si="123"/>
        <v>2.4027846824995949E-2</v>
      </c>
      <c r="R428" s="33">
        <f t="shared" si="137"/>
        <v>1.3640789715487023E-5</v>
      </c>
      <c r="S428" s="45">
        <f>0.37*Model!$B$10*(Q428^2*(N428-K428)*I428/(R428*O428^2))^0.33333*(N428-K428)</f>
        <v>227045.9314695849</v>
      </c>
      <c r="T428" s="50">
        <f>Model!$B$32+(90-Model!$B$6)*SIN(RADIANS(-15*(E428+6)))</f>
        <v>-41.284656825723012</v>
      </c>
      <c r="U428" s="45">
        <f t="shared" si="125"/>
        <v>0</v>
      </c>
      <c r="V428" s="50">
        <f t="shared" si="126"/>
        <v>99999</v>
      </c>
      <c r="W428" s="45">
        <f t="shared" si="127"/>
        <v>4.2253521126760563E-2</v>
      </c>
      <c r="X428" s="45">
        <f>0.3*W428*Model!$B$9</f>
        <v>3.8275201289827652</v>
      </c>
      <c r="Y428" s="33">
        <f>(S428-X428)/Model!$B$11</f>
        <v>4.8705803700408862E-3</v>
      </c>
      <c r="Z428" s="45">
        <f t="shared" si="128"/>
        <v>1.6857911102870831E-3</v>
      </c>
      <c r="AA428" s="56">
        <f>Y428/Model!$B$12*3600</f>
        <v>31.534713964564883</v>
      </c>
      <c r="AB428" s="50">
        <f t="shared" si="134"/>
        <v>364.50710760879883</v>
      </c>
      <c r="AC428" s="50">
        <f t="shared" si="138"/>
        <v>1435.4928923912012</v>
      </c>
      <c r="AD428" s="15">
        <f>IF(AE428=0, Model!$B$19, 0 )</f>
        <v>0</v>
      </c>
      <c r="AE428" s="50">
        <f>IF(AE427+AB427-AB428&lt;Model!$B$19*Model!$B$18, AE427+AB427-AB428,  0)</f>
        <v>79.127466097314709</v>
      </c>
      <c r="AF428" s="15">
        <f t="shared" si="130"/>
        <v>21.300000000000168</v>
      </c>
      <c r="AG428" s="50">
        <f t="shared" si="131"/>
        <v>0</v>
      </c>
    </row>
    <row r="429" spans="2:33" x14ac:dyDescent="0.25">
      <c r="B429" s="13">
        <f t="shared" si="132"/>
        <v>21.350000000000168</v>
      </c>
      <c r="C429" s="13">
        <f>B429+Model!$B$4</f>
        <v>23.350000000000168</v>
      </c>
      <c r="D429" s="13">
        <f t="shared" si="133"/>
        <v>1</v>
      </c>
      <c r="E429" s="13">
        <f t="shared" si="139"/>
        <v>23.350000000000168</v>
      </c>
      <c r="F429" s="14">
        <f>IF(AB429&gt;0, VLOOKUP(B429,Model!$A$40:$B$60, 2), 0)</f>
        <v>300</v>
      </c>
      <c r="G429" s="13">
        <f>IF(AB429&gt;0, VLOOKUP(B429,Model!$A$39:$C$58, 3), 0)</f>
        <v>1</v>
      </c>
      <c r="H429" s="13">
        <f t="shared" si="118"/>
        <v>97</v>
      </c>
      <c r="I429" s="46">
        <f>Model!$B$21*EXP((-0.029*9.81*F429)/(8.31*(273+J429)))</f>
        <v>100357.4491247143</v>
      </c>
      <c r="J429" s="13">
        <f>IF(Model!$B$31="Summer",  IF(F429&lt;=2000,  Model!$B$20-Model!$B$35*F429/1000,  IF(F429&lt;Model!$B$36,  Model!$B$33-6.5*F429/1000,  Model!$B$38)),     IF(F429&lt;=2000,  Model!$B$20-Model!$B$35*F429/1000,  IF(F429&lt;Model!$B$36,  Model!$B$33-5.4*F429/1000,   Model!$B$38)))</f>
        <v>-19.088750000000001</v>
      </c>
      <c r="K429" s="13">
        <f t="shared" si="119"/>
        <v>253.91125</v>
      </c>
      <c r="L429" s="46">
        <f>IF(AB428-AA428*(B429-B428)&gt;0, L428-Y428*(B429-B428)*3600-AD429*Model!$B$16, 0)</f>
        <v>722.79836004157698</v>
      </c>
      <c r="M429" s="57">
        <f t="shared" si="120"/>
        <v>19.818734031609665</v>
      </c>
      <c r="N429" s="57">
        <f>Model!$B$13*I429*K429/(Model!$B$13*I429-L429*287*K429)</f>
        <v>292.81873403160967</v>
      </c>
      <c r="O429" s="57">
        <f t="shared" si="121"/>
        <v>273.36499201580483</v>
      </c>
      <c r="P429" s="57">
        <f t="shared" si="122"/>
        <v>0.36527370594567715</v>
      </c>
      <c r="Q429" s="63">
        <f t="shared" si="123"/>
        <v>2.4025914433122145E-2</v>
      </c>
      <c r="R429" s="17">
        <f t="shared" si="137"/>
        <v>1.3637959169643701E-5</v>
      </c>
      <c r="S429" s="46">
        <f>0.37*Model!$B$10*(Q429^2*(N429-K429)*I429/(R429*O429^2))^0.33333*(N429-K429)</f>
        <v>226641.6585693034</v>
      </c>
      <c r="T429" s="51">
        <f>Model!$B$32+(90-Model!$B$6)*SIN(RADIANS(-15*(E429+6)))</f>
        <v>-41.3651971280173</v>
      </c>
      <c r="U429" s="46">
        <f t="shared" si="125"/>
        <v>0</v>
      </c>
      <c r="V429" s="51">
        <f t="shared" si="126"/>
        <v>99999</v>
      </c>
      <c r="W429" s="46">
        <f t="shared" si="127"/>
        <v>4.2253521126760563E-2</v>
      </c>
      <c r="X429" s="46">
        <f>0.3*W429*Model!$B$9</f>
        <v>3.8275201289827652</v>
      </c>
      <c r="Y429" s="17">
        <f>(S429-X429)/Model!$B$11</f>
        <v>4.861907777521708E-3</v>
      </c>
      <c r="Z429" s="46">
        <f t="shared" si="128"/>
        <v>1.6887981464415425E-3</v>
      </c>
      <c r="AA429" s="57">
        <f>Y429/Model!$B$12*3600</f>
        <v>31.478563012595021</v>
      </c>
      <c r="AB429" s="51">
        <f t="shared" si="134"/>
        <v>362.93037191057056</v>
      </c>
      <c r="AC429" s="51">
        <f t="shared" si="138"/>
        <v>1437.0696280894294</v>
      </c>
      <c r="AD429" s="13">
        <f>IF(AE429=0, Model!$B$19, 0 )</f>
        <v>0</v>
      </c>
      <c r="AE429" s="51">
        <f>IF(AE428+AB428-AB429&lt;Model!$B$19*Model!$B$18, AE428+AB428-AB429,  0)</f>
        <v>80.704201795542986</v>
      </c>
      <c r="AF429" s="13">
        <f t="shared" si="130"/>
        <v>21.350000000000168</v>
      </c>
      <c r="AG429" s="50">
        <f t="shared" si="131"/>
        <v>0</v>
      </c>
    </row>
    <row r="430" spans="2:33" x14ac:dyDescent="0.25">
      <c r="B430" s="15">
        <f t="shared" si="132"/>
        <v>21.400000000000169</v>
      </c>
      <c r="C430" s="15">
        <f>B430+Model!$B$4</f>
        <v>23.400000000000169</v>
      </c>
      <c r="D430" s="15">
        <f t="shared" si="133"/>
        <v>1</v>
      </c>
      <c r="E430" s="15">
        <f t="shared" si="139"/>
        <v>23.400000000000169</v>
      </c>
      <c r="F430" s="16">
        <f>IF(AB430&gt;0, VLOOKUP(B430,Model!$A$40:$B$60, 2), 0)</f>
        <v>300</v>
      </c>
      <c r="G430" s="15">
        <f>IF(AB430&gt;0, VLOOKUP(B430,Model!$A$39:$C$58, 3), 0)</f>
        <v>1</v>
      </c>
      <c r="H430" s="15">
        <f t="shared" si="118"/>
        <v>97</v>
      </c>
      <c r="I430" s="45">
        <f>Model!$B$21*EXP((-0.029*9.81*F430)/(8.31*(273+J430)))</f>
        <v>100357.4491247143</v>
      </c>
      <c r="J430" s="15">
        <f>IF(Model!$B$31="Summer",  IF(F430&lt;=2000,  Model!$B$20-Model!$B$35*F430/1000,  IF(F430&lt;Model!$B$36,  Model!$B$33-6.5*F430/1000,  Model!$B$38)),     IF(F430&lt;=2000,  Model!$B$20-Model!$B$35*F430/1000,  IF(F430&lt;Model!$B$36,  Model!$B$33-5.4*F430/1000,   Model!$B$38)))</f>
        <v>-19.088750000000001</v>
      </c>
      <c r="K430" s="15">
        <f t="shared" si="119"/>
        <v>253.91125</v>
      </c>
      <c r="L430" s="45">
        <f>IF(AB429-AA429*(B430-B429)&gt;0, L429-Y429*(B430-B429)*3600-AD430*Model!$B$16, 0)</f>
        <v>721.92321664162307</v>
      </c>
      <c r="M430" s="56">
        <f t="shared" si="120"/>
        <v>19.764417558891466</v>
      </c>
      <c r="N430" s="56">
        <f>Model!$B$13*I430*K430/(Model!$B$13*I430-L430*287*K430)</f>
        <v>292.76441755889147</v>
      </c>
      <c r="O430" s="56">
        <f t="shared" si="121"/>
        <v>273.33783377944576</v>
      </c>
      <c r="P430" s="56">
        <f t="shared" si="122"/>
        <v>0.33811546958657773</v>
      </c>
      <c r="Q430" s="62">
        <f t="shared" si="123"/>
        <v>2.402398619834065E-2</v>
      </c>
      <c r="R430" s="33">
        <f t="shared" si="137"/>
        <v>1.3635134713062358E-5</v>
      </c>
      <c r="S430" s="45">
        <f>0.37*Model!$B$10*(Q430^2*(N430-K430)*I430/(R430*O430^2))^0.33333*(N430-K430)</f>
        <v>226238.38811278009</v>
      </c>
      <c r="T430" s="50">
        <f>Model!$B$32+(90-Model!$B$6)*SIN(RADIANS(-15*(E430+6)))</f>
        <v>-41.439826981814385</v>
      </c>
      <c r="U430" s="45">
        <f t="shared" si="125"/>
        <v>0</v>
      </c>
      <c r="V430" s="50">
        <f t="shared" si="126"/>
        <v>99999</v>
      </c>
      <c r="W430" s="45">
        <f t="shared" si="127"/>
        <v>4.2253521126760563E-2</v>
      </c>
      <c r="X430" s="45">
        <f>0.3*W430*Model!$B$9</f>
        <v>3.8275201289827652</v>
      </c>
      <c r="Y430" s="33">
        <f>(S430-X430)/Model!$B$11</f>
        <v>4.8532566897490316E-3</v>
      </c>
      <c r="Z430" s="45">
        <f t="shared" si="128"/>
        <v>1.6918084330917096E-3</v>
      </c>
      <c r="AA430" s="56">
        <f>Y430/Model!$B$12*3600</f>
        <v>31.422551293730521</v>
      </c>
      <c r="AB430" s="50">
        <f t="shared" si="134"/>
        <v>361.35644375994076</v>
      </c>
      <c r="AC430" s="50">
        <f t="shared" si="138"/>
        <v>1438.6435562400593</v>
      </c>
      <c r="AD430" s="15">
        <f>IF(AE430=0, Model!$B$19, 0 )</f>
        <v>0</v>
      </c>
      <c r="AE430" s="50">
        <f>IF(AE429+AB429-AB430&lt;Model!$B$19*Model!$B$18, AE429+AB429-AB430,  0)</f>
        <v>82.278129946172783</v>
      </c>
      <c r="AF430" s="15">
        <f t="shared" si="130"/>
        <v>21.400000000000169</v>
      </c>
      <c r="AG430" s="50">
        <f t="shared" si="131"/>
        <v>0</v>
      </c>
    </row>
    <row r="431" spans="2:33" x14ac:dyDescent="0.25">
      <c r="B431" s="13">
        <f t="shared" si="132"/>
        <v>21.45000000000017</v>
      </c>
      <c r="C431" s="13">
        <f>B431+Model!$B$4</f>
        <v>23.45000000000017</v>
      </c>
      <c r="D431" s="13">
        <f t="shared" si="133"/>
        <v>1</v>
      </c>
      <c r="E431" s="13">
        <f t="shared" si="139"/>
        <v>23.45000000000017</v>
      </c>
      <c r="F431" s="14">
        <f>IF(AB431&gt;0, VLOOKUP(B431,Model!$A$40:$B$60, 2), 0)</f>
        <v>300</v>
      </c>
      <c r="G431" s="13">
        <f>IF(AB431&gt;0, VLOOKUP(B431,Model!$A$39:$C$58, 3), 0)</f>
        <v>1</v>
      </c>
      <c r="H431" s="13">
        <f t="shared" si="118"/>
        <v>97</v>
      </c>
      <c r="I431" s="46">
        <f>Model!$B$21*EXP((-0.029*9.81*F431)/(8.31*(273+J431)))</f>
        <v>100357.4491247143</v>
      </c>
      <c r="J431" s="13">
        <f>IF(Model!$B$31="Summer",  IF(F431&lt;=2000,  Model!$B$20-Model!$B$35*F431/1000,  IF(F431&lt;Model!$B$36,  Model!$B$33-6.5*F431/1000,  Model!$B$38)),     IF(F431&lt;=2000,  Model!$B$20-Model!$B$35*F431/1000,  IF(F431&lt;Model!$B$36,  Model!$B$33-5.4*F431/1000,   Model!$B$38)))</f>
        <v>-19.088750000000001</v>
      </c>
      <c r="K431" s="13">
        <f t="shared" si="119"/>
        <v>253.91125</v>
      </c>
      <c r="L431" s="46">
        <f>IF(AB430-AA430*(B431-B430)&gt;0, L430-Y430*(B431-B430)*3600-AD431*Model!$B$16, 0)</f>
        <v>721.04963043746818</v>
      </c>
      <c r="M431" s="57">
        <f t="shared" si="120"/>
        <v>19.71021782819065</v>
      </c>
      <c r="N431" s="57">
        <f>Model!$B$13*I431*K431/(Model!$B$13*I431-L431*287*K431)</f>
        <v>292.71021782819065</v>
      </c>
      <c r="O431" s="57">
        <f t="shared" si="121"/>
        <v>273.31073391409529</v>
      </c>
      <c r="P431" s="57">
        <f t="shared" si="122"/>
        <v>0.31101560423616975</v>
      </c>
      <c r="Q431" s="63">
        <f t="shared" si="123"/>
        <v>2.4022062107900765E-2</v>
      </c>
      <c r="R431" s="17">
        <f t="shared" si="137"/>
        <v>1.363231632706591E-5</v>
      </c>
      <c r="S431" s="46">
        <f>0.37*Model!$B$10*(Q431^2*(N431-K431)*I431/(R431*O431^2))^0.33333*(N431-K431)</f>
        <v>225836.1167805531</v>
      </c>
      <c r="T431" s="51">
        <f>Model!$B$32+(90-Model!$B$6)*SIN(RADIANS(-15*(E431+6)))</f>
        <v>-41.508533599673001</v>
      </c>
      <c r="U431" s="46">
        <f t="shared" si="125"/>
        <v>0</v>
      </c>
      <c r="V431" s="51">
        <f t="shared" si="126"/>
        <v>99999</v>
      </c>
      <c r="W431" s="46">
        <f t="shared" si="127"/>
        <v>4.2253521126760563E-2</v>
      </c>
      <c r="X431" s="46">
        <f>0.3*W431*Model!$B$9</f>
        <v>3.8275201289827652</v>
      </c>
      <c r="Y431" s="17">
        <f>(S431-X431)/Model!$B$11</f>
        <v>4.8446270355126915E-3</v>
      </c>
      <c r="Z431" s="46">
        <f t="shared" si="128"/>
        <v>1.694821972475731E-3</v>
      </c>
      <c r="AA431" s="57">
        <f>Y431/Model!$B$12*3600</f>
        <v>31.366678346919091</v>
      </c>
      <c r="AB431" s="51">
        <f t="shared" si="134"/>
        <v>359.78531619525421</v>
      </c>
      <c r="AC431" s="51">
        <f t="shared" si="138"/>
        <v>1440.2146838047458</v>
      </c>
      <c r="AD431" s="13">
        <f>IF(AE431=0, Model!$B$19, 0 )</f>
        <v>0</v>
      </c>
      <c r="AE431" s="51">
        <f>IF(AE430+AB430-AB431&lt;Model!$B$19*Model!$B$18, AE430+AB430-AB431,  0)</f>
        <v>83.849257510859331</v>
      </c>
      <c r="AF431" s="13">
        <f t="shared" si="130"/>
        <v>21.45000000000017</v>
      </c>
      <c r="AG431" s="50">
        <f t="shared" si="131"/>
        <v>0</v>
      </c>
    </row>
    <row r="432" spans="2:33" x14ac:dyDescent="0.25">
      <c r="B432" s="15">
        <f t="shared" si="132"/>
        <v>21.500000000000171</v>
      </c>
      <c r="C432" s="15">
        <f>B432+Model!$B$4</f>
        <v>23.500000000000171</v>
      </c>
      <c r="D432" s="15">
        <f t="shared" si="133"/>
        <v>1</v>
      </c>
      <c r="E432" s="15">
        <f t="shared" si="139"/>
        <v>23.500000000000171</v>
      </c>
      <c r="F432" s="16">
        <f>IF(AB432&gt;0, VLOOKUP(B432,Model!$A$40:$B$60, 2), 0)</f>
        <v>300</v>
      </c>
      <c r="G432" s="15">
        <f>IF(AB432&gt;0, VLOOKUP(B432,Model!$A$39:$C$58, 3), 0)</f>
        <v>1</v>
      </c>
      <c r="H432" s="15">
        <f t="shared" si="118"/>
        <v>97</v>
      </c>
      <c r="I432" s="45">
        <f>Model!$B$21*EXP((-0.029*9.81*F432)/(8.31*(273+J432)))</f>
        <v>100357.4491247143</v>
      </c>
      <c r="J432" s="15">
        <f>IF(Model!$B$31="Summer",  IF(F432&lt;=2000,  Model!$B$20-Model!$B$35*F432/1000,  IF(F432&lt;Model!$B$36,  Model!$B$33-6.5*F432/1000,  Model!$B$38)),     IF(F432&lt;=2000,  Model!$B$20-Model!$B$35*F432/1000,  IF(F432&lt;Model!$B$36,  Model!$B$33-5.4*F432/1000,   Model!$B$38)))</f>
        <v>-19.088750000000001</v>
      </c>
      <c r="K432" s="15">
        <f t="shared" si="119"/>
        <v>253.91125</v>
      </c>
      <c r="L432" s="45">
        <f>IF(AB431-AA431*(B432-B431)&gt;0, L431-Y431*(B432-B431)*3600-AD432*Model!$B$16, 0)</f>
        <v>720.17759757107592</v>
      </c>
      <c r="M432" s="56">
        <f t="shared" si="120"/>
        <v>19.656134481802781</v>
      </c>
      <c r="N432" s="56">
        <f>Model!$B$13*I432*K432/(Model!$B$13*I432-L432*287*K432)</f>
        <v>292.65613448180278</v>
      </c>
      <c r="O432" s="56">
        <f t="shared" si="121"/>
        <v>273.28369224090136</v>
      </c>
      <c r="P432" s="56">
        <f t="shared" si="122"/>
        <v>0.28397393104223484</v>
      </c>
      <c r="Q432" s="62">
        <f t="shared" si="123"/>
        <v>2.4020142149103998E-2</v>
      </c>
      <c r="R432" s="33">
        <f t="shared" si="137"/>
        <v>1.362950399305374E-5</v>
      </c>
      <c r="S432" s="45">
        <f>0.37*Model!$B$10*(Q432^2*(N432-K432)*I432/(R432*O432^2))^0.33333*(N432-K432)</f>
        <v>225434.84126727999</v>
      </c>
      <c r="T432" s="50">
        <f>Model!$B$32+(90-Model!$B$6)*SIN(RADIANS(-15*(E432+6)))</f>
        <v>-41.571305209067887</v>
      </c>
      <c r="U432" s="45">
        <f t="shared" si="125"/>
        <v>0</v>
      </c>
      <c r="V432" s="50">
        <f t="shared" si="126"/>
        <v>99999</v>
      </c>
      <c r="W432" s="45">
        <f t="shared" si="127"/>
        <v>4.2253521126760563E-2</v>
      </c>
      <c r="X432" s="45">
        <f>0.3*W432*Model!$B$9</f>
        <v>3.8275201289827652</v>
      </c>
      <c r="Y432" s="33">
        <f>(S432-X432)/Model!$B$11</f>
        <v>4.8360187439054165E-3</v>
      </c>
      <c r="Z432" s="45">
        <f t="shared" si="128"/>
        <v>1.6978387668323113E-3</v>
      </c>
      <c r="AA432" s="56">
        <f>Y432/Model!$B$12*3600</f>
        <v>31.310943713069552</v>
      </c>
      <c r="AB432" s="50">
        <f t="shared" si="134"/>
        <v>358.21698227790824</v>
      </c>
      <c r="AC432" s="50">
        <f t="shared" si="138"/>
        <v>1441.7830177220917</v>
      </c>
      <c r="AD432" s="15">
        <f>IF(AE432=0, Model!$B$19, 0 )</f>
        <v>0</v>
      </c>
      <c r="AE432" s="50">
        <f>IF(AE431+AB431-AB432&lt;Model!$B$19*Model!$B$18, AE431+AB431-AB432,  0)</f>
        <v>85.417591428205299</v>
      </c>
      <c r="AF432" s="15">
        <f t="shared" si="130"/>
        <v>21.500000000000171</v>
      </c>
      <c r="AG432" s="50">
        <f t="shared" si="131"/>
        <v>0</v>
      </c>
    </row>
    <row r="433" spans="2:33" x14ac:dyDescent="0.25">
      <c r="B433" s="13">
        <f t="shared" si="132"/>
        <v>21.550000000000171</v>
      </c>
      <c r="C433" s="13">
        <f>B433+Model!$B$4</f>
        <v>23.550000000000171</v>
      </c>
      <c r="D433" s="13">
        <f t="shared" si="133"/>
        <v>1</v>
      </c>
      <c r="E433" s="13">
        <f t="shared" si="139"/>
        <v>23.550000000000171</v>
      </c>
      <c r="F433" s="14">
        <f>IF(AB433&gt;0, VLOOKUP(B433,Model!$A$40:$B$60, 2), 0)</f>
        <v>300</v>
      </c>
      <c r="G433" s="13">
        <f>IF(AB433&gt;0, VLOOKUP(B433,Model!$A$39:$C$58, 3), 0)</f>
        <v>1</v>
      </c>
      <c r="H433" s="13">
        <f t="shared" si="118"/>
        <v>97</v>
      </c>
      <c r="I433" s="46">
        <f>Model!$B$21*EXP((-0.029*9.81*F433)/(8.31*(273+J433)))</f>
        <v>100357.4491247143</v>
      </c>
      <c r="J433" s="13">
        <f>IF(Model!$B$31="Summer",  IF(F433&lt;=2000,  Model!$B$20-Model!$B$35*F433/1000,  IF(F433&lt;Model!$B$36,  Model!$B$33-6.5*F433/1000,  Model!$B$38)),     IF(F433&lt;=2000,  Model!$B$20-Model!$B$35*F433/1000,  IF(F433&lt;Model!$B$36,  Model!$B$33-5.4*F433/1000,   Model!$B$38)))</f>
        <v>-19.088750000000001</v>
      </c>
      <c r="K433" s="13">
        <f t="shared" si="119"/>
        <v>253.91125</v>
      </c>
      <c r="L433" s="46">
        <f>IF(AB432-AA432*(B433-B432)&gt;0, L432-Y432*(B433-B432)*3600-AD433*Model!$B$16, 0)</f>
        <v>719.30711419717295</v>
      </c>
      <c r="M433" s="57">
        <f t="shared" si="120"/>
        <v>19.602167163486001</v>
      </c>
      <c r="N433" s="57">
        <f>Model!$B$13*I433*K433/(Model!$B$13*I433-L433*287*K433)</f>
        <v>292.602167163486</v>
      </c>
      <c r="O433" s="57">
        <f t="shared" si="121"/>
        <v>273.256708581743</v>
      </c>
      <c r="P433" s="57">
        <f t="shared" si="122"/>
        <v>0.25699027188384521</v>
      </c>
      <c r="Q433" s="63">
        <f t="shared" si="123"/>
        <v>2.4018226309303753E-2</v>
      </c>
      <c r="R433" s="17">
        <f t="shared" si="137"/>
        <v>1.3626697692501271E-5</v>
      </c>
      <c r="S433" s="46">
        <f>0.37*Model!$B$10*(Q433^2*(N433-K433)*I433/(R433*O433^2))^0.33333*(N433-K433)</f>
        <v>225034.55828166314</v>
      </c>
      <c r="T433" s="51">
        <f>Model!$B$32+(90-Model!$B$6)*SIN(RADIANS(-15*(E433+6)))</f>
        <v>-41.628131054406929</v>
      </c>
      <c r="U433" s="46">
        <f t="shared" si="125"/>
        <v>0</v>
      </c>
      <c r="V433" s="51">
        <f t="shared" si="126"/>
        <v>99999</v>
      </c>
      <c r="W433" s="46">
        <f t="shared" si="127"/>
        <v>4.2253521126760563E-2</v>
      </c>
      <c r="X433" s="46">
        <f>0.3*W433*Model!$B$9</f>
        <v>3.8275201289827652</v>
      </c>
      <c r="Y433" s="17">
        <f>(S433-X433)/Model!$B$11</f>
        <v>4.8274317443212306E-3</v>
      </c>
      <c r="Z433" s="46">
        <f t="shared" si="128"/>
        <v>1.7008588184007154E-3</v>
      </c>
      <c r="AA433" s="57">
        <f>Y433/Model!$B$12*3600</f>
        <v>31.255346935041466</v>
      </c>
      <c r="AB433" s="51">
        <f t="shared" si="134"/>
        <v>356.65143509225476</v>
      </c>
      <c r="AC433" s="51">
        <f t="shared" si="138"/>
        <v>1443.3485649077452</v>
      </c>
      <c r="AD433" s="13">
        <f>IF(AE433=0, Model!$B$19, 0 )</f>
        <v>0</v>
      </c>
      <c r="AE433" s="51">
        <f>IF(AE432+AB432-AB433&lt;Model!$B$19*Model!$B$18, AE432+AB432-AB433,  0)</f>
        <v>86.983138613858785</v>
      </c>
      <c r="AF433" s="13">
        <f t="shared" si="130"/>
        <v>21.550000000000171</v>
      </c>
      <c r="AG433" s="50">
        <f t="shared" si="131"/>
        <v>0</v>
      </c>
    </row>
    <row r="434" spans="2:33" x14ac:dyDescent="0.25">
      <c r="B434" s="15">
        <f t="shared" si="132"/>
        <v>21.600000000000172</v>
      </c>
      <c r="C434" s="15">
        <f>B434+Model!$B$4</f>
        <v>23.600000000000172</v>
      </c>
      <c r="D434" s="15">
        <f t="shared" si="133"/>
        <v>1</v>
      </c>
      <c r="E434" s="15">
        <f t="shared" si="139"/>
        <v>23.600000000000172</v>
      </c>
      <c r="F434" s="16">
        <f>IF(AB434&gt;0, VLOOKUP(B434,Model!$A$40:$B$60, 2), 0)</f>
        <v>300</v>
      </c>
      <c r="G434" s="15">
        <f>IF(AB434&gt;0, VLOOKUP(B434,Model!$A$39:$C$58, 3), 0)</f>
        <v>1</v>
      </c>
      <c r="H434" s="15">
        <f t="shared" si="118"/>
        <v>97</v>
      </c>
      <c r="I434" s="45">
        <f>Model!$B$21*EXP((-0.029*9.81*F434)/(8.31*(273+J434)))</f>
        <v>100357.4491247143</v>
      </c>
      <c r="J434" s="15">
        <f>IF(Model!$B$31="Summer",  IF(F434&lt;=2000,  Model!$B$20-Model!$B$35*F434/1000,  IF(F434&lt;Model!$B$36,  Model!$B$33-6.5*F434/1000,  Model!$B$38)),     IF(F434&lt;=2000,  Model!$B$20-Model!$B$35*F434/1000,  IF(F434&lt;Model!$B$36,  Model!$B$33-5.4*F434/1000,   Model!$B$38)))</f>
        <v>-19.088750000000001</v>
      </c>
      <c r="K434" s="15">
        <f t="shared" si="119"/>
        <v>253.91125</v>
      </c>
      <c r="L434" s="45">
        <f>IF(AB433-AA433*(B434-B433)&gt;0, L433-Y433*(B434-B433)*3600-AD434*Model!$B$16, 0)</f>
        <v>718.43817648319509</v>
      </c>
      <c r="M434" s="56">
        <f t="shared" si="120"/>
        <v>19.548315518453194</v>
      </c>
      <c r="N434" s="56">
        <f>Model!$B$13*I434*K434/(Model!$B$13*I434-L434*287*K434)</f>
        <v>292.54831551845319</v>
      </c>
      <c r="O434" s="56">
        <f t="shared" si="121"/>
        <v>273.22978275922662</v>
      </c>
      <c r="P434" s="56">
        <f t="shared" si="122"/>
        <v>0.23006444936744147</v>
      </c>
      <c r="Q434" s="62">
        <f t="shared" si="123"/>
        <v>2.4016314575905091E-2</v>
      </c>
      <c r="R434" s="33">
        <f t="shared" si="137"/>
        <v>1.3623897406959567E-5</v>
      </c>
      <c r="S434" s="45">
        <f>0.37*Model!$B$10*(Q434^2*(N434-K434)*I434/(R434*O434^2))^0.33333*(N434-K434)</f>
        <v>224635.26454637496</v>
      </c>
      <c r="T434" s="50">
        <f>Model!$B$32+(90-Model!$B$6)*SIN(RADIANS(-15*(E434+6)))</f>
        <v>-41.67900139887405</v>
      </c>
      <c r="U434" s="45">
        <f t="shared" si="125"/>
        <v>0</v>
      </c>
      <c r="V434" s="50">
        <f t="shared" si="126"/>
        <v>99999</v>
      </c>
      <c r="W434" s="45">
        <f t="shared" si="127"/>
        <v>4.2253521126760563E-2</v>
      </c>
      <c r="X434" s="45">
        <f>0.3*W434*Model!$B$9</f>
        <v>3.8275201289827652</v>
      </c>
      <c r="Y434" s="33">
        <f>(S434-X434)/Model!$B$11</f>
        <v>4.8188659664538452E-3</v>
      </c>
      <c r="Z434" s="45">
        <f t="shared" si="128"/>
        <v>1.7038821294207752E-3</v>
      </c>
      <c r="AA434" s="56">
        <f>Y434/Model!$B$12*3600</f>
        <v>31.199887557634717</v>
      </c>
      <c r="AB434" s="50">
        <f t="shared" si="134"/>
        <v>355.08866774550268</v>
      </c>
      <c r="AC434" s="50">
        <f t="shared" si="138"/>
        <v>1444.9113322544972</v>
      </c>
      <c r="AD434" s="15">
        <f>IF(AE434=0, Model!$B$19, 0 )</f>
        <v>0</v>
      </c>
      <c r="AE434" s="50">
        <f>IF(AE433+AB433-AB434&lt;Model!$B$19*Model!$B$18, AE433+AB433-AB434,  0)</f>
        <v>88.545905960610867</v>
      </c>
      <c r="AF434" s="15">
        <f t="shared" si="130"/>
        <v>21.600000000000172</v>
      </c>
      <c r="AG434" s="50">
        <f t="shared" si="131"/>
        <v>0</v>
      </c>
    </row>
    <row r="435" spans="2:33" x14ac:dyDescent="0.25">
      <c r="B435" s="13">
        <f t="shared" si="132"/>
        <v>21.650000000000173</v>
      </c>
      <c r="C435" s="13">
        <f>B435+Model!$B$4</f>
        <v>23.650000000000173</v>
      </c>
      <c r="D435" s="13">
        <f t="shared" si="133"/>
        <v>1</v>
      </c>
      <c r="E435" s="13">
        <f t="shared" si="139"/>
        <v>23.650000000000173</v>
      </c>
      <c r="F435" s="14">
        <f>IF(AB435&gt;0, VLOOKUP(B435,Model!$A$40:$B$60, 2), 0)</f>
        <v>300</v>
      </c>
      <c r="G435" s="13">
        <f>IF(AB435&gt;0, VLOOKUP(B435,Model!$A$39:$C$58, 3), 0)</f>
        <v>1</v>
      </c>
      <c r="H435" s="13">
        <f t="shared" si="118"/>
        <v>97</v>
      </c>
      <c r="I435" s="46">
        <f>Model!$B$21*EXP((-0.029*9.81*F435)/(8.31*(273+J435)))</f>
        <v>100357.4491247143</v>
      </c>
      <c r="J435" s="13">
        <f>IF(Model!$B$31="Summer",  IF(F435&lt;=2000,  Model!$B$20-Model!$B$35*F435/1000,  IF(F435&lt;Model!$B$36,  Model!$B$33-6.5*F435/1000,  Model!$B$38)),     IF(F435&lt;=2000,  Model!$B$20-Model!$B$35*F435/1000,  IF(F435&lt;Model!$B$36,  Model!$B$33-5.4*F435/1000,   Model!$B$38)))</f>
        <v>-19.088750000000001</v>
      </c>
      <c r="K435" s="13">
        <f t="shared" si="119"/>
        <v>253.91125</v>
      </c>
      <c r="L435" s="46">
        <f>IF(AB434-AA434*(B435-B434)&gt;0, L434-Y434*(B435-B434)*3600-AD435*Model!$B$16, 0)</f>
        <v>717.57078060923334</v>
      </c>
      <c r="M435" s="57">
        <f t="shared" si="120"/>
        <v>19.494579193364814</v>
      </c>
      <c r="N435" s="57">
        <f>Model!$B$13*I435*K435/(Model!$B$13*I435-L435*287*K435)</f>
        <v>292.49457919336481</v>
      </c>
      <c r="O435" s="57">
        <f t="shared" si="121"/>
        <v>273.20291459668238</v>
      </c>
      <c r="P435" s="57">
        <f t="shared" si="122"/>
        <v>0.20319628682325147</v>
      </c>
      <c r="Q435" s="63">
        <f t="shared" si="123"/>
        <v>2.401440693636445E-2</v>
      </c>
      <c r="R435" s="17">
        <f t="shared" si="137"/>
        <v>1.3621103118054965E-5</v>
      </c>
      <c r="S435" s="46">
        <f>0.37*Model!$B$10*(Q435^2*(N435-K435)*I435/(R435*O435^2))^0.33333*(N435-K435)</f>
        <v>224236.95679798647</v>
      </c>
      <c r="T435" s="51">
        <f>Model!$B$32+(90-Model!$B$6)*SIN(RADIANS(-15*(E435+6)))</f>
        <v>-41.723907526097626</v>
      </c>
      <c r="U435" s="46">
        <f t="shared" si="125"/>
        <v>0</v>
      </c>
      <c r="V435" s="51">
        <f t="shared" si="126"/>
        <v>99999</v>
      </c>
      <c r="W435" s="46">
        <f t="shared" si="127"/>
        <v>4.2253521126760563E-2</v>
      </c>
      <c r="X435" s="46">
        <f>0.3*W435*Model!$B$9</f>
        <v>3.8275201289827652</v>
      </c>
      <c r="Y435" s="17">
        <f>(S435-X435)/Model!$B$11</f>
        <v>4.81032134029513E-3</v>
      </c>
      <c r="Z435" s="46">
        <f t="shared" si="128"/>
        <v>1.7069087021328744E-3</v>
      </c>
      <c r="AA435" s="57">
        <f>Y435/Model!$B$12*3600</f>
        <v>31.144565127579639</v>
      </c>
      <c r="AB435" s="51">
        <f t="shared" si="134"/>
        <v>353.52867336762091</v>
      </c>
      <c r="AC435" s="51">
        <f t="shared" si="138"/>
        <v>1446.471326632379</v>
      </c>
      <c r="AD435" s="13">
        <f>IF(AE435=0, Model!$B$19, 0 )</f>
        <v>0</v>
      </c>
      <c r="AE435" s="51">
        <f>IF(AE434+AB434-AB435&lt;Model!$B$19*Model!$B$18, AE434+AB434-AB435,  0)</f>
        <v>90.105900338492631</v>
      </c>
      <c r="AF435" s="13">
        <f t="shared" si="130"/>
        <v>21.650000000000173</v>
      </c>
      <c r="AG435" s="50">
        <f t="shared" si="131"/>
        <v>0</v>
      </c>
    </row>
    <row r="436" spans="2:33" x14ac:dyDescent="0.25">
      <c r="B436" s="15">
        <f t="shared" si="132"/>
        <v>21.700000000000173</v>
      </c>
      <c r="C436" s="15">
        <f>B436+Model!$B$4</f>
        <v>23.700000000000173</v>
      </c>
      <c r="D436" s="15">
        <f t="shared" si="133"/>
        <v>1</v>
      </c>
      <c r="E436" s="15">
        <f t="shared" si="139"/>
        <v>23.700000000000173</v>
      </c>
      <c r="F436" s="16">
        <f>IF(AB436&gt;0, VLOOKUP(B436,Model!$A$40:$B$60, 2), 0)</f>
        <v>300</v>
      </c>
      <c r="G436" s="15">
        <f>IF(AB436&gt;0, VLOOKUP(B436,Model!$A$39:$C$58, 3), 0)</f>
        <v>1</v>
      </c>
      <c r="H436" s="15">
        <f t="shared" si="118"/>
        <v>97</v>
      </c>
      <c r="I436" s="45">
        <f>Model!$B$21*EXP((-0.029*9.81*F436)/(8.31*(273+J436)))</f>
        <v>100357.4491247143</v>
      </c>
      <c r="J436" s="15">
        <f>IF(Model!$B$31="Summer",  IF(F436&lt;=2000,  Model!$B$20-Model!$B$35*F436/1000,  IF(F436&lt;Model!$B$36,  Model!$B$33-6.5*F436/1000,  Model!$B$38)),     IF(F436&lt;=2000,  Model!$B$20-Model!$B$35*F436/1000,  IF(F436&lt;Model!$B$36,  Model!$B$33-5.4*F436/1000,   Model!$B$38)))</f>
        <v>-19.088750000000001</v>
      </c>
      <c r="K436" s="15">
        <f t="shared" si="119"/>
        <v>253.91125</v>
      </c>
      <c r="L436" s="45">
        <f>IF(AB435-AA435*(B436-B435)&gt;0, L435-Y435*(B436-B435)*3600-AD436*Model!$B$16, 0)</f>
        <v>716.70492276798018</v>
      </c>
      <c r="M436" s="56">
        <f t="shared" si="120"/>
        <v>19.440957836321161</v>
      </c>
      <c r="N436" s="56">
        <f>Model!$B$13*I436*K436/(Model!$B$13*I436-L436*287*K436)</f>
        <v>292.44095783632116</v>
      </c>
      <c r="O436" s="56">
        <f t="shared" si="121"/>
        <v>273.17610391816061</v>
      </c>
      <c r="P436" s="56">
        <f t="shared" si="122"/>
        <v>0.17638560830142497</v>
      </c>
      <c r="Q436" s="62">
        <f t="shared" si="123"/>
        <v>2.4012503378189404E-2</v>
      </c>
      <c r="R436" s="33">
        <f t="shared" si="137"/>
        <v>1.3618314807488702E-5</v>
      </c>
      <c r="S436" s="45">
        <f>0.37*Model!$B$10*(Q436^2*(N436-K436)*I436/(R436*O436^2))^0.33333*(N436-K436)</f>
        <v>223839.63178689181</v>
      </c>
      <c r="T436" s="50">
        <f>Model!$B$32+(90-Model!$B$6)*SIN(RADIANS(-15*(E436+6)))</f>
        <v>-41.762841741643925</v>
      </c>
      <c r="U436" s="45">
        <f t="shared" si="125"/>
        <v>0</v>
      </c>
      <c r="V436" s="50">
        <f t="shared" si="126"/>
        <v>99999</v>
      </c>
      <c r="W436" s="45">
        <f t="shared" si="127"/>
        <v>4.2253521126760563E-2</v>
      </c>
      <c r="X436" s="45">
        <f>0.3*W436*Model!$B$9</f>
        <v>3.8275201289827652</v>
      </c>
      <c r="Y436" s="33">
        <f>(S436-X436)/Model!$B$11</f>
        <v>4.8017977961334942E-3</v>
      </c>
      <c r="Z436" s="45">
        <f t="shared" si="128"/>
        <v>1.7099385387779695E-3</v>
      </c>
      <c r="AA436" s="56">
        <f>Y436/Model!$B$12*3600</f>
        <v>31.089379193526511</v>
      </c>
      <c r="AB436" s="50">
        <f t="shared" si="134"/>
        <v>351.97144511124191</v>
      </c>
      <c r="AC436" s="50">
        <f t="shared" si="138"/>
        <v>1448.0285548887582</v>
      </c>
      <c r="AD436" s="15">
        <f>IF(AE436=0, Model!$B$19, 0 )</f>
        <v>0</v>
      </c>
      <c r="AE436" s="50">
        <f>IF(AE435+AB435-AB436&lt;Model!$B$19*Model!$B$18, AE435+AB435-AB436,  0)</f>
        <v>91.663128594871637</v>
      </c>
      <c r="AF436" s="15">
        <f t="shared" si="130"/>
        <v>21.700000000000173</v>
      </c>
      <c r="AG436" s="50">
        <f t="shared" si="131"/>
        <v>0</v>
      </c>
    </row>
    <row r="437" spans="2:33" x14ac:dyDescent="0.25">
      <c r="B437" s="13">
        <f t="shared" si="132"/>
        <v>21.750000000000174</v>
      </c>
      <c r="C437" s="13">
        <f>B437+Model!$B$4</f>
        <v>23.750000000000174</v>
      </c>
      <c r="D437" s="13">
        <f t="shared" si="133"/>
        <v>1</v>
      </c>
      <c r="E437" s="13">
        <f t="shared" si="139"/>
        <v>23.750000000000174</v>
      </c>
      <c r="F437" s="14">
        <f>IF(AB437&gt;0, VLOOKUP(B437,Model!$A$40:$B$60, 2), 0)</f>
        <v>300</v>
      </c>
      <c r="G437" s="13">
        <f>IF(AB437&gt;0, VLOOKUP(B437,Model!$A$39:$C$58, 3), 0)</f>
        <v>1</v>
      </c>
      <c r="H437" s="13">
        <f t="shared" si="118"/>
        <v>97</v>
      </c>
      <c r="I437" s="46">
        <f>Model!$B$21*EXP((-0.029*9.81*F437)/(8.31*(273+J437)))</f>
        <v>100357.4491247143</v>
      </c>
      <c r="J437" s="13">
        <f>IF(Model!$B$31="Summer",  IF(F437&lt;=2000,  Model!$B$20-Model!$B$35*F437/1000,  IF(F437&lt;Model!$B$36,  Model!$B$33-6.5*F437/1000,  Model!$B$38)),     IF(F437&lt;=2000,  Model!$B$20-Model!$B$35*F437/1000,  IF(F437&lt;Model!$B$36,  Model!$B$33-5.4*F437/1000,   Model!$B$38)))</f>
        <v>-19.088750000000001</v>
      </c>
      <c r="K437" s="13">
        <f t="shared" si="119"/>
        <v>253.91125</v>
      </c>
      <c r="L437" s="46">
        <f>IF(AB436-AA436*(B437-B436)&gt;0, L436-Y436*(B437-B436)*3600-AD437*Model!$B$16, 0)</f>
        <v>715.84059916467618</v>
      </c>
      <c r="M437" s="57">
        <f t="shared" si="120"/>
        <v>19.387451096855159</v>
      </c>
      <c r="N437" s="57">
        <f>Model!$B$13*I437*K437/(Model!$B$13*I437-L437*287*K437)</f>
        <v>292.38745109685516</v>
      </c>
      <c r="O437" s="57">
        <f t="shared" si="121"/>
        <v>273.14935054842761</v>
      </c>
      <c r="P437" s="57">
        <f t="shared" si="122"/>
        <v>0.14963223856842406</v>
      </c>
      <c r="Q437" s="63">
        <f t="shared" si="123"/>
        <v>2.4010603888938359E-2</v>
      </c>
      <c r="R437" s="17">
        <f t="shared" si="137"/>
        <v>1.3615532457036471E-5</v>
      </c>
      <c r="S437" s="46">
        <f>0.37*Model!$B$10*(Q437^2*(N437-K437)*I437/(R437*O437^2))^0.33333*(N437-K437)</f>
        <v>223443.28627723831</v>
      </c>
      <c r="T437" s="51">
        <f>Model!$B$32+(90-Model!$B$6)*SIN(RADIANS(-15*(E437+6)))</f>
        <v>-41.79579737433555</v>
      </c>
      <c r="U437" s="46">
        <f t="shared" si="125"/>
        <v>0</v>
      </c>
      <c r="V437" s="51">
        <f t="shared" si="126"/>
        <v>99999</v>
      </c>
      <c r="W437" s="46">
        <f t="shared" si="127"/>
        <v>4.2253521126760563E-2</v>
      </c>
      <c r="X437" s="46">
        <f>0.3*W437*Model!$B$9</f>
        <v>3.8275201289827652</v>
      </c>
      <c r="Y437" s="17">
        <f>(S437-X437)/Model!$B$11</f>
        <v>4.793295264552383E-3</v>
      </c>
      <c r="Z437" s="46">
        <f t="shared" si="128"/>
        <v>1.7129716415975693E-3</v>
      </c>
      <c r="AA437" s="57">
        <f>Y437/Model!$B$12*3600</f>
        <v>31.034329306035843</v>
      </c>
      <c r="AB437" s="51">
        <f t="shared" si="134"/>
        <v>350.41697615156556</v>
      </c>
      <c r="AC437" s="51">
        <f t="shared" si="138"/>
        <v>1449.5830238484346</v>
      </c>
      <c r="AD437" s="13">
        <f>IF(AE437=0, Model!$B$19, 0 )</f>
        <v>0</v>
      </c>
      <c r="AE437" s="51">
        <f>IF(AE436+AB436-AB437&lt;Model!$B$19*Model!$B$18, AE436+AB436-AB437,  0)</f>
        <v>93.217597554547979</v>
      </c>
      <c r="AF437" s="13">
        <f t="shared" si="130"/>
        <v>21.750000000000174</v>
      </c>
      <c r="AG437" s="50">
        <f t="shared" si="131"/>
        <v>0</v>
      </c>
    </row>
    <row r="438" spans="2:33" x14ac:dyDescent="0.25">
      <c r="B438" s="15">
        <f t="shared" si="132"/>
        <v>21.800000000000175</v>
      </c>
      <c r="C438" s="15">
        <f>B438+Model!$B$4</f>
        <v>23.800000000000175</v>
      </c>
      <c r="D438" s="15">
        <f t="shared" si="133"/>
        <v>1</v>
      </c>
      <c r="E438" s="15">
        <f t="shared" si="139"/>
        <v>23.800000000000175</v>
      </c>
      <c r="F438" s="16">
        <f>IF(AB438&gt;0, VLOOKUP(B438,Model!$A$40:$B$60, 2), 0)</f>
        <v>300</v>
      </c>
      <c r="G438" s="15">
        <f>IF(AB438&gt;0, VLOOKUP(B438,Model!$A$39:$C$58, 3), 0)</f>
        <v>1</v>
      </c>
      <c r="H438" s="15">
        <f t="shared" si="118"/>
        <v>97</v>
      </c>
      <c r="I438" s="45">
        <f>Model!$B$21*EXP((-0.029*9.81*F438)/(8.31*(273+J438)))</f>
        <v>100357.4491247143</v>
      </c>
      <c r="J438" s="15">
        <f>IF(Model!$B$31="Summer",  IF(F438&lt;=2000,  Model!$B$20-Model!$B$35*F438/1000,  IF(F438&lt;Model!$B$36,  Model!$B$33-6.5*F438/1000,  Model!$B$38)),     IF(F438&lt;=2000,  Model!$B$20-Model!$B$35*F438/1000,  IF(F438&lt;Model!$B$36,  Model!$B$33-5.4*F438/1000,   Model!$B$38)))</f>
        <v>-19.088750000000001</v>
      </c>
      <c r="K438" s="15">
        <f t="shared" si="119"/>
        <v>253.91125</v>
      </c>
      <c r="L438" s="45">
        <f>IF(AB437-AA437*(B438-B437)&gt;0, L437-Y437*(B438-B437)*3600-AD438*Model!$B$16, 0)</f>
        <v>714.97780601705676</v>
      </c>
      <c r="M438" s="56">
        <f t="shared" si="120"/>
        <v>19.334058625924854</v>
      </c>
      <c r="N438" s="56">
        <f>Model!$B$13*I438*K438/(Model!$B$13*I438-L438*287*K438)</f>
        <v>292.33405862592485</v>
      </c>
      <c r="O438" s="56">
        <f t="shared" si="121"/>
        <v>273.12265431296242</v>
      </c>
      <c r="P438" s="56">
        <f t="shared" si="122"/>
        <v>0.12293600310327153</v>
      </c>
      <c r="Q438" s="62">
        <f t="shared" si="123"/>
        <v>2.4008708456220332E-2</v>
      </c>
      <c r="R438" s="33">
        <f t="shared" si="137"/>
        <v>1.3612756048548091E-5</v>
      </c>
      <c r="S438" s="45">
        <f>0.37*Model!$B$10*(Q438^2*(N438-K438)*I438/(R438*O438^2))^0.33333*(N438-K438)</f>
        <v>223047.91704685218</v>
      </c>
      <c r="T438" s="50">
        <f>Model!$B$32+(90-Model!$B$6)*SIN(RADIANS(-15*(E438+6)))</f>
        <v>-41.822768777394494</v>
      </c>
      <c r="U438" s="45">
        <f t="shared" si="125"/>
        <v>0</v>
      </c>
      <c r="V438" s="50">
        <f t="shared" si="126"/>
        <v>99999</v>
      </c>
      <c r="W438" s="45">
        <f t="shared" si="127"/>
        <v>4.2253521126760563E-2</v>
      </c>
      <c r="X438" s="45">
        <f>0.3*W438*Model!$B$9</f>
        <v>3.8275201289827652</v>
      </c>
      <c r="Y438" s="33">
        <f>(S438-X438)/Model!$B$11</f>
        <v>4.7848136764286862E-3</v>
      </c>
      <c r="Z438" s="45">
        <f t="shared" si="128"/>
        <v>1.7160080128337527E-3</v>
      </c>
      <c r="AA438" s="56">
        <f>Y438/Model!$B$12*3600</f>
        <v>30.979415017568044</v>
      </c>
      <c r="AB438" s="50">
        <f t="shared" si="134"/>
        <v>348.86525968626376</v>
      </c>
      <c r="AC438" s="50">
        <f t="shared" si="138"/>
        <v>1451.1347403137363</v>
      </c>
      <c r="AD438" s="15">
        <f>IF(AE438=0, Model!$B$19, 0 )</f>
        <v>0</v>
      </c>
      <c r="AE438" s="50">
        <f>IF(AE437+AB437-AB438&lt;Model!$B$19*Model!$B$18, AE437+AB437-AB438,  0)</f>
        <v>94.769314019849787</v>
      </c>
      <c r="AF438" s="15">
        <f t="shared" si="130"/>
        <v>21.800000000000175</v>
      </c>
      <c r="AG438" s="50">
        <f t="shared" si="131"/>
        <v>0</v>
      </c>
    </row>
    <row r="439" spans="2:33" x14ac:dyDescent="0.25">
      <c r="B439" s="13">
        <f t="shared" si="132"/>
        <v>21.850000000000176</v>
      </c>
      <c r="C439" s="13">
        <f>B439+Model!$B$4</f>
        <v>23.850000000000176</v>
      </c>
      <c r="D439" s="13">
        <f t="shared" si="133"/>
        <v>1</v>
      </c>
      <c r="E439" s="13">
        <f t="shared" si="139"/>
        <v>23.850000000000176</v>
      </c>
      <c r="F439" s="14">
        <f>IF(AB439&gt;0, VLOOKUP(B439,Model!$A$40:$B$60, 2), 0)</f>
        <v>300</v>
      </c>
      <c r="G439" s="13">
        <f>IF(AB439&gt;0, VLOOKUP(B439,Model!$A$39:$C$58, 3), 0)</f>
        <v>1</v>
      </c>
      <c r="H439" s="13">
        <f t="shared" si="118"/>
        <v>97</v>
      </c>
      <c r="I439" s="46">
        <f>Model!$B$21*EXP((-0.029*9.81*F439)/(8.31*(273+J439)))</f>
        <v>100357.4491247143</v>
      </c>
      <c r="J439" s="13">
        <f>IF(Model!$B$31="Summer",  IF(F439&lt;=2000,  Model!$B$20-Model!$B$35*F439/1000,  IF(F439&lt;Model!$B$36,  Model!$B$33-6.5*F439/1000,  Model!$B$38)),     IF(F439&lt;=2000,  Model!$B$20-Model!$B$35*F439/1000,  IF(F439&lt;Model!$B$36,  Model!$B$33-5.4*F439/1000,   Model!$B$38)))</f>
        <v>-19.088750000000001</v>
      </c>
      <c r="K439" s="13">
        <f t="shared" si="119"/>
        <v>253.91125</v>
      </c>
      <c r="L439" s="46">
        <f>IF(AB438-AA438*(B439-B438)&gt;0, L438-Y438*(B439-B438)*3600-AD439*Model!$B$16, 0)</f>
        <v>714.1165395552996</v>
      </c>
      <c r="M439" s="57">
        <f t="shared" si="120"/>
        <v>19.28078007590608</v>
      </c>
      <c r="N439" s="57">
        <f>Model!$B$13*I439*K439/(Model!$B$13*I439-L439*287*K439)</f>
        <v>292.28078007590608</v>
      </c>
      <c r="O439" s="57">
        <f t="shared" si="121"/>
        <v>273.09601503795307</v>
      </c>
      <c r="P439" s="57">
        <f t="shared" si="122"/>
        <v>9.6296728093884412E-2</v>
      </c>
      <c r="Q439" s="63">
        <f t="shared" si="123"/>
        <v>2.4006817067694669E-2</v>
      </c>
      <c r="R439" s="17">
        <f t="shared" si="137"/>
        <v>1.3609985563947117E-5</v>
      </c>
      <c r="S439" s="46">
        <f>0.37*Model!$B$10*(Q439^2*(N439-K439)*I439/(R439*O439^2))^0.33333*(N439-K439)</f>
        <v>222653.52088716763</v>
      </c>
      <c r="T439" s="51">
        <f>Model!$B$32+(90-Model!$B$6)*SIN(RADIANS(-15*(E439+6)))</f>
        <v>-41.843751329409685</v>
      </c>
      <c r="U439" s="46">
        <f t="shared" si="125"/>
        <v>0</v>
      </c>
      <c r="V439" s="51">
        <f t="shared" si="126"/>
        <v>99999</v>
      </c>
      <c r="W439" s="46">
        <f t="shared" si="127"/>
        <v>4.2253521126760563E-2</v>
      </c>
      <c r="X439" s="46">
        <f>0.3*W439*Model!$B$9</f>
        <v>3.8275201289827652</v>
      </c>
      <c r="Y439" s="17">
        <f>(S439-X439)/Model!$B$11</f>
        <v>4.7763529629312167E-3</v>
      </c>
      <c r="Z439" s="46">
        <f t="shared" si="128"/>
        <v>1.7190476547291644E-3</v>
      </c>
      <c r="AA439" s="57">
        <f>Y439/Model!$B$12*3600</f>
        <v>30.924635882473595</v>
      </c>
      <c r="AB439" s="51">
        <f t="shared" si="134"/>
        <v>347.31628893538533</v>
      </c>
      <c r="AC439" s="51">
        <f t="shared" si="138"/>
        <v>1452.6837110646147</v>
      </c>
      <c r="AD439" s="13">
        <f>IF(AE439=0, Model!$B$19, 0 )</f>
        <v>0</v>
      </c>
      <c r="AE439" s="51">
        <f>IF(AE438+AB438-AB439&lt;Model!$B$19*Model!$B$18, AE438+AB438-AB439,  0)</f>
        <v>96.318284770728212</v>
      </c>
      <c r="AF439" s="13">
        <f t="shared" si="130"/>
        <v>21.850000000000176</v>
      </c>
      <c r="AG439" s="50">
        <f t="shared" si="131"/>
        <v>0</v>
      </c>
    </row>
    <row r="440" spans="2:33" x14ac:dyDescent="0.25">
      <c r="B440" s="15">
        <f t="shared" si="132"/>
        <v>21.900000000000176</v>
      </c>
      <c r="C440" s="15">
        <f>B440+Model!$B$4</f>
        <v>23.900000000000176</v>
      </c>
      <c r="D440" s="15">
        <f t="shared" si="133"/>
        <v>1</v>
      </c>
      <c r="E440" s="15">
        <f t="shared" si="139"/>
        <v>23.900000000000176</v>
      </c>
      <c r="F440" s="16">
        <f>IF(AB440&gt;0, VLOOKUP(B440,Model!$A$40:$B$60, 2), 0)</f>
        <v>300</v>
      </c>
      <c r="G440" s="15">
        <f>IF(AB440&gt;0, VLOOKUP(B440,Model!$A$39:$C$58, 3), 0)</f>
        <v>1</v>
      </c>
      <c r="H440" s="15">
        <f t="shared" si="118"/>
        <v>97</v>
      </c>
      <c r="I440" s="45">
        <f>Model!$B$21*EXP((-0.029*9.81*F440)/(8.31*(273+J440)))</f>
        <v>100357.4491247143</v>
      </c>
      <c r="J440" s="15">
        <f>IF(Model!$B$31="Summer",  IF(F440&lt;=2000,  Model!$B$20-Model!$B$35*F440/1000,  IF(F440&lt;Model!$B$36,  Model!$B$33-6.5*F440/1000,  Model!$B$38)),     IF(F440&lt;=2000,  Model!$B$20-Model!$B$35*F440/1000,  IF(F440&lt;Model!$B$36,  Model!$B$33-5.4*F440/1000,   Model!$B$38)))</f>
        <v>-19.088750000000001</v>
      </c>
      <c r="K440" s="15">
        <f t="shared" si="119"/>
        <v>253.91125</v>
      </c>
      <c r="L440" s="45">
        <f>IF(AB439-AA439*(B440-B439)&gt;0, L439-Y439*(B440-B439)*3600-AD440*Model!$B$16, 0)</f>
        <v>713.25679602197192</v>
      </c>
      <c r="M440" s="56">
        <f t="shared" si="120"/>
        <v>19.227615100585183</v>
      </c>
      <c r="N440" s="56">
        <f>Model!$B$13*I440*K440/(Model!$B$13*I440-L440*287*K440)</f>
        <v>292.22761510058518</v>
      </c>
      <c r="O440" s="56">
        <f t="shared" si="121"/>
        <v>273.06943255029262</v>
      </c>
      <c r="P440" s="56">
        <f t="shared" si="122"/>
        <v>6.9714240433436062E-2</v>
      </c>
      <c r="Q440" s="62">
        <f t="shared" si="123"/>
        <v>2.4004929711070776E-2</v>
      </c>
      <c r="R440" s="33">
        <f t="shared" ref="R440:R479" si="140">((O440-273)*0.104+13.6)*0.000001</f>
        <v>1.3607220985230432E-5</v>
      </c>
      <c r="S440" s="45">
        <f>0.37*Model!$B$10*(Q440^2*(N440-K440)*I440/(R440*O440^2))^0.33333*(N440-K440)</f>
        <v>222260.09460315545</v>
      </c>
      <c r="T440" s="50">
        <f>Model!$B$32+(90-Model!$B$6)*SIN(RADIANS(-15*(E440+6)))</f>
        <v>-41.85874143512887</v>
      </c>
      <c r="U440" s="45">
        <f t="shared" si="125"/>
        <v>0</v>
      </c>
      <c r="V440" s="50">
        <f t="shared" si="126"/>
        <v>99999</v>
      </c>
      <c r="W440" s="45">
        <f t="shared" si="127"/>
        <v>4.2253521126760563E-2</v>
      </c>
      <c r="X440" s="45">
        <f>0.3*W440*Model!$B$9</f>
        <v>3.8275201289827652</v>
      </c>
      <c r="Y440" s="33">
        <f>(S440-X440)/Model!$B$11</f>
        <v>4.7679130555191773E-3</v>
      </c>
      <c r="Z440" s="45">
        <f t="shared" si="128"/>
        <v>1.7220905695270164E-3</v>
      </c>
      <c r="AA440" s="56">
        <f>Y440/Model!$B$12*3600</f>
        <v>30.869991456983115</v>
      </c>
      <c r="AB440" s="50">
        <f t="shared" si="134"/>
        <v>345.77005714126165</v>
      </c>
      <c r="AC440" s="50">
        <f t="shared" ref="AC440:AC479" si="141">AC439+AB439-AB440</f>
        <v>1454.2299428587385</v>
      </c>
      <c r="AD440" s="15">
        <f>IF(AE440=0, Model!$B$19, 0 )</f>
        <v>0</v>
      </c>
      <c r="AE440" s="50">
        <f>IF(AE439+AB439-AB440&lt;Model!$B$19*Model!$B$18, AE439+AB439-AB440,  0)</f>
        <v>97.864516564851897</v>
      </c>
      <c r="AF440" s="15">
        <f t="shared" si="130"/>
        <v>21.900000000000176</v>
      </c>
      <c r="AG440" s="50">
        <f t="shared" si="131"/>
        <v>0</v>
      </c>
    </row>
    <row r="441" spans="2:33" x14ac:dyDescent="0.25">
      <c r="B441" s="13">
        <f t="shared" si="132"/>
        <v>21.950000000000177</v>
      </c>
      <c r="C441" s="13">
        <f>B441+Model!$B$4</f>
        <v>23.950000000000177</v>
      </c>
      <c r="D441" s="13">
        <f t="shared" si="133"/>
        <v>1</v>
      </c>
      <c r="E441" s="13">
        <f t="shared" si="139"/>
        <v>23.950000000000177</v>
      </c>
      <c r="F441" s="14">
        <f>IF(AB441&gt;0, VLOOKUP(B441,Model!$A$40:$B$60, 2), 0)</f>
        <v>300</v>
      </c>
      <c r="G441" s="13">
        <f>IF(AB441&gt;0, VLOOKUP(B441,Model!$A$39:$C$58, 3), 0)</f>
        <v>1</v>
      </c>
      <c r="H441" s="13">
        <f t="shared" si="118"/>
        <v>97</v>
      </c>
      <c r="I441" s="46">
        <f>Model!$B$21*EXP((-0.029*9.81*F441)/(8.31*(273+J441)))</f>
        <v>100357.4491247143</v>
      </c>
      <c r="J441" s="13">
        <f>IF(Model!$B$31="Summer",  IF(F441&lt;=2000,  Model!$B$20-Model!$B$35*F441/1000,  IF(F441&lt;Model!$B$36,  Model!$B$33-6.5*F441/1000,  Model!$B$38)),     IF(F441&lt;=2000,  Model!$B$20-Model!$B$35*F441/1000,  IF(F441&lt;Model!$B$36,  Model!$B$33-5.4*F441/1000,   Model!$B$38)))</f>
        <v>-19.088750000000001</v>
      </c>
      <c r="K441" s="13">
        <f t="shared" si="119"/>
        <v>253.91125</v>
      </c>
      <c r="L441" s="46">
        <f>IF(AB440-AA440*(B441-B440)&gt;0, L440-Y440*(B441-B440)*3600-AD441*Model!$B$16, 0)</f>
        <v>712.3985716719784</v>
      </c>
      <c r="M441" s="57">
        <f t="shared" si="120"/>
        <v>19.174563355151975</v>
      </c>
      <c r="N441" s="57">
        <f>Model!$B$13*I441*K441/(Model!$B$13*I441-L441*287*K441)</f>
        <v>292.17456335515197</v>
      </c>
      <c r="O441" s="57">
        <f t="shared" si="121"/>
        <v>273.04290667757596</v>
      </c>
      <c r="P441" s="57">
        <f t="shared" si="122"/>
        <v>4.3188367716831835E-2</v>
      </c>
      <c r="Q441" s="63">
        <f t="shared" si="123"/>
        <v>2.4003046374107894E-2</v>
      </c>
      <c r="R441" s="17">
        <f t="shared" si="140"/>
        <v>1.3604462294467898E-5</v>
      </c>
      <c r="S441" s="46">
        <f>0.37*Model!$B$10*(Q441^2*(N441-K441)*I441/(R441*O441^2))^0.33333*(N441-K441)</f>
        <v>221867.63501325366</v>
      </c>
      <c r="T441" s="51">
        <f>Model!$B$32+(90-Model!$B$6)*SIN(RADIANS(-15*(E441+6)))</f>
        <v>-41.867736526074594</v>
      </c>
      <c r="U441" s="46">
        <f t="shared" si="125"/>
        <v>0</v>
      </c>
      <c r="V441" s="51">
        <f t="shared" si="126"/>
        <v>99999</v>
      </c>
      <c r="W441" s="46">
        <f t="shared" si="127"/>
        <v>4.2253521126760563E-2</v>
      </c>
      <c r="X441" s="46">
        <f>0.3*W441*Model!$B$9</f>
        <v>3.8275201289827652</v>
      </c>
      <c r="Y441" s="17">
        <f>(S441-X441)/Model!$B$11</f>
        <v>4.7594938859406776E-3</v>
      </c>
      <c r="Z441" s="46">
        <f t="shared" si="128"/>
        <v>1.7251367594710791E-3</v>
      </c>
      <c r="AA441" s="57">
        <f>Y441/Model!$B$12*3600</f>
        <v>30.815481299197771</v>
      </c>
      <c r="AB441" s="51">
        <f t="shared" si="134"/>
        <v>344.22655756841249</v>
      </c>
      <c r="AC441" s="51">
        <f t="shared" si="141"/>
        <v>1455.7734424315875</v>
      </c>
      <c r="AD441" s="13">
        <f>IF(AE441=0, Model!$B$19, 0 )</f>
        <v>0</v>
      </c>
      <c r="AE441" s="51">
        <f>IF(AE440+AB440-AB441&lt;Model!$B$19*Model!$B$18, AE440+AB440-AB441,  0)</f>
        <v>99.408016137701054</v>
      </c>
      <c r="AF441" s="13">
        <f t="shared" si="130"/>
        <v>21.950000000000177</v>
      </c>
      <c r="AG441" s="50">
        <f t="shared" si="131"/>
        <v>0</v>
      </c>
    </row>
    <row r="442" spans="2:33" x14ac:dyDescent="0.25">
      <c r="B442" s="15">
        <f t="shared" si="132"/>
        <v>22.000000000000178</v>
      </c>
      <c r="C442" s="15">
        <f>B442+Model!$B$4</f>
        <v>24.000000000000178</v>
      </c>
      <c r="D442" s="15">
        <f t="shared" si="133"/>
        <v>2</v>
      </c>
      <c r="E442" s="15">
        <f t="shared" si="139"/>
        <v>1.7763568394002505E-13</v>
      </c>
      <c r="F442" s="16">
        <f>IF(AB442&gt;0, VLOOKUP(B442,Model!$A$40:$B$60, 2), 0)</f>
        <v>300</v>
      </c>
      <c r="G442" s="15">
        <f>IF(AB442&gt;0, VLOOKUP(B442,Model!$A$39:$C$58, 3), 0)</f>
        <v>1</v>
      </c>
      <c r="H442" s="15">
        <f t="shared" si="118"/>
        <v>97</v>
      </c>
      <c r="I442" s="45">
        <f>Model!$B$21*EXP((-0.029*9.81*F442)/(8.31*(273+J442)))</f>
        <v>100357.4491247143</v>
      </c>
      <c r="J442" s="15">
        <f>IF(Model!$B$31="Summer",  IF(F442&lt;=2000,  Model!$B$20-Model!$B$35*F442/1000,  IF(F442&lt;Model!$B$36,  Model!$B$33-6.5*F442/1000,  Model!$B$38)),     IF(F442&lt;=2000,  Model!$B$20-Model!$B$35*F442/1000,  IF(F442&lt;Model!$B$36,  Model!$B$33-5.4*F442/1000,   Model!$B$38)))</f>
        <v>-19.088750000000001</v>
      </c>
      <c r="K442" s="15">
        <f t="shared" si="119"/>
        <v>253.91125</v>
      </c>
      <c r="L442" s="45">
        <f>IF(AB441-AA441*(B442-B441)&gt;0, L441-Y441*(B442-B441)*3600-AD442*Model!$B$16, 0)</f>
        <v>711.54186277250903</v>
      </c>
      <c r="M442" s="56">
        <f t="shared" si="120"/>
        <v>19.121624496192283</v>
      </c>
      <c r="N442" s="56">
        <f>Model!$B$13*I442*K442/(Model!$B$13*I442-L442*287*K442)</f>
        <v>292.12162449619228</v>
      </c>
      <c r="O442" s="56">
        <f t="shared" si="121"/>
        <v>273.01643724809617</v>
      </c>
      <c r="P442" s="56">
        <f t="shared" si="122"/>
        <v>1.6718938236985847E-2</v>
      </c>
      <c r="Q442" s="62">
        <f t="shared" si="123"/>
        <v>2.400116704461483E-2</v>
      </c>
      <c r="R442" s="33">
        <f t="shared" si="140"/>
        <v>1.3601709473802001E-5</v>
      </c>
      <c r="S442" s="45">
        <f>0.37*Model!$B$10*(Q442^2*(N442-K442)*I442/(R442*O442^2))^0.33333*(N442-K442)</f>
        <v>221476.13894929487</v>
      </c>
      <c r="T442" s="50">
        <f>Model!$B$32+(90-Model!$B$6)*SIN(RADIANS(-15*(E442+6)))</f>
        <v>-41.870735060984323</v>
      </c>
      <c r="U442" s="45">
        <f t="shared" si="125"/>
        <v>0</v>
      </c>
      <c r="V442" s="50">
        <f t="shared" si="126"/>
        <v>99999</v>
      </c>
      <c r="W442" s="45">
        <f t="shared" si="127"/>
        <v>4.2253521126760563E-2</v>
      </c>
      <c r="X442" s="45">
        <f>0.3*W442*Model!$B$9</f>
        <v>3.8275201289827652</v>
      </c>
      <c r="Y442" s="33">
        <f>(S442-X442)/Model!$B$11</f>
        <v>4.751095386231168E-3</v>
      </c>
      <c r="Z442" s="45">
        <f t="shared" si="128"/>
        <v>1.7281862268056986E-3</v>
      </c>
      <c r="AA442" s="56">
        <f>Y442/Model!$B$12*3600</f>
        <v>30.761104969079099</v>
      </c>
      <c r="AB442" s="50">
        <f t="shared" si="134"/>
        <v>342.68578350345257</v>
      </c>
      <c r="AC442" s="50">
        <f t="shared" si="141"/>
        <v>1457.3142164965475</v>
      </c>
      <c r="AD442" s="15">
        <f>IF(AE442=0, Model!$B$19, 0 )</f>
        <v>0</v>
      </c>
      <c r="AE442" s="50">
        <f>IF(AE441+AB441-AB442&lt;Model!$B$19*Model!$B$18, AE441+AB441-AB442,  0)</f>
        <v>100.94879020266097</v>
      </c>
      <c r="AF442" s="15">
        <f t="shared" si="130"/>
        <v>22.000000000000178</v>
      </c>
      <c r="AG442" s="50">
        <f t="shared" si="131"/>
        <v>0</v>
      </c>
    </row>
    <row r="443" spans="2:33" x14ac:dyDescent="0.25">
      <c r="B443" s="13">
        <f t="shared" si="132"/>
        <v>22.050000000000178</v>
      </c>
      <c r="C443" s="13">
        <f>B443+Model!$B$4</f>
        <v>24.050000000000178</v>
      </c>
      <c r="D443" s="13">
        <f t="shared" si="133"/>
        <v>2</v>
      </c>
      <c r="E443" s="13">
        <f t="shared" si="139"/>
        <v>5.0000000000178346E-2</v>
      </c>
      <c r="F443" s="14">
        <f>IF(AB443&gt;0, VLOOKUP(B443,Model!$A$40:$B$60, 2), 0)</f>
        <v>300</v>
      </c>
      <c r="G443" s="13">
        <f>IF(AB443&gt;0, VLOOKUP(B443,Model!$A$39:$C$58, 3), 0)</f>
        <v>1</v>
      </c>
      <c r="H443" s="13">
        <f t="shared" si="118"/>
        <v>97</v>
      </c>
      <c r="I443" s="46">
        <f>Model!$B$21*EXP((-0.029*9.81*F443)/(8.31*(273+J443)))</f>
        <v>100357.4491247143</v>
      </c>
      <c r="J443" s="13">
        <f>IF(Model!$B$31="Summer",  IF(F443&lt;=2000,  Model!$B$20-Model!$B$35*F443/1000,  IF(F443&lt;Model!$B$36,  Model!$B$33-6.5*F443/1000,  Model!$B$38)),     IF(F443&lt;=2000,  Model!$B$20-Model!$B$35*F443/1000,  IF(F443&lt;Model!$B$36,  Model!$B$33-5.4*F443/1000,   Model!$B$38)))</f>
        <v>-19.088750000000001</v>
      </c>
      <c r="K443" s="13">
        <f t="shared" si="119"/>
        <v>253.91125</v>
      </c>
      <c r="L443" s="46">
        <f>IF(AB442-AA442*(B443-B442)&gt;0, L442-Y442*(B443-B442)*3600-AD443*Model!$B$16, 0)</f>
        <v>710.68666560298743</v>
      </c>
      <c r="M443" s="57">
        <f t="shared" si="120"/>
        <v>19.068798181680961</v>
      </c>
      <c r="N443" s="57">
        <f>Model!$B$13*I443*K443/(Model!$B$13*I443-L443*287*K443)</f>
        <v>292.06879818168096</v>
      </c>
      <c r="O443" s="57">
        <f t="shared" si="121"/>
        <v>272.99002409084051</v>
      </c>
      <c r="P443" s="57">
        <f t="shared" si="122"/>
        <v>-9.6942190186748867E-3</v>
      </c>
      <c r="Q443" s="63">
        <f t="shared" si="123"/>
        <v>2.3999291710449677E-2</v>
      </c>
      <c r="R443" s="17">
        <f t="shared" si="140"/>
        <v>1.3598962505447412E-5</v>
      </c>
      <c r="S443" s="46">
        <f>0.37*Model!$B$10*(Q443^2*(N443-K443)*I443/(R443*O443^2))^0.33333*(N443-K443)</f>
        <v>221085.60325643845</v>
      </c>
      <c r="T443" s="51">
        <f>Model!$B$32+(90-Model!$B$6)*SIN(RADIANS(-15*(E443+6)))</f>
        <v>-41.867736526074552</v>
      </c>
      <c r="U443" s="46">
        <f t="shared" si="125"/>
        <v>0</v>
      </c>
      <c r="V443" s="51">
        <f t="shared" si="126"/>
        <v>99999</v>
      </c>
      <c r="W443" s="46">
        <f t="shared" si="127"/>
        <v>4.2253521126760563E-2</v>
      </c>
      <c r="X443" s="46">
        <f>0.3*W443*Model!$B$9</f>
        <v>3.8275201289827652</v>
      </c>
      <c r="Y443" s="17">
        <f>(S443-X443)/Model!$B$11</f>
        <v>4.7427174887119915E-3</v>
      </c>
      <c r="Z443" s="46">
        <f t="shared" si="128"/>
        <v>1.7312389737757835E-3</v>
      </c>
      <c r="AA443" s="57">
        <f>Y443/Model!$B$12*3600</f>
        <v>30.706862028439669</v>
      </c>
      <c r="AB443" s="51">
        <f t="shared" si="134"/>
        <v>341.14772825499858</v>
      </c>
      <c r="AC443" s="51">
        <f t="shared" si="141"/>
        <v>1458.8522717450014</v>
      </c>
      <c r="AD443" s="13">
        <f>IF(AE443=0, Model!$B$19, 0 )</f>
        <v>0</v>
      </c>
      <c r="AE443" s="51">
        <f>IF(AE442+AB442-AB443&lt;Model!$B$19*Model!$B$18, AE442+AB442-AB443,  0)</f>
        <v>102.48684545111496</v>
      </c>
      <c r="AF443" s="13">
        <f t="shared" si="130"/>
        <v>22.050000000000178</v>
      </c>
      <c r="AG443" s="50">
        <f t="shared" si="131"/>
        <v>4.8471095093374434E-3</v>
      </c>
    </row>
    <row r="444" spans="2:33" x14ac:dyDescent="0.25">
      <c r="B444" s="15">
        <f t="shared" si="132"/>
        <v>22.100000000000179</v>
      </c>
      <c r="C444" s="15">
        <f>B444+Model!$B$4</f>
        <v>24.100000000000179</v>
      </c>
      <c r="D444" s="15">
        <f t="shared" si="133"/>
        <v>2</v>
      </c>
      <c r="E444" s="15">
        <f t="shared" si="139"/>
        <v>0.10000000000017906</v>
      </c>
      <c r="F444" s="16">
        <f>IF(AB444&gt;0, VLOOKUP(B444,Model!$A$40:$B$60, 2), 0)</f>
        <v>300</v>
      </c>
      <c r="G444" s="15">
        <f>IF(AB444&gt;0, VLOOKUP(B444,Model!$A$39:$C$58, 3), 0)</f>
        <v>1</v>
      </c>
      <c r="H444" s="15">
        <f t="shared" si="118"/>
        <v>97</v>
      </c>
      <c r="I444" s="45">
        <f>Model!$B$21*EXP((-0.029*9.81*F444)/(8.31*(273+J444)))</f>
        <v>100357.4491247143</v>
      </c>
      <c r="J444" s="15">
        <f>IF(Model!$B$31="Summer",  IF(F444&lt;=2000,  Model!$B$20-Model!$B$35*F444/1000,  IF(F444&lt;Model!$B$36,  Model!$B$33-6.5*F444/1000,  Model!$B$38)),     IF(F444&lt;=2000,  Model!$B$20-Model!$B$35*F444/1000,  IF(F444&lt;Model!$B$36,  Model!$B$33-5.4*F444/1000,   Model!$B$38)))</f>
        <v>-19.088750000000001</v>
      </c>
      <c r="K444" s="15">
        <f t="shared" si="119"/>
        <v>253.91125</v>
      </c>
      <c r="L444" s="45">
        <f>IF(AB443-AA443*(B444-B443)&gt;0, L443-Y443*(B444-B443)*3600-AD444*Model!$B$16, 0)</f>
        <v>709.83297645501921</v>
      </c>
      <c r="M444" s="56">
        <f t="shared" si="120"/>
        <v>19.016084070974671</v>
      </c>
      <c r="N444" s="56">
        <f>Model!$B$13*I444*K444/(Model!$B$13*I444-L444*287*K444)</f>
        <v>292.01608407097467</v>
      </c>
      <c r="O444" s="56">
        <f t="shared" si="121"/>
        <v>272.96366703548733</v>
      </c>
      <c r="P444" s="56">
        <f t="shared" si="122"/>
        <v>-3.6051274371820027E-2</v>
      </c>
      <c r="Q444" s="62">
        <f t="shared" si="123"/>
        <v>2.39974203595196E-2</v>
      </c>
      <c r="R444" s="33">
        <f t="shared" si="140"/>
        <v>1.3596221371690681E-5</v>
      </c>
      <c r="S444" s="45">
        <f>0.37*Model!$B$10*(Q444^2*(N444-K444)*I444/(R444*O444^2))^0.33333*(N444-K444)</f>
        <v>220696.02479309958</v>
      </c>
      <c r="T444" s="50">
        <f>Model!$B$32+(90-Model!$B$6)*SIN(RADIANS(-15*(E444+6)))</f>
        <v>-41.858741435128785</v>
      </c>
      <c r="U444" s="45">
        <f t="shared" si="125"/>
        <v>0</v>
      </c>
      <c r="V444" s="50">
        <f t="shared" si="126"/>
        <v>99999</v>
      </c>
      <c r="W444" s="45">
        <f t="shared" si="127"/>
        <v>4.2253521126760563E-2</v>
      </c>
      <c r="X444" s="45">
        <f>0.3*W444*Model!$B$9</f>
        <v>3.8275201289827652</v>
      </c>
      <c r="Y444" s="33">
        <f>(S444-X444)/Model!$B$11</f>
        <v>4.7343601259888573E-3</v>
      </c>
      <c r="Z444" s="45">
        <f t="shared" si="128"/>
        <v>1.7342950026268161E-3</v>
      </c>
      <c r="AA444" s="56">
        <f>Y444/Model!$B$12*3600</f>
        <v>30.652752040933208</v>
      </c>
      <c r="AB444" s="50">
        <f t="shared" si="134"/>
        <v>339.61238515357655</v>
      </c>
      <c r="AC444" s="50">
        <f t="shared" si="141"/>
        <v>1460.3876148464235</v>
      </c>
      <c r="AD444" s="15">
        <f>IF(AE444=0, Model!$B$19, 0 )</f>
        <v>0</v>
      </c>
      <c r="AE444" s="50">
        <f>IF(AE443+AB443-AB444&lt;Model!$B$19*Model!$B$18, AE443+AB443-AB444,  0)</f>
        <v>104.02218855253699</v>
      </c>
      <c r="AF444" s="15">
        <f t="shared" si="130"/>
        <v>22.100000000000179</v>
      </c>
      <c r="AG444" s="50">
        <f t="shared" si="131"/>
        <v>1.8025637185910014E-2</v>
      </c>
    </row>
    <row r="445" spans="2:33" x14ac:dyDescent="0.25">
      <c r="B445" s="13">
        <f t="shared" si="132"/>
        <v>22.15000000000018</v>
      </c>
      <c r="C445" s="13">
        <f>B445+Model!$B$4</f>
        <v>24.15000000000018</v>
      </c>
      <c r="D445" s="13">
        <f t="shared" si="133"/>
        <v>2</v>
      </c>
      <c r="E445" s="13">
        <f t="shared" si="139"/>
        <v>0.15000000000017977</v>
      </c>
      <c r="F445" s="14">
        <f>IF(AB445&gt;0, VLOOKUP(B445,Model!$A$40:$B$60, 2), 0)</f>
        <v>300</v>
      </c>
      <c r="G445" s="13">
        <f>IF(AB445&gt;0, VLOOKUP(B445,Model!$A$39:$C$58, 3), 0)</f>
        <v>1</v>
      </c>
      <c r="H445" s="13">
        <f t="shared" si="118"/>
        <v>97</v>
      </c>
      <c r="I445" s="46">
        <f>Model!$B$21*EXP((-0.029*9.81*F445)/(8.31*(273+J445)))</f>
        <v>100357.4491247143</v>
      </c>
      <c r="J445" s="13">
        <f>IF(Model!$B$31="Summer",  IF(F445&lt;=2000,  Model!$B$20-Model!$B$35*F445/1000,  IF(F445&lt;Model!$B$36,  Model!$B$33-6.5*F445/1000,  Model!$B$38)),     IF(F445&lt;=2000,  Model!$B$20-Model!$B$35*F445/1000,  IF(F445&lt;Model!$B$36,  Model!$B$33-5.4*F445/1000,   Model!$B$38)))</f>
        <v>-19.088750000000001</v>
      </c>
      <c r="K445" s="13">
        <f t="shared" si="119"/>
        <v>253.91125</v>
      </c>
      <c r="L445" s="46">
        <f>IF(AB444-AA444*(B445-B444)&gt;0, L444-Y444*(B445-B444)*3600-AD445*Model!$B$16, 0)</f>
        <v>708.98079163234115</v>
      </c>
      <c r="M445" s="57">
        <f t="shared" si="120"/>
        <v>18.963481824804944</v>
      </c>
      <c r="N445" s="57">
        <f>Model!$B$13*I445*K445/(Model!$B$13*I445-L445*287*K445)</f>
        <v>291.96348182480494</v>
      </c>
      <c r="O445" s="57">
        <f t="shared" si="121"/>
        <v>272.93736591240247</v>
      </c>
      <c r="P445" s="57">
        <f t="shared" si="122"/>
        <v>-6.2352397456683348E-2</v>
      </c>
      <c r="Q445" s="63">
        <f t="shared" si="123"/>
        <v>2.3995552979780576E-2</v>
      </c>
      <c r="R445" s="17">
        <f t="shared" si="140"/>
        <v>1.3593486054889856E-5</v>
      </c>
      <c r="S445" s="46">
        <f>0.37*Model!$B$10*(Q445^2*(N445-K445)*I445/(R445*O445^2))^0.33333*(N445-K445)</f>
        <v>220307.40043088084</v>
      </c>
      <c r="T445" s="51">
        <f>Model!$B$32+(90-Model!$B$6)*SIN(RADIANS(-15*(E445+6)))</f>
        <v>-41.843751329409564</v>
      </c>
      <c r="U445" s="46">
        <f t="shared" si="125"/>
        <v>0</v>
      </c>
      <c r="V445" s="51">
        <f t="shared" si="126"/>
        <v>99999</v>
      </c>
      <c r="W445" s="46">
        <f t="shared" si="127"/>
        <v>4.2253521126760563E-2</v>
      </c>
      <c r="X445" s="46">
        <f>0.3*W445*Model!$B$9</f>
        <v>3.8275201289827652</v>
      </c>
      <c r="Y445" s="17">
        <f>(S445-X445)/Model!$B$11</f>
        <v>4.7260232309503779E-3</v>
      </c>
      <c r="Z445" s="46">
        <f t="shared" si="128"/>
        <v>1.7373543156048495E-3</v>
      </c>
      <c r="AA445" s="57">
        <f>Y445/Model!$B$12*3600</f>
        <v>30.598774572045073</v>
      </c>
      <c r="AB445" s="51">
        <f t="shared" si="134"/>
        <v>338.07974755152986</v>
      </c>
      <c r="AC445" s="51">
        <f t="shared" si="141"/>
        <v>1461.9202524484701</v>
      </c>
      <c r="AD445" s="13">
        <f>IF(AE445=0, Model!$B$19, 0 )</f>
        <v>0</v>
      </c>
      <c r="AE445" s="51">
        <f>IF(AE444+AB444-AB445&lt;Model!$B$19*Model!$B$18, AE444+AB444-AB445,  0)</f>
        <v>105.55482615458368</v>
      </c>
      <c r="AF445" s="13">
        <f t="shared" si="130"/>
        <v>22.15000000000018</v>
      </c>
      <c r="AG445" s="50">
        <f t="shared" si="131"/>
        <v>3.1176198728341674E-2</v>
      </c>
    </row>
    <row r="446" spans="2:33" x14ac:dyDescent="0.25">
      <c r="B446" s="15">
        <f t="shared" si="132"/>
        <v>22.20000000000018</v>
      </c>
      <c r="C446" s="15">
        <f>B446+Model!$B$4</f>
        <v>24.20000000000018</v>
      </c>
      <c r="D446" s="15">
        <f t="shared" si="133"/>
        <v>2</v>
      </c>
      <c r="E446" s="15">
        <f t="shared" si="139"/>
        <v>0.20000000000018048</v>
      </c>
      <c r="F446" s="16">
        <f>IF(AB446&gt;0, VLOOKUP(B446,Model!$A$40:$B$60, 2), 0)</f>
        <v>300</v>
      </c>
      <c r="G446" s="15">
        <f>IF(AB446&gt;0, VLOOKUP(B446,Model!$A$39:$C$58, 3), 0)</f>
        <v>1</v>
      </c>
      <c r="H446" s="15">
        <f t="shared" si="118"/>
        <v>97</v>
      </c>
      <c r="I446" s="45">
        <f>Model!$B$21*EXP((-0.029*9.81*F446)/(8.31*(273+J446)))</f>
        <v>100357.4491247143</v>
      </c>
      <c r="J446" s="15">
        <f>IF(Model!$B$31="Summer",  IF(F446&lt;=2000,  Model!$B$20-Model!$B$35*F446/1000,  IF(F446&lt;Model!$B$36,  Model!$B$33-6.5*F446/1000,  Model!$B$38)),     IF(F446&lt;=2000,  Model!$B$20-Model!$B$35*F446/1000,  IF(F446&lt;Model!$B$36,  Model!$B$33-5.4*F446/1000,   Model!$B$38)))</f>
        <v>-19.088750000000001</v>
      </c>
      <c r="K446" s="15">
        <f t="shared" si="119"/>
        <v>253.91125</v>
      </c>
      <c r="L446" s="45">
        <f>IF(AB445-AA445*(B446-B445)&gt;0, L445-Y445*(B446-B445)*3600-AD446*Model!$B$16, 0)</f>
        <v>708.13010745077008</v>
      </c>
      <c r="M446" s="56">
        <f t="shared" si="120"/>
        <v>18.910991105271307</v>
      </c>
      <c r="N446" s="56">
        <f>Model!$B$13*I446*K446/(Model!$B$13*I446-L446*287*K446)</f>
        <v>291.91099110527131</v>
      </c>
      <c r="O446" s="56">
        <f t="shared" si="121"/>
        <v>272.91112055263568</v>
      </c>
      <c r="P446" s="56">
        <f t="shared" si="122"/>
        <v>-8.8597757223501758E-2</v>
      </c>
      <c r="Q446" s="62">
        <f t="shared" si="123"/>
        <v>2.3993689559237134E-2</v>
      </c>
      <c r="R446" s="33">
        <f t="shared" si="140"/>
        <v>1.3590756537474109E-5</v>
      </c>
      <c r="S446" s="45">
        <f>0.37*Model!$B$10*(Q446^2*(N446-K446)*I446/(R446*O446^2))^0.33333*(N446-K446)</f>
        <v>219919.72705450578</v>
      </c>
      <c r="T446" s="50">
        <f>Model!$B$32+(90-Model!$B$6)*SIN(RADIANS(-15*(E446+6)))</f>
        <v>-41.822768777394323</v>
      </c>
      <c r="U446" s="45">
        <f t="shared" si="125"/>
        <v>0</v>
      </c>
      <c r="V446" s="50">
        <f t="shared" si="126"/>
        <v>99999</v>
      </c>
      <c r="W446" s="45">
        <f t="shared" si="127"/>
        <v>4.2253521126760563E-2</v>
      </c>
      <c r="X446" s="45">
        <f>0.3*W446*Model!$B$9</f>
        <v>3.8275201289827652</v>
      </c>
      <c r="Y446" s="33">
        <f>(S446-X446)/Model!$B$11</f>
        <v>4.7177067367666376E-3</v>
      </c>
      <c r="Z446" s="45">
        <f t="shared" si="128"/>
        <v>1.7404169149564911E-3</v>
      </c>
      <c r="AA446" s="56">
        <f>Y446/Model!$B$12*3600</f>
        <v>30.544929189083035</v>
      </c>
      <c r="AB446" s="50">
        <f t="shared" si="134"/>
        <v>336.54980882292756</v>
      </c>
      <c r="AC446" s="50">
        <f t="shared" si="141"/>
        <v>1463.4501911770724</v>
      </c>
      <c r="AD446" s="15">
        <f>IF(AE446=0, Model!$B$19, 0 )</f>
        <v>0</v>
      </c>
      <c r="AE446" s="50">
        <f>IF(AE445+AB445-AB446&lt;Model!$B$19*Model!$B$18, AE445+AB445-AB446,  0)</f>
        <v>107.08476488318598</v>
      </c>
      <c r="AF446" s="15">
        <f t="shared" si="130"/>
        <v>22.20000000000018</v>
      </c>
      <c r="AG446" s="50">
        <f t="shared" si="131"/>
        <v>4.4298878611750879E-2</v>
      </c>
    </row>
    <row r="447" spans="2:33" x14ac:dyDescent="0.25">
      <c r="B447" s="13">
        <f t="shared" si="132"/>
        <v>22.250000000000181</v>
      </c>
      <c r="C447" s="13">
        <f>B447+Model!$B$4</f>
        <v>24.250000000000181</v>
      </c>
      <c r="D447" s="13">
        <f t="shared" si="133"/>
        <v>2</v>
      </c>
      <c r="E447" s="13">
        <f t="shared" si="139"/>
        <v>0.25000000000018119</v>
      </c>
      <c r="F447" s="14">
        <f>IF(AB447&gt;0, VLOOKUP(B447,Model!$A$40:$B$60, 2), 0)</f>
        <v>300</v>
      </c>
      <c r="G447" s="13">
        <f>IF(AB447&gt;0, VLOOKUP(B447,Model!$A$39:$C$58, 3), 0)</f>
        <v>1</v>
      </c>
      <c r="H447" s="13">
        <f t="shared" si="118"/>
        <v>97</v>
      </c>
      <c r="I447" s="46">
        <f>Model!$B$21*EXP((-0.029*9.81*F447)/(8.31*(273+J447)))</f>
        <v>100357.4491247143</v>
      </c>
      <c r="J447" s="13">
        <f>IF(Model!$B$31="Summer",  IF(F447&lt;=2000,  Model!$B$20-Model!$B$35*F447/1000,  IF(F447&lt;Model!$B$36,  Model!$B$33-6.5*F447/1000,  Model!$B$38)),     IF(F447&lt;=2000,  Model!$B$20-Model!$B$35*F447/1000,  IF(F447&lt;Model!$B$36,  Model!$B$33-5.4*F447/1000,   Model!$B$38)))</f>
        <v>-19.088750000000001</v>
      </c>
      <c r="K447" s="13">
        <f t="shared" si="119"/>
        <v>253.91125</v>
      </c>
      <c r="L447" s="46">
        <f>IF(AB446-AA446*(B447-B446)&gt;0, L446-Y446*(B447-B446)*3600-AD447*Model!$B$16, 0)</f>
        <v>707.28092023815202</v>
      </c>
      <c r="M447" s="57">
        <f t="shared" si="120"/>
        <v>18.858611575833777</v>
      </c>
      <c r="N447" s="57">
        <f>Model!$B$13*I447*K447/(Model!$B$13*I447-L447*287*K447)</f>
        <v>291.85861157583378</v>
      </c>
      <c r="O447" s="57">
        <f t="shared" si="121"/>
        <v>272.88493078791691</v>
      </c>
      <c r="P447" s="57">
        <f t="shared" si="122"/>
        <v>-0.11478752194226698</v>
      </c>
      <c r="Q447" s="63">
        <f t="shared" si="123"/>
        <v>2.3991830085942103E-2</v>
      </c>
      <c r="R447" s="17">
        <f t="shared" si="140"/>
        <v>1.3588032801943358E-5</v>
      </c>
      <c r="S447" s="46">
        <f>0.37*Model!$B$10*(Q447^2*(N447-K447)*I447/(R447*O447^2))^0.33333*(N447-K447)</f>
        <v>219533.00156174571</v>
      </c>
      <c r="T447" s="51">
        <f>Model!$B$32+(90-Model!$B$6)*SIN(RADIANS(-15*(E447+6)))</f>
        <v>-41.795797374335336</v>
      </c>
      <c r="U447" s="46">
        <f t="shared" si="125"/>
        <v>0</v>
      </c>
      <c r="V447" s="51">
        <f t="shared" si="126"/>
        <v>99999</v>
      </c>
      <c r="W447" s="46">
        <f t="shared" si="127"/>
        <v>4.2253521126760563E-2</v>
      </c>
      <c r="X447" s="46">
        <f>0.3*W447*Model!$B$9</f>
        <v>3.8275201289827652</v>
      </c>
      <c r="Y447" s="17">
        <f>(S447-X447)/Model!$B$11</f>
        <v>4.7094105768876269E-3</v>
      </c>
      <c r="Z447" s="46">
        <f t="shared" si="128"/>
        <v>1.7434828029289434E-3</v>
      </c>
      <c r="AA447" s="57">
        <f>Y447/Model!$B$12*3600</f>
        <v>30.49121546116714</v>
      </c>
      <c r="AB447" s="51">
        <f t="shared" si="134"/>
        <v>335.02256236347341</v>
      </c>
      <c r="AC447" s="51">
        <f t="shared" si="141"/>
        <v>1464.9774376365267</v>
      </c>
      <c r="AD447" s="13">
        <f>IF(AE447=0, Model!$B$19, 0 )</f>
        <v>0</v>
      </c>
      <c r="AE447" s="51">
        <f>IF(AE446+AB446-AB447&lt;Model!$B$19*Model!$B$18, AE446+AB446-AB447,  0)</f>
        <v>108.61201134264013</v>
      </c>
      <c r="AF447" s="13">
        <f t="shared" si="130"/>
        <v>22.250000000000181</v>
      </c>
      <c r="AG447" s="50">
        <f t="shared" si="131"/>
        <v>5.7393760971133488E-2</v>
      </c>
    </row>
    <row r="448" spans="2:33" x14ac:dyDescent="0.25">
      <c r="B448" s="15">
        <f t="shared" si="132"/>
        <v>22.300000000000182</v>
      </c>
      <c r="C448" s="15">
        <f>B448+Model!$B$4</f>
        <v>24.300000000000182</v>
      </c>
      <c r="D448" s="15">
        <f t="shared" si="133"/>
        <v>2</v>
      </c>
      <c r="E448" s="15">
        <f t="shared" si="139"/>
        <v>0.3000000000001819</v>
      </c>
      <c r="F448" s="16">
        <f>IF(AB448&gt;0, VLOOKUP(B448,Model!$A$40:$B$60, 2), 0)</f>
        <v>300</v>
      </c>
      <c r="G448" s="15">
        <f>IF(AB448&gt;0, VLOOKUP(B448,Model!$A$39:$C$58, 3), 0)</f>
        <v>1</v>
      </c>
      <c r="H448" s="15">
        <f t="shared" si="118"/>
        <v>97</v>
      </c>
      <c r="I448" s="45">
        <f>Model!$B$21*EXP((-0.029*9.81*F448)/(8.31*(273+J448)))</f>
        <v>100357.4491247143</v>
      </c>
      <c r="J448" s="15">
        <f>IF(Model!$B$31="Summer",  IF(F448&lt;=2000,  Model!$B$20-Model!$B$35*F448/1000,  IF(F448&lt;Model!$B$36,  Model!$B$33-6.5*F448/1000,  Model!$B$38)),     IF(F448&lt;=2000,  Model!$B$20-Model!$B$35*F448/1000,  IF(F448&lt;Model!$B$36,  Model!$B$33-5.4*F448/1000,   Model!$B$38)))</f>
        <v>-19.088750000000001</v>
      </c>
      <c r="K448" s="15">
        <f t="shared" si="119"/>
        <v>253.91125</v>
      </c>
      <c r="L448" s="45">
        <f>IF(AB447-AA447*(B448-B447)&gt;0, L447-Y447*(B448-B447)*3600-AD448*Model!$B$16, 0)</f>
        <v>706.43322633431228</v>
      </c>
      <c r="M448" s="56">
        <f t="shared" si="120"/>
        <v>18.806342901306607</v>
      </c>
      <c r="N448" s="56">
        <f>Model!$B$13*I448*K448/(Model!$B$13*I448-L448*287*K448)</f>
        <v>291.80634290130661</v>
      </c>
      <c r="O448" s="56">
        <f t="shared" si="121"/>
        <v>272.8587964506533</v>
      </c>
      <c r="P448" s="56">
        <f t="shared" si="122"/>
        <v>-0.14092185920585193</v>
      </c>
      <c r="Q448" s="62">
        <f t="shared" si="123"/>
        <v>2.3989974547996385E-2</v>
      </c>
      <c r="R448" s="33">
        <f t="shared" si="140"/>
        <v>1.3585314830867944E-5</v>
      </c>
      <c r="S448" s="45">
        <f>0.37*Model!$B$10*(Q448^2*(N448-K448)*I448/(R448*O448^2))^0.33333*(N448-K448)</f>
        <v>219147.22086335722</v>
      </c>
      <c r="T448" s="50">
        <f>Model!$B$32+(90-Model!$B$6)*SIN(RADIANS(-15*(E448+6)))</f>
        <v>-41.762841741643669</v>
      </c>
      <c r="U448" s="45">
        <f t="shared" si="125"/>
        <v>0</v>
      </c>
      <c r="V448" s="50">
        <f t="shared" si="126"/>
        <v>99999</v>
      </c>
      <c r="W448" s="45">
        <f t="shared" si="127"/>
        <v>4.2253521126760563E-2</v>
      </c>
      <c r="X448" s="45">
        <f>0.3*W448*Model!$B$9</f>
        <v>3.8275201289827652</v>
      </c>
      <c r="Y448" s="33">
        <f>(S448-X448)/Model!$B$11</f>
        <v>4.7011346850419017E-3</v>
      </c>
      <c r="Z448" s="45">
        <f t="shared" si="128"/>
        <v>1.7465519817699638E-3</v>
      </c>
      <c r="AA448" s="56">
        <f>Y448/Model!$B$12*3600</f>
        <v>30.437632959220981</v>
      </c>
      <c r="AB448" s="50">
        <f t="shared" si="134"/>
        <v>333.49800159041502</v>
      </c>
      <c r="AC448" s="50">
        <f t="shared" si="141"/>
        <v>1466.501998409585</v>
      </c>
      <c r="AD448" s="15">
        <f>IF(AE448=0, Model!$B$19, 0 )</f>
        <v>0</v>
      </c>
      <c r="AE448" s="50">
        <f>IF(AE447+AB447-AB448&lt;Model!$B$19*Model!$B$18, AE447+AB447-AB448,  0)</f>
        <v>110.13657211569853</v>
      </c>
      <c r="AF448" s="15">
        <f t="shared" si="130"/>
        <v>22.300000000000182</v>
      </c>
      <c r="AG448" s="50">
        <f t="shared" si="131"/>
        <v>7.0460929602925965E-2</v>
      </c>
    </row>
    <row r="449" spans="2:33" x14ac:dyDescent="0.25">
      <c r="B449" s="13">
        <f t="shared" si="132"/>
        <v>22.350000000000183</v>
      </c>
      <c r="C449" s="13">
        <f>B449+Model!$B$4</f>
        <v>24.350000000000183</v>
      </c>
      <c r="D449" s="13">
        <f t="shared" si="133"/>
        <v>2</v>
      </c>
      <c r="E449" s="13">
        <f t="shared" si="139"/>
        <v>0.35000000000018261</v>
      </c>
      <c r="F449" s="14">
        <f>IF(AB449&gt;0, VLOOKUP(B449,Model!$A$40:$B$60, 2), 0)</f>
        <v>300</v>
      </c>
      <c r="G449" s="13">
        <f>IF(AB449&gt;0, VLOOKUP(B449,Model!$A$39:$C$58, 3), 0)</f>
        <v>1</v>
      </c>
      <c r="H449" s="13">
        <f t="shared" si="118"/>
        <v>97</v>
      </c>
      <c r="I449" s="46">
        <f>Model!$B$21*EXP((-0.029*9.81*F449)/(8.31*(273+J449)))</f>
        <v>100357.4491247143</v>
      </c>
      <c r="J449" s="13">
        <f>IF(Model!$B$31="Summer",  IF(F449&lt;=2000,  Model!$B$20-Model!$B$35*F449/1000,  IF(F449&lt;Model!$B$36,  Model!$B$33-6.5*F449/1000,  Model!$B$38)),     IF(F449&lt;=2000,  Model!$B$20-Model!$B$35*F449/1000,  IF(F449&lt;Model!$B$36,  Model!$B$33-5.4*F449/1000,   Model!$B$38)))</f>
        <v>-19.088750000000001</v>
      </c>
      <c r="K449" s="13">
        <f t="shared" si="119"/>
        <v>253.91125</v>
      </c>
      <c r="L449" s="46">
        <f>IF(AB448-AA448*(B449-B448)&gt;0, L448-Y448*(B449-B448)*3600-AD449*Model!$B$16, 0)</f>
        <v>705.58702209100477</v>
      </c>
      <c r="M449" s="57">
        <f t="shared" si="120"/>
        <v>18.754184747850729</v>
      </c>
      <c r="N449" s="57">
        <f>Model!$B$13*I449*K449/(Model!$B$13*I449-L449*287*K449)</f>
        <v>291.75418474785073</v>
      </c>
      <c r="O449" s="57">
        <f t="shared" si="121"/>
        <v>272.83271737392533</v>
      </c>
      <c r="P449" s="57">
        <f t="shared" si="122"/>
        <v>-0.16700093593379078</v>
      </c>
      <c r="Q449" s="63">
        <f t="shared" si="123"/>
        <v>2.3988122933548701E-2</v>
      </c>
      <c r="R449" s="17">
        <f t="shared" si="140"/>
        <v>1.3582602606888232E-5</v>
      </c>
      <c r="S449" s="46">
        <f>0.37*Model!$B$10*(Q449^2*(N449-K449)*I449/(R449*O449^2))^0.33333*(N449-K449)</f>
        <v>218762.3818830107</v>
      </c>
      <c r="T449" s="51">
        <f>Model!$B$32+(90-Model!$B$6)*SIN(RADIANS(-15*(E449+6)))</f>
        <v>-41.723907526097328</v>
      </c>
      <c r="U449" s="46">
        <f t="shared" si="125"/>
        <v>0</v>
      </c>
      <c r="V449" s="51">
        <f t="shared" si="126"/>
        <v>99999</v>
      </c>
      <c r="W449" s="46">
        <f t="shared" si="127"/>
        <v>4.2253521126760563E-2</v>
      </c>
      <c r="X449" s="46">
        <f>0.3*W449*Model!$B$9</f>
        <v>3.8275201289827652</v>
      </c>
      <c r="Y449" s="17">
        <f>(S449-X449)/Model!$B$11</f>
        <v>4.6928789952350473E-3</v>
      </c>
      <c r="Z449" s="46">
        <f t="shared" si="128"/>
        <v>1.7496244537278985E-3</v>
      </c>
      <c r="AA449" s="57">
        <f>Y449/Model!$B$12*3600</f>
        <v>30.384181255961821</v>
      </c>
      <c r="AB449" s="51">
        <f t="shared" si="134"/>
        <v>331.97611994245392</v>
      </c>
      <c r="AC449" s="51">
        <f t="shared" si="141"/>
        <v>1468.0238800575462</v>
      </c>
      <c r="AD449" s="13">
        <f>IF(AE449=0, Model!$B$19, 0 )</f>
        <v>0</v>
      </c>
      <c r="AE449" s="51">
        <f>IF(AE448+AB448-AB449&lt;Model!$B$19*Model!$B$18, AE448+AB448-AB449,  0)</f>
        <v>111.65845376365962</v>
      </c>
      <c r="AF449" s="13">
        <f t="shared" si="130"/>
        <v>22.350000000000183</v>
      </c>
      <c r="AG449" s="50">
        <f t="shared" si="131"/>
        <v>8.3500467966895392E-2</v>
      </c>
    </row>
    <row r="450" spans="2:33" x14ac:dyDescent="0.25">
      <c r="B450" s="15">
        <f t="shared" si="132"/>
        <v>22.400000000000183</v>
      </c>
      <c r="C450" s="15">
        <f>B450+Model!$B$4</f>
        <v>24.400000000000183</v>
      </c>
      <c r="D450" s="15">
        <f t="shared" si="133"/>
        <v>2</v>
      </c>
      <c r="E450" s="15">
        <f t="shared" si="139"/>
        <v>0.40000000000018332</v>
      </c>
      <c r="F450" s="16">
        <f>IF(AB450&gt;0, VLOOKUP(B450,Model!$A$40:$B$60, 2), 0)</f>
        <v>300</v>
      </c>
      <c r="G450" s="15">
        <f>IF(AB450&gt;0, VLOOKUP(B450,Model!$A$39:$C$58, 3), 0)</f>
        <v>1</v>
      </c>
      <c r="H450" s="15">
        <f t="shared" ref="H450:H513" si="142">IF(B450=1, 0, G450*97)</f>
        <v>97</v>
      </c>
      <c r="I450" s="45">
        <f>Model!$B$21*EXP((-0.029*9.81*F450)/(8.31*(273+J450)))</f>
        <v>100357.4491247143</v>
      </c>
      <c r="J450" s="15">
        <f>IF(Model!$B$31="Summer",  IF(F450&lt;=2000,  Model!$B$20-Model!$B$35*F450/1000,  IF(F450&lt;Model!$B$36,  Model!$B$33-6.5*F450/1000,  Model!$B$38)),     IF(F450&lt;=2000,  Model!$B$20-Model!$B$35*F450/1000,  IF(F450&lt;Model!$B$36,  Model!$B$33-5.4*F450/1000,   Model!$B$38)))</f>
        <v>-19.088750000000001</v>
      </c>
      <c r="K450" s="15">
        <f t="shared" ref="K450:K513" si="143">273+J450</f>
        <v>253.91125</v>
      </c>
      <c r="L450" s="45">
        <f>IF(AB449-AA449*(B450-B449)&gt;0, L449-Y449*(B450-B449)*3600-AD450*Model!$B$16, 0)</f>
        <v>704.74230387186242</v>
      </c>
      <c r="M450" s="56">
        <f t="shared" ref="M450:M513" si="144">IF(AB450=0, 0, N450-273)</f>
        <v>18.702136782967727</v>
      </c>
      <c r="N450" s="56">
        <f>Model!$B$13*I450*K450/(Model!$B$13*I450-L450*287*K450)</f>
        <v>291.70213678296773</v>
      </c>
      <c r="O450" s="56">
        <f t="shared" ref="O450:O513" si="145">(K450+N450)/2</f>
        <v>272.80669339148386</v>
      </c>
      <c r="P450" s="56">
        <f t="shared" ref="P450:P513" si="146">(J450+M450)/2+W449/150</f>
        <v>-0.19302491837529173</v>
      </c>
      <c r="Q450" s="62">
        <f t="shared" ref="Q450:Q513" si="147">(O450-273)*7.1*0.00001+0.024</f>
        <v>2.3986275230795356E-2</v>
      </c>
      <c r="R450" s="33">
        <f t="shared" si="140"/>
        <v>1.3579896112714321E-5</v>
      </c>
      <c r="S450" s="45">
        <f>0.37*Model!$B$10*(Q450^2*(N450-K450)*I450/(R450*O450^2))^0.33333*(N450-K450)</f>
        <v>218378.48155722831</v>
      </c>
      <c r="T450" s="50">
        <f>Model!$B$32+(90-Model!$B$6)*SIN(RADIANS(-15*(E450+6)))</f>
        <v>-41.679001398873716</v>
      </c>
      <c r="U450" s="45">
        <f t="shared" ref="U450:U513" si="148">IF(OR(T450&lt;0, AB450=0),  0, T450)</f>
        <v>0</v>
      </c>
      <c r="V450" s="50">
        <f t="shared" ref="V450:V513" si="149">IF(T450&lt;0,99999,1/SIN(RADIANS(T450)))</f>
        <v>99999</v>
      </c>
      <c r="W450" s="45">
        <f t="shared" ref="W450:W513" si="150">IF(G450=0,0, 1353*((1+F450/7100)*0.7^V450^0.678)+F450/7100)</f>
        <v>4.2253521126760563E-2</v>
      </c>
      <c r="X450" s="45">
        <f>0.3*W450*Model!$B$9</f>
        <v>3.8275201289827652</v>
      </c>
      <c r="Y450" s="33">
        <f>(S450-X450)/Model!$B$11</f>
        <v>4.6846434417483502E-3</v>
      </c>
      <c r="Z450" s="45">
        <f t="shared" ref="Z450:Z513" si="151">100*X450/S450</f>
        <v>1.7527002210516445E-3</v>
      </c>
      <c r="AA450" s="56">
        <f>Y450/Model!$B$12*3600</f>
        <v>30.330859925891932</v>
      </c>
      <c r="AB450" s="50">
        <f t="shared" si="134"/>
        <v>330.45691087965582</v>
      </c>
      <c r="AC450" s="50">
        <f t="shared" si="141"/>
        <v>1469.5430891203441</v>
      </c>
      <c r="AD450" s="15">
        <f>IF(AE450=0, Model!$B$19, 0 )</f>
        <v>0</v>
      </c>
      <c r="AE450" s="50">
        <f>IF(AE449+AB449-AB450&lt;Model!$B$19*Model!$B$18, AE449+AB449-AB450,  0)</f>
        <v>113.17766282645772</v>
      </c>
      <c r="AF450" s="15">
        <f t="shared" ref="AF450:AF513" si="152">B450</f>
        <v>22.400000000000183</v>
      </c>
      <c r="AG450" s="50">
        <f t="shared" ref="AG450:AG513" si="153">IF(OR(P450&gt;0, AB450&lt;=0),0, IF(P450&lt;-2,0.99,ABS(P450/2)))</f>
        <v>9.6512459187645866E-2</v>
      </c>
    </row>
    <row r="451" spans="2:33" x14ac:dyDescent="0.25">
      <c r="B451" s="13">
        <f t="shared" ref="B451:B514" si="154">IF(AB450&gt;0, B450+0.05, 1)</f>
        <v>22.450000000000184</v>
      </c>
      <c r="C451" s="13">
        <f>B451+Model!$B$4</f>
        <v>24.450000000000184</v>
      </c>
      <c r="D451" s="13">
        <f t="shared" ref="D451:D514" si="155">INT(C451/24+1)</f>
        <v>2</v>
      </c>
      <c r="E451" s="13">
        <f t="shared" si="139"/>
        <v>0.45000000000018403</v>
      </c>
      <c r="F451" s="14">
        <f>IF(AB451&gt;0, VLOOKUP(B451,Model!$A$40:$B$60, 2), 0)</f>
        <v>300</v>
      </c>
      <c r="G451" s="13">
        <f>IF(AB451&gt;0, VLOOKUP(B451,Model!$A$39:$C$58, 3), 0)</f>
        <v>1</v>
      </c>
      <c r="H451" s="13">
        <f t="shared" si="142"/>
        <v>97</v>
      </c>
      <c r="I451" s="46">
        <f>Model!$B$21*EXP((-0.029*9.81*F451)/(8.31*(273+J451)))</f>
        <v>100357.4491247143</v>
      </c>
      <c r="J451" s="13">
        <f>IF(Model!$B$31="Summer",  IF(F451&lt;=2000,  Model!$B$20-Model!$B$35*F451/1000,  IF(F451&lt;Model!$B$36,  Model!$B$33-6.5*F451/1000,  Model!$B$38)),     IF(F451&lt;=2000,  Model!$B$20-Model!$B$35*F451/1000,  IF(F451&lt;Model!$B$36,  Model!$B$33-5.4*F451/1000,   Model!$B$38)))</f>
        <v>-19.088750000000001</v>
      </c>
      <c r="K451" s="13">
        <f t="shared" si="143"/>
        <v>253.91125</v>
      </c>
      <c r="L451" s="46">
        <f>IF(AB450-AA450*(B451-B450)&gt;0, L450-Y450*(B451-B450)*3600-AD451*Model!$B$16, 0)</f>
        <v>703.89906805234773</v>
      </c>
      <c r="M451" s="57">
        <f t="shared" si="144"/>
        <v>18.650198675492277</v>
      </c>
      <c r="N451" s="57">
        <f>Model!$B$13*I451*K451/(Model!$B$13*I451-L451*287*K451)</f>
        <v>291.65019867549228</v>
      </c>
      <c r="O451" s="57">
        <f t="shared" si="145"/>
        <v>272.78072433774616</v>
      </c>
      <c r="P451" s="57">
        <f t="shared" si="146"/>
        <v>-0.21899397211301702</v>
      </c>
      <c r="Q451" s="63">
        <f t="shared" si="147"/>
        <v>2.3984431427979978E-2</v>
      </c>
      <c r="R451" s="17">
        <f t="shared" si="140"/>
        <v>1.35771953311256E-5</v>
      </c>
      <c r="S451" s="46">
        <f>0.37*Model!$B$10*(Q451^2*(N451-K451)*I451/(R451*O451^2))^0.33333*(N451-K451)</f>
        <v>217995.51683531262</v>
      </c>
      <c r="T451" s="51">
        <f>Model!$B$32+(90-Model!$B$6)*SIN(RADIANS(-15*(E451+6)))</f>
        <v>-41.628131054406545</v>
      </c>
      <c r="U451" s="46">
        <f t="shared" si="148"/>
        <v>0</v>
      </c>
      <c r="V451" s="51">
        <f t="shared" si="149"/>
        <v>99999</v>
      </c>
      <c r="W451" s="46">
        <f t="shared" si="150"/>
        <v>4.2253521126760563E-2</v>
      </c>
      <c r="X451" s="46">
        <f>0.3*W451*Model!$B$9</f>
        <v>3.8275201289827652</v>
      </c>
      <c r="Y451" s="17">
        <f>(S451-X451)/Model!$B$11</f>
        <v>4.6764279591372656E-3</v>
      </c>
      <c r="Z451" s="46">
        <f t="shared" si="151"/>
        <v>1.7557792859906895E-3</v>
      </c>
      <c r="AA451" s="57">
        <f>Y451/Model!$B$12*3600</f>
        <v>30.277668545288712</v>
      </c>
      <c r="AB451" s="51">
        <f t="shared" ref="AB451:AB514" si="156">IF(AB450-AA450*(B451-B450)&gt;0, AB450-AA450*(B451-B450), 0)</f>
        <v>328.9403678833612</v>
      </c>
      <c r="AC451" s="51">
        <f t="shared" si="141"/>
        <v>1471.0596321166388</v>
      </c>
      <c r="AD451" s="13">
        <f>IF(AE451=0, Model!$B$19, 0 )</f>
        <v>0</v>
      </c>
      <c r="AE451" s="51">
        <f>IF(AE450+AB450-AB451&lt;Model!$B$19*Model!$B$18, AE450+AB450-AB451,  0)</f>
        <v>114.69420582275234</v>
      </c>
      <c r="AF451" s="13">
        <f t="shared" si="152"/>
        <v>22.450000000000184</v>
      </c>
      <c r="AG451" s="50">
        <f t="shared" si="153"/>
        <v>0.10949698605650851</v>
      </c>
    </row>
    <row r="452" spans="2:33" x14ac:dyDescent="0.25">
      <c r="B452" s="15">
        <f t="shared" si="154"/>
        <v>22.500000000000185</v>
      </c>
      <c r="C452" s="15">
        <f>B452+Model!$B$4</f>
        <v>24.500000000000185</v>
      </c>
      <c r="D452" s="15">
        <f t="shared" si="155"/>
        <v>2</v>
      </c>
      <c r="E452" s="15">
        <f t="shared" si="139"/>
        <v>0.50000000000018474</v>
      </c>
      <c r="F452" s="16">
        <f>IF(AB452&gt;0, VLOOKUP(B452,Model!$A$40:$B$60, 2), 0)</f>
        <v>300</v>
      </c>
      <c r="G452" s="15">
        <f>IF(AB452&gt;0, VLOOKUP(B452,Model!$A$39:$C$58, 3), 0)</f>
        <v>1</v>
      </c>
      <c r="H452" s="15">
        <f t="shared" si="142"/>
        <v>97</v>
      </c>
      <c r="I452" s="45">
        <f>Model!$B$21*EXP((-0.029*9.81*F452)/(8.31*(273+J452)))</f>
        <v>100357.4491247143</v>
      </c>
      <c r="J452" s="15">
        <f>IF(Model!$B$31="Summer",  IF(F452&lt;=2000,  Model!$B$20-Model!$B$35*F452/1000,  IF(F452&lt;Model!$B$36,  Model!$B$33-6.5*F452/1000,  Model!$B$38)),     IF(F452&lt;=2000,  Model!$B$20-Model!$B$35*F452/1000,  IF(F452&lt;Model!$B$36,  Model!$B$33-5.4*F452/1000,   Model!$B$38)))</f>
        <v>-19.088750000000001</v>
      </c>
      <c r="K452" s="15">
        <f t="shared" si="143"/>
        <v>253.91125</v>
      </c>
      <c r="L452" s="45">
        <f>IF(AB451-AA451*(B452-B451)&gt;0, L451-Y451*(B452-B451)*3600-AD452*Model!$B$16, 0)</f>
        <v>703.05731101970298</v>
      </c>
      <c r="M452" s="56">
        <f t="shared" si="144"/>
        <v>18.598370095585665</v>
      </c>
      <c r="N452" s="56">
        <f>Model!$B$13*I452*K452/(Model!$B$13*I452-L452*287*K452)</f>
        <v>291.59837009558566</v>
      </c>
      <c r="O452" s="56">
        <f t="shared" si="145"/>
        <v>272.75481004779283</v>
      </c>
      <c r="P452" s="56">
        <f t="shared" si="146"/>
        <v>-0.24490826206632305</v>
      </c>
      <c r="Q452" s="62">
        <f t="shared" si="147"/>
        <v>2.3982591513393291E-2</v>
      </c>
      <c r="R452" s="33">
        <f t="shared" si="140"/>
        <v>1.3574500244970453E-5</v>
      </c>
      <c r="S452" s="45">
        <f>0.37*Model!$B$10*(Q452^2*(N452-K452)*I452/(R452*O452^2))^0.33333*(N452-K452)</f>
        <v>217613.48467928258</v>
      </c>
      <c r="T452" s="50">
        <f>Model!$B$32+(90-Model!$B$6)*SIN(RADIANS(-15*(E452+6)))</f>
        <v>-41.571305209067468</v>
      </c>
      <c r="U452" s="45">
        <f t="shared" si="148"/>
        <v>0</v>
      </c>
      <c r="V452" s="50">
        <f t="shared" si="149"/>
        <v>99999</v>
      </c>
      <c r="W452" s="45">
        <f t="shared" si="150"/>
        <v>4.2253521126760563E-2</v>
      </c>
      <c r="X452" s="45">
        <f>0.3*W452*Model!$B$9</f>
        <v>3.8275201289827652</v>
      </c>
      <c r="Y452" s="33">
        <f>(S452-X452)/Model!$B$11</f>
        <v>4.6682324822300463E-3</v>
      </c>
      <c r="Z452" s="45">
        <f t="shared" si="151"/>
        <v>1.7588616507950971E-3</v>
      </c>
      <c r="AA452" s="56">
        <f>Y452/Model!$B$12*3600</f>
        <v>30.224606692195792</v>
      </c>
      <c r="AB452" s="50">
        <f t="shared" si="156"/>
        <v>327.42648445609677</v>
      </c>
      <c r="AC452" s="50">
        <f t="shared" si="141"/>
        <v>1472.5735155439033</v>
      </c>
      <c r="AD452" s="15">
        <f>IF(AE452=0, Model!$B$19, 0 )</f>
        <v>0</v>
      </c>
      <c r="AE452" s="50">
        <f>IF(AE451+AB451-AB452&lt;Model!$B$19*Model!$B$18, AE451+AB451-AB452,  0)</f>
        <v>116.20808925001677</v>
      </c>
      <c r="AF452" s="15">
        <f t="shared" si="152"/>
        <v>22.500000000000185</v>
      </c>
      <c r="AG452" s="50">
        <f t="shared" si="153"/>
        <v>0.12245413103316152</v>
      </c>
    </row>
    <row r="453" spans="2:33" x14ac:dyDescent="0.25">
      <c r="B453" s="13">
        <f t="shared" si="154"/>
        <v>22.550000000000185</v>
      </c>
      <c r="C453" s="13">
        <f>B453+Model!$B$4</f>
        <v>24.550000000000185</v>
      </c>
      <c r="D453" s="13">
        <f t="shared" si="155"/>
        <v>2</v>
      </c>
      <c r="E453" s="13">
        <f t="shared" si="139"/>
        <v>0.55000000000018545</v>
      </c>
      <c r="F453" s="14">
        <f>IF(AB453&gt;0, VLOOKUP(B453,Model!$A$40:$B$60, 2), 0)</f>
        <v>300</v>
      </c>
      <c r="G453" s="13">
        <f>IF(AB453&gt;0, VLOOKUP(B453,Model!$A$39:$C$58, 3), 0)</f>
        <v>1</v>
      </c>
      <c r="H453" s="13">
        <f t="shared" si="142"/>
        <v>97</v>
      </c>
      <c r="I453" s="46">
        <f>Model!$B$21*EXP((-0.029*9.81*F453)/(8.31*(273+J453)))</f>
        <v>100357.4491247143</v>
      </c>
      <c r="J453" s="13">
        <f>IF(Model!$B$31="Summer",  IF(F453&lt;=2000,  Model!$B$20-Model!$B$35*F453/1000,  IF(F453&lt;Model!$B$36,  Model!$B$33-6.5*F453/1000,  Model!$B$38)),     IF(F453&lt;=2000,  Model!$B$20-Model!$B$35*F453/1000,  IF(F453&lt;Model!$B$36,  Model!$B$33-5.4*F453/1000,   Model!$B$38)))</f>
        <v>-19.088750000000001</v>
      </c>
      <c r="K453" s="13">
        <f t="shared" si="143"/>
        <v>253.91125</v>
      </c>
      <c r="L453" s="46">
        <f>IF(AB452-AA452*(B453-B452)&gt;0, L452-Y452*(B453-B452)*3600-AD453*Model!$B$16, 0)</f>
        <v>702.21702917290156</v>
      </c>
      <c r="M453" s="57">
        <f t="shared" si="144"/>
        <v>18.546650714729367</v>
      </c>
      <c r="N453" s="57">
        <f>Model!$B$13*I453*K453/(Model!$B$13*I453-L453*287*K453)</f>
        <v>291.54665071472937</v>
      </c>
      <c r="O453" s="57">
        <f t="shared" si="145"/>
        <v>272.72895035736468</v>
      </c>
      <c r="P453" s="57">
        <f t="shared" si="146"/>
        <v>-0.270767952494472</v>
      </c>
      <c r="Q453" s="63">
        <f t="shared" si="147"/>
        <v>2.3980755475372893E-2</v>
      </c>
      <c r="R453" s="17">
        <f t="shared" si="140"/>
        <v>1.3571810837165927E-5</v>
      </c>
      <c r="S453" s="46">
        <f>0.37*Model!$B$10*(Q453^2*(N453-K453)*I453/(R453*O453^2))^0.33333*(N453-K453)</f>
        <v>217232.38206380975</v>
      </c>
      <c r="T453" s="51">
        <f>Model!$B$32+(90-Model!$B$6)*SIN(RADIANS(-15*(E453+6)))</f>
        <v>-41.508533599672539</v>
      </c>
      <c r="U453" s="46">
        <f t="shared" si="148"/>
        <v>0</v>
      </c>
      <c r="V453" s="51">
        <f t="shared" si="149"/>
        <v>99999</v>
      </c>
      <c r="W453" s="46">
        <f t="shared" si="150"/>
        <v>4.2253521126760563E-2</v>
      </c>
      <c r="X453" s="46">
        <f>0.3*W453*Model!$B$9</f>
        <v>3.8275201289827652</v>
      </c>
      <c r="Y453" s="17">
        <f>(S453-X453)/Model!$B$11</f>
        <v>4.6600569461263709E-3</v>
      </c>
      <c r="Z453" s="46">
        <f t="shared" si="151"/>
        <v>1.7619473177154918E-3</v>
      </c>
      <c r="AA453" s="57">
        <f>Y453/Model!$B$12*3600</f>
        <v>30.171673946414167</v>
      </c>
      <c r="AB453" s="51">
        <f t="shared" si="156"/>
        <v>325.91525412148695</v>
      </c>
      <c r="AC453" s="51">
        <f t="shared" si="141"/>
        <v>1474.0847458785131</v>
      </c>
      <c r="AD453" s="13">
        <f>IF(AE453=0, Model!$B$19, 0 )</f>
        <v>0</v>
      </c>
      <c r="AE453" s="51">
        <f>IF(AE452+AB452-AB453&lt;Model!$B$19*Model!$B$18, AE452+AB452-AB453,  0)</f>
        <v>117.71931958462659</v>
      </c>
      <c r="AF453" s="13">
        <f t="shared" si="152"/>
        <v>22.550000000000185</v>
      </c>
      <c r="AG453" s="50">
        <f t="shared" si="153"/>
        <v>0.135383976247236</v>
      </c>
    </row>
    <row r="454" spans="2:33" x14ac:dyDescent="0.25">
      <c r="B454" s="15">
        <f t="shared" si="154"/>
        <v>22.600000000000186</v>
      </c>
      <c r="C454" s="15">
        <f>B454+Model!$B$4</f>
        <v>24.600000000000186</v>
      </c>
      <c r="D454" s="15">
        <f t="shared" si="155"/>
        <v>2</v>
      </c>
      <c r="E454" s="15">
        <f t="shared" si="139"/>
        <v>0.60000000000018616</v>
      </c>
      <c r="F454" s="16">
        <f>IF(AB454&gt;0, VLOOKUP(B454,Model!$A$40:$B$60, 2), 0)</f>
        <v>300</v>
      </c>
      <c r="G454" s="15">
        <f>IF(AB454&gt;0, VLOOKUP(B454,Model!$A$39:$C$58, 3), 0)</f>
        <v>1</v>
      </c>
      <c r="H454" s="15">
        <f t="shared" si="142"/>
        <v>97</v>
      </c>
      <c r="I454" s="45">
        <f>Model!$B$21*EXP((-0.029*9.81*F454)/(8.31*(273+J454)))</f>
        <v>100357.4491247143</v>
      </c>
      <c r="J454" s="15">
        <f>IF(Model!$B$31="Summer",  IF(F454&lt;=2000,  Model!$B$20-Model!$B$35*F454/1000,  IF(F454&lt;Model!$B$36,  Model!$B$33-6.5*F454/1000,  Model!$B$38)),     IF(F454&lt;=2000,  Model!$B$20-Model!$B$35*F454/1000,  IF(F454&lt;Model!$B$36,  Model!$B$33-5.4*F454/1000,   Model!$B$38)))</f>
        <v>-19.088750000000001</v>
      </c>
      <c r="K454" s="15">
        <f t="shared" si="143"/>
        <v>253.91125</v>
      </c>
      <c r="L454" s="45">
        <f>IF(AB453-AA453*(B454-B453)&gt;0, L453-Y453*(B454-B453)*3600-AD454*Model!$B$16, 0)</f>
        <v>701.37821892259876</v>
      </c>
      <c r="M454" s="56">
        <f t="shared" si="144"/>
        <v>18.495040205717714</v>
      </c>
      <c r="N454" s="56">
        <f>Model!$B$13*I454*K454/(Model!$B$13*I454-L454*287*K454)</f>
        <v>291.49504020571771</v>
      </c>
      <c r="O454" s="56">
        <f t="shared" si="145"/>
        <v>272.70314510285885</v>
      </c>
      <c r="P454" s="56">
        <f t="shared" si="146"/>
        <v>-0.29657320700029827</v>
      </c>
      <c r="Q454" s="62">
        <f t="shared" si="147"/>
        <v>2.397892330230298E-2</v>
      </c>
      <c r="R454" s="33">
        <f t="shared" si="140"/>
        <v>1.3569127090697319E-5</v>
      </c>
      <c r="S454" s="45">
        <f>0.37*Model!$B$10*(Q454^2*(N454-K454)*I454/(R454*O454^2))^0.33333*(N454-K454)</f>
        <v>216852.20597614849</v>
      </c>
      <c r="T454" s="50">
        <f>Model!$B$32+(90-Model!$B$6)*SIN(RADIANS(-15*(E454+6)))</f>
        <v>-41.43982698181388</v>
      </c>
      <c r="U454" s="45">
        <f t="shared" si="148"/>
        <v>0</v>
      </c>
      <c r="V454" s="50">
        <f t="shared" si="149"/>
        <v>99999</v>
      </c>
      <c r="W454" s="45">
        <f t="shared" si="150"/>
        <v>4.2253521126760563E-2</v>
      </c>
      <c r="X454" s="45">
        <f>0.3*W454*Model!$B$9</f>
        <v>3.8275201289827652</v>
      </c>
      <c r="Y454" s="33">
        <f>(S454-X454)/Model!$B$11</f>
        <v>4.6519012861958491E-3</v>
      </c>
      <c r="Z454" s="45">
        <f t="shared" si="151"/>
        <v>1.7650362890030979E-3</v>
      </c>
      <c r="AA454" s="56">
        <f>Y454/Model!$B$12*3600</f>
        <v>30.11886988949248</v>
      </c>
      <c r="AB454" s="50">
        <f t="shared" si="156"/>
        <v>324.40667042416624</v>
      </c>
      <c r="AC454" s="50">
        <f t="shared" si="141"/>
        <v>1475.5933295758336</v>
      </c>
      <c r="AD454" s="15">
        <f>IF(AE454=0, Model!$B$19, 0 )</f>
        <v>0</v>
      </c>
      <c r="AE454" s="50">
        <f>IF(AE453+AB453-AB454&lt;Model!$B$19*Model!$B$18, AE453+AB453-AB454,  0)</f>
        <v>119.22790328194731</v>
      </c>
      <c r="AF454" s="15">
        <f t="shared" si="152"/>
        <v>22.600000000000186</v>
      </c>
      <c r="AG454" s="50">
        <f t="shared" si="153"/>
        <v>0.14828660350014913</v>
      </c>
    </row>
    <row r="455" spans="2:33" x14ac:dyDescent="0.25">
      <c r="B455" s="13">
        <f t="shared" si="154"/>
        <v>22.650000000000187</v>
      </c>
      <c r="C455" s="13">
        <f>B455+Model!$B$4</f>
        <v>24.650000000000187</v>
      </c>
      <c r="D455" s="13">
        <f t="shared" si="155"/>
        <v>2</v>
      </c>
      <c r="E455" s="13">
        <f t="shared" si="139"/>
        <v>0.65000000000018687</v>
      </c>
      <c r="F455" s="14">
        <f>IF(AB455&gt;0, VLOOKUP(B455,Model!$A$40:$B$60, 2), 0)</f>
        <v>300</v>
      </c>
      <c r="G455" s="13">
        <f>IF(AB455&gt;0, VLOOKUP(B455,Model!$A$39:$C$58, 3), 0)</f>
        <v>1</v>
      </c>
      <c r="H455" s="13">
        <f t="shared" si="142"/>
        <v>97</v>
      </c>
      <c r="I455" s="46">
        <f>Model!$B$21*EXP((-0.029*9.81*F455)/(8.31*(273+J455)))</f>
        <v>100357.4491247143</v>
      </c>
      <c r="J455" s="13">
        <f>IF(Model!$B$31="Summer",  IF(F455&lt;=2000,  Model!$B$20-Model!$B$35*F455/1000,  IF(F455&lt;Model!$B$36,  Model!$B$33-6.5*F455/1000,  Model!$B$38)),     IF(F455&lt;=2000,  Model!$B$20-Model!$B$35*F455/1000,  IF(F455&lt;Model!$B$36,  Model!$B$33-5.4*F455/1000,   Model!$B$38)))</f>
        <v>-19.088750000000001</v>
      </c>
      <c r="K455" s="13">
        <f t="shared" si="143"/>
        <v>253.91125</v>
      </c>
      <c r="L455" s="46">
        <f>IF(AB454-AA454*(B455-B454)&gt;0, L454-Y454*(B455-B454)*3600-AD455*Model!$B$16, 0)</f>
        <v>700.54087669108355</v>
      </c>
      <c r="M455" s="57">
        <f t="shared" si="144"/>
        <v>18.443538242651982</v>
      </c>
      <c r="N455" s="57">
        <f>Model!$B$13*I455*K455/(Model!$B$13*I455-L455*287*K455)</f>
        <v>291.44353824265198</v>
      </c>
      <c r="O455" s="57">
        <f t="shared" si="145"/>
        <v>272.67739412132596</v>
      </c>
      <c r="P455" s="57">
        <f t="shared" si="146"/>
        <v>-0.3223241885331643</v>
      </c>
      <c r="Q455" s="63">
        <f t="shared" si="147"/>
        <v>2.3977094982614144E-2</v>
      </c>
      <c r="R455" s="17">
        <f t="shared" si="140"/>
        <v>1.35664489886179E-5</v>
      </c>
      <c r="S455" s="46">
        <f>0.37*Model!$B$10*(Q455^2*(N455-K455)*I455/(R455*O455^2))^0.33333*(N455-K455)</f>
        <v>216472.95341607631</v>
      </c>
      <c r="T455" s="51">
        <f>Model!$B$32+(90-Model!$B$6)*SIN(RADIANS(-15*(E455+6)))</f>
        <v>-41.365197128016753</v>
      </c>
      <c r="U455" s="46">
        <f t="shared" si="148"/>
        <v>0</v>
      </c>
      <c r="V455" s="51">
        <f t="shared" si="149"/>
        <v>99999</v>
      </c>
      <c r="W455" s="46">
        <f t="shared" si="150"/>
        <v>4.2253521126760563E-2</v>
      </c>
      <c r="X455" s="46">
        <f>0.3*W455*Model!$B$9</f>
        <v>3.8275201289827652</v>
      </c>
      <c r="Y455" s="17">
        <f>(S455-X455)/Model!$B$11</f>
        <v>4.6437654380767418E-3</v>
      </c>
      <c r="Z455" s="46">
        <f t="shared" si="151"/>
        <v>1.7681285669096966E-3</v>
      </c>
      <c r="AA455" s="57">
        <f>Y455/Model!$B$12*3600</f>
        <v>30.0661941047188</v>
      </c>
      <c r="AB455" s="51">
        <f t="shared" si="156"/>
        <v>322.90072692969159</v>
      </c>
      <c r="AC455" s="51">
        <f t="shared" si="141"/>
        <v>1477.0992730703083</v>
      </c>
      <c r="AD455" s="13">
        <f>IF(AE455=0, Model!$B$19, 0 )</f>
        <v>0</v>
      </c>
      <c r="AE455" s="51">
        <f>IF(AE454+AB454-AB455&lt;Model!$B$19*Model!$B$18, AE454+AB454-AB455,  0)</f>
        <v>120.73384677642196</v>
      </c>
      <c r="AF455" s="13">
        <f t="shared" si="152"/>
        <v>22.650000000000187</v>
      </c>
      <c r="AG455" s="50">
        <f t="shared" si="153"/>
        <v>0.16116209426658215</v>
      </c>
    </row>
    <row r="456" spans="2:33" x14ac:dyDescent="0.25">
      <c r="B456" s="15">
        <f t="shared" si="154"/>
        <v>22.700000000000188</v>
      </c>
      <c r="C456" s="15">
        <f>B456+Model!$B$4</f>
        <v>24.700000000000188</v>
      </c>
      <c r="D456" s="15">
        <f t="shared" si="155"/>
        <v>2</v>
      </c>
      <c r="E456" s="15">
        <f t="shared" si="139"/>
        <v>0.70000000000018758</v>
      </c>
      <c r="F456" s="16">
        <f>IF(AB456&gt;0, VLOOKUP(B456,Model!$A$40:$B$60, 2), 0)</f>
        <v>300</v>
      </c>
      <c r="G456" s="15">
        <f>IF(AB456&gt;0, VLOOKUP(B456,Model!$A$39:$C$58, 3), 0)</f>
        <v>1</v>
      </c>
      <c r="H456" s="15">
        <f t="shared" si="142"/>
        <v>97</v>
      </c>
      <c r="I456" s="45">
        <f>Model!$B$21*EXP((-0.029*9.81*F456)/(8.31*(273+J456)))</f>
        <v>100357.4491247143</v>
      </c>
      <c r="J456" s="15">
        <f>IF(Model!$B$31="Summer",  IF(F456&lt;=2000,  Model!$B$20-Model!$B$35*F456/1000,  IF(F456&lt;Model!$B$36,  Model!$B$33-6.5*F456/1000,  Model!$B$38)),     IF(F456&lt;=2000,  Model!$B$20-Model!$B$35*F456/1000,  IF(F456&lt;Model!$B$36,  Model!$B$33-5.4*F456/1000,   Model!$B$38)))</f>
        <v>-19.088750000000001</v>
      </c>
      <c r="K456" s="15">
        <f t="shared" si="143"/>
        <v>253.91125</v>
      </c>
      <c r="L456" s="45">
        <f>IF(AB455-AA455*(B456-B455)&gt;0, L455-Y455*(B456-B455)*3600-AD456*Model!$B$16, 0)</f>
        <v>699.70499891222971</v>
      </c>
      <c r="M456" s="56">
        <f t="shared" si="144"/>
        <v>18.392144500933341</v>
      </c>
      <c r="N456" s="56">
        <f>Model!$B$13*I456*K456/(Model!$B$13*I456-L456*287*K456)</f>
        <v>291.39214450093334</v>
      </c>
      <c r="O456" s="56">
        <f t="shared" si="145"/>
        <v>272.65169725046667</v>
      </c>
      <c r="P456" s="56">
        <f t="shared" si="146"/>
        <v>-0.3480210593924849</v>
      </c>
      <c r="Q456" s="62">
        <f t="shared" si="147"/>
        <v>2.3975270504783135E-2</v>
      </c>
      <c r="R456" s="33">
        <f t="shared" si="140"/>
        <v>1.3563776514048532E-5</v>
      </c>
      <c r="S456" s="45">
        <f>0.37*Model!$B$10*(Q456^2*(N456-K456)*I456/(R456*O456^2))^0.33333*(N456-K456)</f>
        <v>216094.62139582622</v>
      </c>
      <c r="T456" s="50">
        <f>Model!$B$32+(90-Model!$B$6)*SIN(RADIANS(-15*(E456+6)))</f>
        <v>-41.284656825722422</v>
      </c>
      <c r="U456" s="45">
        <f t="shared" si="148"/>
        <v>0</v>
      </c>
      <c r="V456" s="50">
        <f t="shared" si="149"/>
        <v>99999</v>
      </c>
      <c r="W456" s="45">
        <f t="shared" si="150"/>
        <v>4.2253521126760563E-2</v>
      </c>
      <c r="X456" s="45">
        <f>0.3*W456*Model!$B$9</f>
        <v>3.8275201289827652</v>
      </c>
      <c r="Y456" s="33">
        <f>(S456-X456)/Model!$B$11</f>
        <v>4.6356493376745094E-3</v>
      </c>
      <c r="Z456" s="45">
        <f t="shared" si="151"/>
        <v>1.7712241536876549E-3</v>
      </c>
      <c r="AA456" s="56">
        <f>Y456/Model!$B$12*3600</f>
        <v>30.013646177111159</v>
      </c>
      <c r="AB456" s="50">
        <f t="shared" si="156"/>
        <v>321.39741722445564</v>
      </c>
      <c r="AC456" s="50">
        <f t="shared" si="141"/>
        <v>1478.6025827755443</v>
      </c>
      <c r="AD456" s="15">
        <f>IF(AE456=0, Model!$B$19, 0 )</f>
        <v>0</v>
      </c>
      <c r="AE456" s="50">
        <f>IF(AE455+AB455-AB456&lt;Model!$B$19*Model!$B$18, AE455+AB455-AB456,  0)</f>
        <v>122.23715648165791</v>
      </c>
      <c r="AF456" s="15">
        <f t="shared" si="152"/>
        <v>22.700000000000188</v>
      </c>
      <c r="AG456" s="50">
        <f t="shared" si="153"/>
        <v>0.17401052969624245</v>
      </c>
    </row>
    <row r="457" spans="2:33" x14ac:dyDescent="0.25">
      <c r="B457" s="13">
        <f t="shared" si="154"/>
        <v>22.750000000000188</v>
      </c>
      <c r="C457" s="13">
        <f>B457+Model!$B$4</f>
        <v>24.750000000000188</v>
      </c>
      <c r="D457" s="13">
        <f t="shared" si="155"/>
        <v>2</v>
      </c>
      <c r="E457" s="13">
        <f t="shared" si="139"/>
        <v>0.75000000000018829</v>
      </c>
      <c r="F457" s="14">
        <f>IF(AB457&gt;0, VLOOKUP(B457,Model!$A$40:$B$60, 2), 0)</f>
        <v>300</v>
      </c>
      <c r="G457" s="13">
        <f>IF(AB457&gt;0, VLOOKUP(B457,Model!$A$39:$C$58, 3), 0)</f>
        <v>1</v>
      </c>
      <c r="H457" s="13">
        <f t="shared" si="142"/>
        <v>97</v>
      </c>
      <c r="I457" s="46">
        <f>Model!$B$21*EXP((-0.029*9.81*F457)/(8.31*(273+J457)))</f>
        <v>100357.4491247143</v>
      </c>
      <c r="J457" s="13">
        <f>IF(Model!$B$31="Summer",  IF(F457&lt;=2000,  Model!$B$20-Model!$B$35*F457/1000,  IF(F457&lt;Model!$B$36,  Model!$B$33-6.5*F457/1000,  Model!$B$38)),     IF(F457&lt;=2000,  Model!$B$20-Model!$B$35*F457/1000,  IF(F457&lt;Model!$B$36,  Model!$B$33-5.4*F457/1000,   Model!$B$38)))</f>
        <v>-19.088750000000001</v>
      </c>
      <c r="K457" s="13">
        <f t="shared" si="143"/>
        <v>253.91125</v>
      </c>
      <c r="L457" s="46">
        <f>IF(AB456-AA456*(B457-B456)&gt;0, L456-Y456*(B457-B456)*3600-AD457*Model!$B$16, 0)</f>
        <v>698.87058203144829</v>
      </c>
      <c r="M457" s="57">
        <f t="shared" si="144"/>
        <v>18.340858657256376</v>
      </c>
      <c r="N457" s="57">
        <f>Model!$B$13*I457*K457/(Model!$B$13*I457-L457*287*K457)</f>
        <v>291.34085865725638</v>
      </c>
      <c r="O457" s="57">
        <f t="shared" si="145"/>
        <v>272.62605432862819</v>
      </c>
      <c r="P457" s="57">
        <f t="shared" si="146"/>
        <v>-0.37366398123096728</v>
      </c>
      <c r="Q457" s="63">
        <f t="shared" si="147"/>
        <v>2.3973449857332602E-2</v>
      </c>
      <c r="R457" s="17">
        <f t="shared" si="140"/>
        <v>1.3561109650177329E-5</v>
      </c>
      <c r="S457" s="46">
        <f>0.37*Model!$B$10*(Q457^2*(N457-K457)*I457/(R457*O457^2))^0.33333*(N457-K457)</f>
        <v>215717.20694002285</v>
      </c>
      <c r="T457" s="51">
        <f>Model!$B$32+(90-Model!$B$6)*SIN(RADIANS(-15*(E457+6)))</f>
        <v>-41.198219875097053</v>
      </c>
      <c r="U457" s="46">
        <f t="shared" si="148"/>
        <v>0</v>
      </c>
      <c r="V457" s="51">
        <f t="shared" si="149"/>
        <v>99999</v>
      </c>
      <c r="W457" s="46">
        <f t="shared" si="150"/>
        <v>4.2253521126760563E-2</v>
      </c>
      <c r="X457" s="46">
        <f>0.3*W457*Model!$B$9</f>
        <v>3.8275201289827652</v>
      </c>
      <c r="Y457" s="17">
        <f>(S457-X457)/Model!$B$11</f>
        <v>4.6275529211604388E-3</v>
      </c>
      <c r="Z457" s="46">
        <f t="shared" si="151"/>
        <v>1.7743230515899241E-3</v>
      </c>
      <c r="AA457" s="57">
        <f>Y457/Model!$B$12*3600</f>
        <v>29.961225693408711</v>
      </c>
      <c r="AB457" s="51">
        <f t="shared" si="156"/>
        <v>319.89673491560006</v>
      </c>
      <c r="AC457" s="51">
        <f t="shared" si="141"/>
        <v>1480.1032650843999</v>
      </c>
      <c r="AD457" s="13">
        <f>IF(AE457=0, Model!$B$19, 0 )</f>
        <v>0</v>
      </c>
      <c r="AE457" s="51">
        <f>IF(AE456+AB456-AB457&lt;Model!$B$19*Model!$B$18, AE456+AB456-AB457,  0)</f>
        <v>123.73783879051348</v>
      </c>
      <c r="AF457" s="13">
        <f t="shared" si="152"/>
        <v>22.750000000000188</v>
      </c>
      <c r="AG457" s="50">
        <f t="shared" si="153"/>
        <v>0.18683199061548364</v>
      </c>
    </row>
    <row r="458" spans="2:33" x14ac:dyDescent="0.25">
      <c r="B458" s="15">
        <f t="shared" si="154"/>
        <v>22.800000000000189</v>
      </c>
      <c r="C458" s="15">
        <f>B458+Model!$B$4</f>
        <v>24.800000000000189</v>
      </c>
      <c r="D458" s="15">
        <f t="shared" si="155"/>
        <v>2</v>
      </c>
      <c r="E458" s="15">
        <f t="shared" si="139"/>
        <v>0.800000000000189</v>
      </c>
      <c r="F458" s="16">
        <f>IF(AB458&gt;0, VLOOKUP(B458,Model!$A$40:$B$60, 2), 0)</f>
        <v>300</v>
      </c>
      <c r="G458" s="15">
        <f>IF(AB458&gt;0, VLOOKUP(B458,Model!$A$39:$C$58, 3), 0)</f>
        <v>1</v>
      </c>
      <c r="H458" s="15">
        <f t="shared" si="142"/>
        <v>97</v>
      </c>
      <c r="I458" s="45">
        <f>Model!$B$21*EXP((-0.029*9.81*F458)/(8.31*(273+J458)))</f>
        <v>100357.4491247143</v>
      </c>
      <c r="J458" s="15">
        <f>IF(Model!$B$31="Summer",  IF(F458&lt;=2000,  Model!$B$20-Model!$B$35*F458/1000,  IF(F458&lt;Model!$B$36,  Model!$B$33-6.5*F458/1000,  Model!$B$38)),     IF(F458&lt;=2000,  Model!$B$20-Model!$B$35*F458/1000,  IF(F458&lt;Model!$B$36,  Model!$B$33-5.4*F458/1000,   Model!$B$38)))</f>
        <v>-19.088750000000001</v>
      </c>
      <c r="K458" s="15">
        <f t="shared" si="143"/>
        <v>253.91125</v>
      </c>
      <c r="L458" s="45">
        <f>IF(AB457-AA457*(B458-B457)&gt;0, L457-Y457*(B458-B457)*3600-AD458*Model!$B$16, 0)</f>
        <v>698.03762250563943</v>
      </c>
      <c r="M458" s="56">
        <f t="shared" si="144"/>
        <v>18.289680389602893</v>
      </c>
      <c r="N458" s="56">
        <f>Model!$B$13*I458*K458/(Model!$B$13*I458-L458*287*K458)</f>
        <v>291.28968038960289</v>
      </c>
      <c r="O458" s="56">
        <f t="shared" si="145"/>
        <v>272.60046519480147</v>
      </c>
      <c r="P458" s="56">
        <f t="shared" si="146"/>
        <v>-0.39925311505770905</v>
      </c>
      <c r="Q458" s="62">
        <f t="shared" si="147"/>
        <v>2.3971633028830906E-2</v>
      </c>
      <c r="R458" s="33">
        <f t="shared" si="140"/>
        <v>1.3558448380259353E-5</v>
      </c>
      <c r="S458" s="45">
        <f>0.37*Model!$B$10*(Q458^2*(N458-K458)*I458/(R458*O458^2))^0.33333*(N458-K458)</f>
        <v>215340.70708562201</v>
      </c>
      <c r="T458" s="50">
        <f>Model!$B$32+(90-Model!$B$6)*SIN(RADIANS(-15*(E458+6)))</f>
        <v>-41.10590108666716</v>
      </c>
      <c r="U458" s="45">
        <f t="shared" si="148"/>
        <v>0</v>
      </c>
      <c r="V458" s="50">
        <f t="shared" si="149"/>
        <v>99999</v>
      </c>
      <c r="W458" s="45">
        <f t="shared" si="150"/>
        <v>4.2253521126760563E-2</v>
      </c>
      <c r="X458" s="45">
        <f>0.3*W458*Model!$B$9</f>
        <v>3.8275201289827652</v>
      </c>
      <c r="Y458" s="33">
        <f>(S458-X458)/Model!$B$11</f>
        <v>4.6194761249703535E-3</v>
      </c>
      <c r="Z458" s="45">
        <f t="shared" si="151"/>
        <v>1.7774252628700146E-3</v>
      </c>
      <c r="AA458" s="56">
        <f>Y458/Model!$B$12*3600</f>
        <v>29.908932242063347</v>
      </c>
      <c r="AB458" s="50">
        <f t="shared" si="156"/>
        <v>318.39867363092958</v>
      </c>
      <c r="AC458" s="50">
        <f t="shared" si="141"/>
        <v>1481.6013263690704</v>
      </c>
      <c r="AD458" s="15">
        <f>IF(AE458=0, Model!$B$19, 0 )</f>
        <v>0</v>
      </c>
      <c r="AE458" s="50">
        <f>IF(AE457+AB457-AB458&lt;Model!$B$19*Model!$B$18, AE457+AB457-AB458,  0)</f>
        <v>125.23590007518396</v>
      </c>
      <c r="AF458" s="15">
        <f t="shared" si="152"/>
        <v>22.800000000000189</v>
      </c>
      <c r="AG458" s="50">
        <f t="shared" si="153"/>
        <v>0.19962655752885453</v>
      </c>
    </row>
    <row r="459" spans="2:33" x14ac:dyDescent="0.25">
      <c r="B459" s="13">
        <f t="shared" si="154"/>
        <v>22.85000000000019</v>
      </c>
      <c r="C459" s="13">
        <f>B459+Model!$B$4</f>
        <v>24.85000000000019</v>
      </c>
      <c r="D459" s="13">
        <f t="shared" si="155"/>
        <v>2</v>
      </c>
      <c r="E459" s="13">
        <f t="shared" si="139"/>
        <v>0.85000000000018971</v>
      </c>
      <c r="F459" s="14">
        <f>IF(AB459&gt;0, VLOOKUP(B459,Model!$A$40:$B$60, 2), 0)</f>
        <v>300</v>
      </c>
      <c r="G459" s="13">
        <f>IF(AB459&gt;0, VLOOKUP(B459,Model!$A$39:$C$58, 3), 0)</f>
        <v>1</v>
      </c>
      <c r="H459" s="13">
        <f t="shared" si="142"/>
        <v>97</v>
      </c>
      <c r="I459" s="46">
        <f>Model!$B$21*EXP((-0.029*9.81*F459)/(8.31*(273+J459)))</f>
        <v>100357.4491247143</v>
      </c>
      <c r="J459" s="13">
        <f>IF(Model!$B$31="Summer",  IF(F459&lt;=2000,  Model!$B$20-Model!$B$35*F459/1000,  IF(F459&lt;Model!$B$36,  Model!$B$33-6.5*F459/1000,  Model!$B$38)),     IF(F459&lt;=2000,  Model!$B$20-Model!$B$35*F459/1000,  IF(F459&lt;Model!$B$36,  Model!$B$33-5.4*F459/1000,   Model!$B$38)))</f>
        <v>-19.088750000000001</v>
      </c>
      <c r="K459" s="13">
        <f t="shared" si="143"/>
        <v>253.91125</v>
      </c>
      <c r="L459" s="46">
        <f>IF(AB458-AA458*(B459-B458)&gt;0, L458-Y458*(B459-B458)*3600-AD459*Model!$B$16, 0)</f>
        <v>697.20611680314471</v>
      </c>
      <c r="M459" s="57">
        <f t="shared" si="144"/>
        <v>18.238609377234695</v>
      </c>
      <c r="N459" s="57">
        <f>Model!$B$13*I459*K459/(Model!$B$13*I459-L459*287*K459)</f>
        <v>291.2386093772347</v>
      </c>
      <c r="O459" s="57">
        <f t="shared" si="145"/>
        <v>272.57492968861732</v>
      </c>
      <c r="P459" s="57">
        <f t="shared" si="146"/>
        <v>-0.42478862124180777</v>
      </c>
      <c r="Q459" s="63">
        <f t="shared" si="147"/>
        <v>2.3969820007891829E-2</v>
      </c>
      <c r="R459" s="17">
        <f t="shared" si="140"/>
        <v>1.35557926876162E-5</v>
      </c>
      <c r="S459" s="46">
        <f>0.37*Model!$B$10*(Q459^2*(N459-K459)*I459/(R459*O459^2))^0.33333*(N459-K459)</f>
        <v>214965.11888184084</v>
      </c>
      <c r="T459" s="51">
        <f>Model!$B$32+(90-Model!$B$6)*SIN(RADIANS(-15*(E459+6)))</f>
        <v>-41.007716278781885</v>
      </c>
      <c r="U459" s="46">
        <f t="shared" si="148"/>
        <v>0</v>
      </c>
      <c r="V459" s="51">
        <f t="shared" si="149"/>
        <v>99999</v>
      </c>
      <c r="W459" s="46">
        <f t="shared" si="150"/>
        <v>4.2253521126760563E-2</v>
      </c>
      <c r="X459" s="46">
        <f>0.3*W459*Model!$B$9</f>
        <v>3.8275201289827652</v>
      </c>
      <c r="Y459" s="17">
        <f>(S459-X459)/Model!$B$11</f>
        <v>4.6114188858031079E-3</v>
      </c>
      <c r="Z459" s="46">
        <f t="shared" si="151"/>
        <v>1.7805307897820507E-3</v>
      </c>
      <c r="AA459" s="57">
        <f>Y459/Model!$B$12*3600</f>
        <v>29.856765413229958</v>
      </c>
      <c r="AB459" s="51">
        <f t="shared" si="156"/>
        <v>316.90322701882639</v>
      </c>
      <c r="AC459" s="51">
        <f t="shared" si="141"/>
        <v>1483.0967729811737</v>
      </c>
      <c r="AD459" s="13">
        <f>IF(AE459=0, Model!$B$19, 0 )</f>
        <v>0</v>
      </c>
      <c r="AE459" s="51">
        <f>IF(AE458+AB458-AB459&lt;Model!$B$19*Model!$B$18, AE458+AB458-AB459,  0)</f>
        <v>126.73134668728716</v>
      </c>
      <c r="AF459" s="13">
        <f t="shared" si="152"/>
        <v>22.85000000000019</v>
      </c>
      <c r="AG459" s="50">
        <f t="shared" si="153"/>
        <v>0.21239431062090389</v>
      </c>
    </row>
    <row r="460" spans="2:33" x14ac:dyDescent="0.25">
      <c r="B460" s="15">
        <f t="shared" si="154"/>
        <v>22.90000000000019</v>
      </c>
      <c r="C460" s="15">
        <f>B460+Model!$B$4</f>
        <v>24.90000000000019</v>
      </c>
      <c r="D460" s="15">
        <f t="shared" si="155"/>
        <v>2</v>
      </c>
      <c r="E460" s="15">
        <f t="shared" si="139"/>
        <v>0.90000000000019043</v>
      </c>
      <c r="F460" s="16">
        <f>IF(AB460&gt;0, VLOOKUP(B460,Model!$A$40:$B$60, 2), 0)</f>
        <v>300</v>
      </c>
      <c r="G460" s="15">
        <f>IF(AB460&gt;0, VLOOKUP(B460,Model!$A$39:$C$58, 3), 0)</f>
        <v>1</v>
      </c>
      <c r="H460" s="15">
        <f t="shared" si="142"/>
        <v>97</v>
      </c>
      <c r="I460" s="45">
        <f>Model!$B$21*EXP((-0.029*9.81*F460)/(8.31*(273+J460)))</f>
        <v>100357.4491247143</v>
      </c>
      <c r="J460" s="15">
        <f>IF(Model!$B$31="Summer",  IF(F460&lt;=2000,  Model!$B$20-Model!$B$35*F460/1000,  IF(F460&lt;Model!$B$36,  Model!$B$33-6.5*F460/1000,  Model!$B$38)),     IF(F460&lt;=2000,  Model!$B$20-Model!$B$35*F460/1000,  IF(F460&lt;Model!$B$36,  Model!$B$33-5.4*F460/1000,   Model!$B$38)))</f>
        <v>-19.088750000000001</v>
      </c>
      <c r="K460" s="15">
        <f t="shared" si="143"/>
        <v>253.91125</v>
      </c>
      <c r="L460" s="45">
        <f>IF(AB459-AA459*(B460-B459)&gt;0, L459-Y459*(B460-B459)*3600-AD460*Model!$B$16, 0)</f>
        <v>696.37606140370019</v>
      </c>
      <c r="M460" s="56">
        <f t="shared" si="144"/>
        <v>18.187645300688132</v>
      </c>
      <c r="N460" s="56">
        <f>Model!$B$13*I460*K460/(Model!$B$13*I460-L460*287*K460)</f>
        <v>291.18764530068813</v>
      </c>
      <c r="O460" s="56">
        <f t="shared" si="145"/>
        <v>272.54944765034406</v>
      </c>
      <c r="P460" s="56">
        <f t="shared" si="146"/>
        <v>-0.45027065951508943</v>
      </c>
      <c r="Q460" s="62">
        <f t="shared" si="147"/>
        <v>2.3968010783174429E-2</v>
      </c>
      <c r="R460" s="33">
        <f t="shared" si="140"/>
        <v>1.3553142555635782E-5</v>
      </c>
      <c r="S460" s="45">
        <f>0.37*Model!$B$10*(Q460^2*(N460-K460)*I460/(R460*O460^2))^0.33333*(N460-K460)</f>
        <v>214590.43939010313</v>
      </c>
      <c r="T460" s="50">
        <f>Model!$B$32+(90-Model!$B$6)*SIN(RADIANS(-15*(E460+6)))</f>
        <v>-40.9036822749026</v>
      </c>
      <c r="U460" s="45">
        <f t="shared" si="148"/>
        <v>0</v>
      </c>
      <c r="V460" s="50">
        <f t="shared" si="149"/>
        <v>99999</v>
      </c>
      <c r="W460" s="45">
        <f t="shared" si="150"/>
        <v>4.2253521126760563E-2</v>
      </c>
      <c r="X460" s="45">
        <f>0.3*W460*Model!$B$9</f>
        <v>3.8275201289827652</v>
      </c>
      <c r="Y460" s="33">
        <f>(S460-X460)/Model!$B$11</f>
        <v>4.6033811406194173E-3</v>
      </c>
      <c r="Z460" s="45">
        <f t="shared" si="151"/>
        <v>1.7836396345807053E-3</v>
      </c>
      <c r="AA460" s="56">
        <f>Y460/Model!$B$12*3600</f>
        <v>29.804724798758876</v>
      </c>
      <c r="AB460" s="50">
        <f t="shared" si="156"/>
        <v>315.41038874816485</v>
      </c>
      <c r="AC460" s="50">
        <f t="shared" si="141"/>
        <v>1484.5896112518351</v>
      </c>
      <c r="AD460" s="15">
        <f>IF(AE460=0, Model!$B$19, 0 )</f>
        <v>0</v>
      </c>
      <c r="AE460" s="50">
        <f>IF(AE459+AB459-AB460&lt;Model!$B$19*Model!$B$18, AE459+AB459-AB460,  0)</f>
        <v>128.22418495794869</v>
      </c>
      <c r="AF460" s="15">
        <f t="shared" si="152"/>
        <v>22.90000000000019</v>
      </c>
      <c r="AG460" s="50">
        <f t="shared" si="153"/>
        <v>0.22513532975754472</v>
      </c>
    </row>
    <row r="461" spans="2:33" x14ac:dyDescent="0.25">
      <c r="B461" s="13">
        <f t="shared" si="154"/>
        <v>22.950000000000191</v>
      </c>
      <c r="C461" s="13">
        <f>B461+Model!$B$4</f>
        <v>24.950000000000191</v>
      </c>
      <c r="D461" s="13">
        <f t="shared" si="155"/>
        <v>2</v>
      </c>
      <c r="E461" s="13">
        <f t="shared" si="139"/>
        <v>0.95000000000019114</v>
      </c>
      <c r="F461" s="14">
        <f>IF(AB461&gt;0, VLOOKUP(B461,Model!$A$40:$B$60, 2), 0)</f>
        <v>300</v>
      </c>
      <c r="G461" s="13">
        <f>IF(AB461&gt;0, VLOOKUP(B461,Model!$A$39:$C$58, 3), 0)</f>
        <v>1</v>
      </c>
      <c r="H461" s="13">
        <f t="shared" si="142"/>
        <v>97</v>
      </c>
      <c r="I461" s="46">
        <f>Model!$B$21*EXP((-0.029*9.81*F461)/(8.31*(273+J461)))</f>
        <v>100357.4491247143</v>
      </c>
      <c r="J461" s="13">
        <f>IF(Model!$B$31="Summer",  IF(F461&lt;=2000,  Model!$B$20-Model!$B$35*F461/1000,  IF(F461&lt;Model!$B$36,  Model!$B$33-6.5*F461/1000,  Model!$B$38)),     IF(F461&lt;=2000,  Model!$B$20-Model!$B$35*F461/1000,  IF(F461&lt;Model!$B$36,  Model!$B$33-5.4*F461/1000,   Model!$B$38)))</f>
        <v>-19.088750000000001</v>
      </c>
      <c r="K461" s="13">
        <f t="shared" si="143"/>
        <v>253.91125</v>
      </c>
      <c r="L461" s="46">
        <f>IF(AB460-AA460*(B461-B460)&gt;0, L460-Y460*(B461-B460)*3600-AD461*Model!$B$16, 0)</f>
        <v>695.54745279838869</v>
      </c>
      <c r="M461" s="57">
        <f t="shared" si="144"/>
        <v>18.136787841766989</v>
      </c>
      <c r="N461" s="57">
        <f>Model!$B$13*I461*K461/(Model!$B$13*I461-L461*287*K461)</f>
        <v>291.13678784176699</v>
      </c>
      <c r="O461" s="57">
        <f t="shared" si="145"/>
        <v>272.52401892088346</v>
      </c>
      <c r="P461" s="57">
        <f t="shared" si="146"/>
        <v>-0.47569938897566116</v>
      </c>
      <c r="Q461" s="63">
        <f t="shared" si="147"/>
        <v>2.3966205343382726E-2</v>
      </c>
      <c r="R461" s="17">
        <f t="shared" si="140"/>
        <v>1.355049796777188E-5</v>
      </c>
      <c r="S461" s="46">
        <f>0.37*Model!$B$10*(Q461^2*(N461-K461)*I461/(R461*O461^2))^0.33333*(N461-K461)</f>
        <v>214216.66568397099</v>
      </c>
      <c r="T461" s="51">
        <f>Model!$B$32+(90-Model!$B$6)*SIN(RADIANS(-15*(E461+6)))</f>
        <v>-40.793816900720294</v>
      </c>
      <c r="U461" s="46">
        <f t="shared" si="148"/>
        <v>0</v>
      </c>
      <c r="V461" s="51">
        <f t="shared" si="149"/>
        <v>99999</v>
      </c>
      <c r="W461" s="46">
        <f t="shared" si="150"/>
        <v>4.2253521126760563E-2</v>
      </c>
      <c r="X461" s="46">
        <f>0.3*W461*Model!$B$9</f>
        <v>3.8275201289827652</v>
      </c>
      <c r="Y461" s="17">
        <f>(S461-X461)/Model!$B$11</f>
        <v>4.5953628266403946E-3</v>
      </c>
      <c r="Z461" s="46">
        <f t="shared" si="151"/>
        <v>1.786751799521247E-3</v>
      </c>
      <c r="AA461" s="57">
        <f>Y461/Model!$B$12*3600</f>
        <v>29.752809992186361</v>
      </c>
      <c r="AB461" s="51">
        <f t="shared" si="156"/>
        <v>313.92015250822686</v>
      </c>
      <c r="AC461" s="51">
        <f t="shared" si="141"/>
        <v>1486.0798474917731</v>
      </c>
      <c r="AD461" s="13">
        <f>IF(AE461=0, Model!$B$19, 0 )</f>
        <v>0</v>
      </c>
      <c r="AE461" s="51">
        <f>IF(AE460+AB460-AB461&lt;Model!$B$19*Model!$B$18, AE460+AB460-AB461,  0)</f>
        <v>129.71442119788668</v>
      </c>
      <c r="AF461" s="13">
        <f t="shared" si="152"/>
        <v>22.950000000000191</v>
      </c>
      <c r="AG461" s="50">
        <f t="shared" si="153"/>
        <v>0.23784969448783058</v>
      </c>
    </row>
    <row r="462" spans="2:33" x14ac:dyDescent="0.25">
      <c r="B462" s="15">
        <f t="shared" si="154"/>
        <v>23.000000000000192</v>
      </c>
      <c r="C462" s="15">
        <f>B462+Model!$B$4</f>
        <v>25.000000000000192</v>
      </c>
      <c r="D462" s="15">
        <f t="shared" si="155"/>
        <v>2</v>
      </c>
      <c r="E462" s="15">
        <f t="shared" si="139"/>
        <v>1.0000000000001918</v>
      </c>
      <c r="F462" s="16">
        <f>IF(AB462&gt;0, VLOOKUP(B462,Model!$A$40:$B$60, 2), 0)</f>
        <v>300</v>
      </c>
      <c r="G462" s="15">
        <f>IF(AB462&gt;0, VLOOKUP(B462,Model!$A$39:$C$58, 3), 0)</f>
        <v>1</v>
      </c>
      <c r="H462" s="15">
        <f t="shared" si="142"/>
        <v>97</v>
      </c>
      <c r="I462" s="45">
        <f>Model!$B$21*EXP((-0.029*9.81*F462)/(8.31*(273+J462)))</f>
        <v>100357.4491247143</v>
      </c>
      <c r="J462" s="15">
        <f>IF(Model!$B$31="Summer",  IF(F462&lt;=2000,  Model!$B$20-Model!$B$35*F462/1000,  IF(F462&lt;Model!$B$36,  Model!$B$33-6.5*F462/1000,  Model!$B$38)),     IF(F462&lt;=2000,  Model!$B$20-Model!$B$35*F462/1000,  IF(F462&lt;Model!$B$36,  Model!$B$33-5.4*F462/1000,   Model!$B$38)))</f>
        <v>-19.088750000000001</v>
      </c>
      <c r="K462" s="15">
        <f t="shared" si="143"/>
        <v>253.91125</v>
      </c>
      <c r="L462" s="45">
        <f>IF(AB461-AA461*(B462-B461)&gt;0, L461-Y461*(B462-B461)*3600-AD462*Model!$B$16, 0)</f>
        <v>694.72028748959337</v>
      </c>
      <c r="M462" s="56">
        <f t="shared" si="144"/>
        <v>18.086036683536292</v>
      </c>
      <c r="N462" s="56">
        <f>Model!$B$13*I462*K462/(Model!$B$13*I462-L462*287*K462)</f>
        <v>291.08603668353629</v>
      </c>
      <c r="O462" s="56">
        <f t="shared" si="145"/>
        <v>272.49864334176812</v>
      </c>
      <c r="P462" s="56">
        <f t="shared" si="146"/>
        <v>-0.50107496809100915</v>
      </c>
      <c r="Q462" s="62">
        <f t="shared" si="147"/>
        <v>2.3964403677265537E-2</v>
      </c>
      <c r="R462" s="33">
        <f t="shared" si="140"/>
        <v>1.3547858907543883E-5</v>
      </c>
      <c r="S462" s="45">
        <f>0.37*Model!$B$10*(Q462^2*(N462-K462)*I462/(R462*O462^2))^0.33333*(N462-K462)</f>
        <v>213843.79484908414</v>
      </c>
      <c r="T462" s="50">
        <f>Model!$B$32+(90-Model!$B$6)*SIN(RADIANS(-15*(E462+6)))</f>
        <v>-40.678138981101263</v>
      </c>
      <c r="U462" s="45">
        <f t="shared" si="148"/>
        <v>0</v>
      </c>
      <c r="V462" s="50">
        <f t="shared" si="149"/>
        <v>99999</v>
      </c>
      <c r="W462" s="45">
        <f t="shared" si="150"/>
        <v>4.2253521126760563E-2</v>
      </c>
      <c r="X462" s="45">
        <f>0.3*W462*Model!$B$9</f>
        <v>3.8275201289827652</v>
      </c>
      <c r="Y462" s="33">
        <f>(S462-X462)/Model!$B$11</f>
        <v>4.5873638813462439E-3</v>
      </c>
      <c r="Z462" s="45">
        <f t="shared" si="151"/>
        <v>1.7898672868595317E-3</v>
      </c>
      <c r="AA462" s="56">
        <f>Y462/Model!$B$12*3600</f>
        <v>29.701020588726188</v>
      </c>
      <c r="AB462" s="50">
        <f t="shared" si="156"/>
        <v>312.43251200861755</v>
      </c>
      <c r="AC462" s="50">
        <f t="shared" si="141"/>
        <v>1487.5674879913824</v>
      </c>
      <c r="AD462" s="15">
        <f>IF(AE462=0, Model!$B$19, 0 )</f>
        <v>0</v>
      </c>
      <c r="AE462" s="50">
        <f>IF(AE461+AB461-AB462&lt;Model!$B$19*Model!$B$18, AE461+AB461-AB462,  0)</f>
        <v>131.20206169749599</v>
      </c>
      <c r="AF462" s="15">
        <f t="shared" si="152"/>
        <v>23.000000000000192</v>
      </c>
      <c r="AG462" s="50">
        <f t="shared" si="153"/>
        <v>0.25053748404550458</v>
      </c>
    </row>
    <row r="463" spans="2:33" x14ac:dyDescent="0.25">
      <c r="B463" s="13">
        <f t="shared" si="154"/>
        <v>23.050000000000193</v>
      </c>
      <c r="C463" s="13">
        <f>B463+Model!$B$4</f>
        <v>25.050000000000193</v>
      </c>
      <c r="D463" s="13">
        <f t="shared" si="155"/>
        <v>2</v>
      </c>
      <c r="E463" s="13">
        <f t="shared" si="139"/>
        <v>1.0500000000001926</v>
      </c>
      <c r="F463" s="14">
        <f>IF(AB463&gt;0, VLOOKUP(B463,Model!$A$40:$B$60, 2), 0)</f>
        <v>300</v>
      </c>
      <c r="G463" s="13">
        <f>IF(AB463&gt;0, VLOOKUP(B463,Model!$A$39:$C$58, 3), 0)</f>
        <v>1</v>
      </c>
      <c r="H463" s="13">
        <f t="shared" si="142"/>
        <v>97</v>
      </c>
      <c r="I463" s="46">
        <f>Model!$B$21*EXP((-0.029*9.81*F463)/(8.31*(273+J463)))</f>
        <v>100357.4491247143</v>
      </c>
      <c r="J463" s="13">
        <f>IF(Model!$B$31="Summer",  IF(F463&lt;=2000,  Model!$B$20-Model!$B$35*F463/1000,  IF(F463&lt;Model!$B$36,  Model!$B$33-6.5*F463/1000,  Model!$B$38)),     IF(F463&lt;=2000,  Model!$B$20-Model!$B$35*F463/1000,  IF(F463&lt;Model!$B$36,  Model!$B$33-5.4*F463/1000,   Model!$B$38)))</f>
        <v>-19.088750000000001</v>
      </c>
      <c r="K463" s="13">
        <f t="shared" si="143"/>
        <v>253.91125</v>
      </c>
      <c r="L463" s="46">
        <f>IF(AB462-AA462*(B463-B462)&gt;0, L462-Y462*(B463-B462)*3600-AD463*Model!$B$16, 0)</f>
        <v>693.89456199095105</v>
      </c>
      <c r="M463" s="57">
        <f t="shared" si="144"/>
        <v>18.035391510316174</v>
      </c>
      <c r="N463" s="57">
        <f>Model!$B$13*I463*K463/(Model!$B$13*I463-L463*287*K463)</f>
        <v>291.03539151031617</v>
      </c>
      <c r="O463" s="57">
        <f t="shared" si="145"/>
        <v>272.47332075515806</v>
      </c>
      <c r="P463" s="57">
        <f t="shared" si="146"/>
        <v>-0.52639755470106842</v>
      </c>
      <c r="Q463" s="63">
        <f t="shared" si="147"/>
        <v>2.3962605773616221E-2</v>
      </c>
      <c r="R463" s="17">
        <f t="shared" si="140"/>
        <v>1.3545225358536438E-5</v>
      </c>
      <c r="S463" s="46">
        <f>0.37*Model!$B$10*(Q463^2*(N463-K463)*I463/(R463*O463^2))^0.33333*(N463-K463)</f>
        <v>213471.82398309972</v>
      </c>
      <c r="T463" s="51">
        <f>Model!$B$32+(90-Model!$B$6)*SIN(RADIANS(-15*(E463+6)))</f>
        <v>-40.556668336861499</v>
      </c>
      <c r="U463" s="46">
        <f t="shared" si="148"/>
        <v>0</v>
      </c>
      <c r="V463" s="51">
        <f t="shared" si="149"/>
        <v>99999</v>
      </c>
      <c r="W463" s="46">
        <f t="shared" si="150"/>
        <v>4.2253521126760563E-2</v>
      </c>
      <c r="X463" s="46">
        <f>0.3*W463*Model!$B$9</f>
        <v>3.8275201289827652</v>
      </c>
      <c r="Y463" s="17">
        <f>(S463-X463)/Model!$B$11</f>
        <v>4.5793842424749704E-3</v>
      </c>
      <c r="Z463" s="46">
        <f t="shared" si="151"/>
        <v>1.7929860988519894E-3</v>
      </c>
      <c r="AA463" s="57">
        <f>Y463/Model!$B$12*3600</f>
        <v>29.649356185261265</v>
      </c>
      <c r="AB463" s="51">
        <f t="shared" si="156"/>
        <v>310.94746097918124</v>
      </c>
      <c r="AC463" s="51">
        <f t="shared" si="141"/>
        <v>1489.0525390208188</v>
      </c>
      <c r="AD463" s="13">
        <f>IF(AE463=0, Model!$B$19, 0 )</f>
        <v>0</v>
      </c>
      <c r="AE463" s="51">
        <f>IF(AE462+AB462-AB463&lt;Model!$B$19*Model!$B$18, AE462+AB462-AB463,  0)</f>
        <v>132.6871127269323</v>
      </c>
      <c r="AF463" s="13">
        <f t="shared" si="152"/>
        <v>23.050000000000193</v>
      </c>
      <c r="AG463" s="50">
        <f t="shared" si="153"/>
        <v>0.26319877735053421</v>
      </c>
    </row>
    <row r="464" spans="2:33" x14ac:dyDescent="0.25">
      <c r="B464" s="15">
        <f t="shared" si="154"/>
        <v>23.100000000000193</v>
      </c>
      <c r="C464" s="15">
        <f>B464+Model!$B$4</f>
        <v>25.100000000000193</v>
      </c>
      <c r="D464" s="15">
        <f t="shared" si="155"/>
        <v>2</v>
      </c>
      <c r="E464" s="15">
        <f t="shared" si="139"/>
        <v>1.1000000000001933</v>
      </c>
      <c r="F464" s="16">
        <f>IF(AB464&gt;0, VLOOKUP(B464,Model!$A$40:$B$60, 2), 0)</f>
        <v>300</v>
      </c>
      <c r="G464" s="15">
        <f>IF(AB464&gt;0, VLOOKUP(B464,Model!$A$39:$C$58, 3), 0)</f>
        <v>1</v>
      </c>
      <c r="H464" s="15">
        <f t="shared" si="142"/>
        <v>97</v>
      </c>
      <c r="I464" s="45">
        <f>Model!$B$21*EXP((-0.029*9.81*F464)/(8.31*(273+J464)))</f>
        <v>100357.4491247143</v>
      </c>
      <c r="J464" s="15">
        <f>IF(Model!$B$31="Summer",  IF(F464&lt;=2000,  Model!$B$20-Model!$B$35*F464/1000,  IF(F464&lt;Model!$B$36,  Model!$B$33-6.5*F464/1000,  Model!$B$38)),     IF(F464&lt;=2000,  Model!$B$20-Model!$B$35*F464/1000,  IF(F464&lt;Model!$B$36,  Model!$B$33-5.4*F464/1000,   Model!$B$38)))</f>
        <v>-19.088750000000001</v>
      </c>
      <c r="K464" s="15">
        <f t="shared" si="143"/>
        <v>253.91125</v>
      </c>
      <c r="L464" s="45">
        <f>IF(AB463-AA463*(B464-B463)&gt;0, L463-Y463*(B464-B463)*3600-AD464*Model!$B$16, 0)</f>
        <v>693.07027282730553</v>
      </c>
      <c r="M464" s="56">
        <f t="shared" si="144"/>
        <v>17.984852007675443</v>
      </c>
      <c r="N464" s="56">
        <f>Model!$B$13*I464*K464/(Model!$B$13*I464-L464*287*K464)</f>
        <v>290.98485200767544</v>
      </c>
      <c r="O464" s="56">
        <f t="shared" si="145"/>
        <v>272.44805100383769</v>
      </c>
      <c r="P464" s="56">
        <f t="shared" si="146"/>
        <v>-0.5516673060214341</v>
      </c>
      <c r="Q464" s="62">
        <f t="shared" si="147"/>
        <v>2.3960811621272476E-2</v>
      </c>
      <c r="R464" s="33">
        <f t="shared" si="140"/>
        <v>1.3542597304399119E-5</v>
      </c>
      <c r="S464" s="45">
        <f>0.37*Model!$B$10*(Q464^2*(N464-K464)*I464/(R464*O464^2))^0.33333*(N464-K464)</f>
        <v>213100.75019562972</v>
      </c>
      <c r="T464" s="50">
        <f>Model!$B$32+(90-Model!$B$6)*SIN(RADIANS(-15*(E464+6)))</f>
        <v>-40.429425781370576</v>
      </c>
      <c r="U464" s="45">
        <f t="shared" si="148"/>
        <v>0</v>
      </c>
      <c r="V464" s="50">
        <f t="shared" si="149"/>
        <v>99999</v>
      </c>
      <c r="W464" s="45">
        <f t="shared" si="150"/>
        <v>4.2253521126760563E-2</v>
      </c>
      <c r="X464" s="45">
        <f>0.3*W464*Model!$B$9</f>
        <v>3.8275201289827652</v>
      </c>
      <c r="Y464" s="33">
        <f>(S464-X464)/Model!$B$11</f>
        <v>4.5714238480210395E-3</v>
      </c>
      <c r="Z464" s="45">
        <f t="shared" si="151"/>
        <v>1.7961082377556362E-3</v>
      </c>
      <c r="AA464" s="56">
        <f>Y464/Model!$B$12*3600</f>
        <v>29.597816380334955</v>
      </c>
      <c r="AB464" s="50">
        <f t="shared" si="156"/>
        <v>309.46499316991816</v>
      </c>
      <c r="AC464" s="50">
        <f t="shared" si="141"/>
        <v>1490.5350068300818</v>
      </c>
      <c r="AD464" s="15">
        <f>IF(AE464=0, Model!$B$19, 0 )</f>
        <v>0</v>
      </c>
      <c r="AE464" s="50">
        <f>IF(AE463+AB463-AB464&lt;Model!$B$19*Model!$B$18, AE463+AB463-AB464,  0)</f>
        <v>134.16958053619538</v>
      </c>
      <c r="AF464" s="15">
        <f t="shared" si="152"/>
        <v>23.100000000000193</v>
      </c>
      <c r="AG464" s="50">
        <f t="shared" si="153"/>
        <v>0.27583365301071705</v>
      </c>
    </row>
    <row r="465" spans="2:33" x14ac:dyDescent="0.25">
      <c r="B465" s="13">
        <f t="shared" si="154"/>
        <v>23.150000000000194</v>
      </c>
      <c r="C465" s="13">
        <f>B465+Model!$B$4</f>
        <v>25.150000000000194</v>
      </c>
      <c r="D465" s="13">
        <f t="shared" si="155"/>
        <v>2</v>
      </c>
      <c r="E465" s="13">
        <f t="shared" si="139"/>
        <v>1.150000000000194</v>
      </c>
      <c r="F465" s="14">
        <f>IF(AB465&gt;0, VLOOKUP(B465,Model!$A$40:$B$60, 2), 0)</f>
        <v>300</v>
      </c>
      <c r="G465" s="13">
        <f>IF(AB465&gt;0, VLOOKUP(B465,Model!$A$39:$C$58, 3), 0)</f>
        <v>1</v>
      </c>
      <c r="H465" s="13">
        <f t="shared" si="142"/>
        <v>97</v>
      </c>
      <c r="I465" s="46">
        <f>Model!$B$21*EXP((-0.029*9.81*F465)/(8.31*(273+J465)))</f>
        <v>100357.4491247143</v>
      </c>
      <c r="J465" s="13">
        <f>IF(Model!$B$31="Summer",  IF(F465&lt;=2000,  Model!$B$20-Model!$B$35*F465/1000,  IF(F465&lt;Model!$B$36,  Model!$B$33-6.5*F465/1000,  Model!$B$38)),     IF(F465&lt;=2000,  Model!$B$20-Model!$B$35*F465/1000,  IF(F465&lt;Model!$B$36,  Model!$B$33-5.4*F465/1000,   Model!$B$38)))</f>
        <v>-19.088750000000001</v>
      </c>
      <c r="K465" s="13">
        <f t="shared" si="143"/>
        <v>253.91125</v>
      </c>
      <c r="L465" s="46">
        <f>IF(AB464-AA464*(B465-B464)&gt;0, L464-Y464*(B465-B464)*3600-AD465*Model!$B$16, 0)</f>
        <v>692.24741653466174</v>
      </c>
      <c r="M465" s="57">
        <f t="shared" si="144"/>
        <v>17.934417862425391</v>
      </c>
      <c r="N465" s="57">
        <f>Model!$B$13*I465*K465/(Model!$B$13*I465-L465*287*K465)</f>
        <v>290.93441786242539</v>
      </c>
      <c r="O465" s="57">
        <f t="shared" si="145"/>
        <v>272.42283393121272</v>
      </c>
      <c r="P465" s="57">
        <f t="shared" si="146"/>
        <v>-0.57688437864645969</v>
      </c>
      <c r="Q465" s="63">
        <f t="shared" si="147"/>
        <v>2.3959021209116103E-2</v>
      </c>
      <c r="R465" s="17">
        <f t="shared" si="140"/>
        <v>1.3539974728846121E-5</v>
      </c>
      <c r="S465" s="46">
        <f>0.37*Model!$B$10*(Q465^2*(N465-K465)*I465/(R465*O465^2))^0.33333*(N465-K465)</f>
        <v>212730.57060818002</v>
      </c>
      <c r="T465" s="51">
        <f>Model!$B$32+(90-Model!$B$6)*SIN(RADIANS(-15*(E465+6)))</f>
        <v>-40.296433116985327</v>
      </c>
      <c r="U465" s="46">
        <f t="shared" si="148"/>
        <v>0</v>
      </c>
      <c r="V465" s="51">
        <f t="shared" si="149"/>
        <v>99999</v>
      </c>
      <c r="W465" s="46">
        <f t="shared" si="150"/>
        <v>4.2253521126760563E-2</v>
      </c>
      <c r="X465" s="46">
        <f>0.3*W465*Model!$B$9</f>
        <v>3.8275201289827652</v>
      </c>
      <c r="Y465" s="17">
        <f>(S465-X465)/Model!$B$11</f>
        <v>4.5634826362340669E-3</v>
      </c>
      <c r="Z465" s="46">
        <f t="shared" si="151"/>
        <v>1.7992337058280741E-3</v>
      </c>
      <c r="AA465" s="57">
        <f>Y465/Model!$B$12*3600</f>
        <v>29.546400774142601</v>
      </c>
      <c r="AB465" s="51">
        <f t="shared" si="156"/>
        <v>307.9851023509014</v>
      </c>
      <c r="AC465" s="51">
        <f t="shared" si="141"/>
        <v>1492.0148976490987</v>
      </c>
      <c r="AD465" s="13">
        <f>IF(AE465=0, Model!$B$19, 0 )</f>
        <v>0</v>
      </c>
      <c r="AE465" s="51">
        <f>IF(AE464+AB464-AB465&lt;Model!$B$19*Model!$B$18, AE464+AB464-AB465,  0)</f>
        <v>135.64947135521214</v>
      </c>
      <c r="AF465" s="13">
        <f t="shared" si="152"/>
        <v>23.150000000000194</v>
      </c>
      <c r="AG465" s="50">
        <f t="shared" si="153"/>
        <v>0.28844218932322985</v>
      </c>
    </row>
    <row r="466" spans="2:33" x14ac:dyDescent="0.25">
      <c r="B466" s="15">
        <f t="shared" si="154"/>
        <v>23.200000000000195</v>
      </c>
      <c r="C466" s="15">
        <f>B466+Model!$B$4</f>
        <v>25.200000000000195</v>
      </c>
      <c r="D466" s="15">
        <f t="shared" si="155"/>
        <v>2</v>
      </c>
      <c r="E466" s="15">
        <f t="shared" si="139"/>
        <v>1.2000000000001947</v>
      </c>
      <c r="F466" s="16">
        <f>IF(AB466&gt;0, VLOOKUP(B466,Model!$A$40:$B$60, 2), 0)</f>
        <v>300</v>
      </c>
      <c r="G466" s="15">
        <f>IF(AB466&gt;0, VLOOKUP(B466,Model!$A$39:$C$58, 3), 0)</f>
        <v>1</v>
      </c>
      <c r="H466" s="15">
        <f t="shared" si="142"/>
        <v>97</v>
      </c>
      <c r="I466" s="45">
        <f>Model!$B$21*EXP((-0.029*9.81*F466)/(8.31*(273+J466)))</f>
        <v>100357.4491247143</v>
      </c>
      <c r="J466" s="15">
        <f>IF(Model!$B$31="Summer",  IF(F466&lt;=2000,  Model!$B$20-Model!$B$35*F466/1000,  IF(F466&lt;Model!$B$36,  Model!$B$33-6.5*F466/1000,  Model!$B$38)),     IF(F466&lt;=2000,  Model!$B$20-Model!$B$35*F466/1000,  IF(F466&lt;Model!$B$36,  Model!$B$33-5.4*F466/1000,   Model!$B$38)))</f>
        <v>-19.088750000000001</v>
      </c>
      <c r="K466" s="15">
        <f t="shared" si="143"/>
        <v>253.91125</v>
      </c>
      <c r="L466" s="45">
        <f>IF(AB465-AA465*(B466-B465)&gt;0, L465-Y465*(B466-B465)*3600-AD466*Model!$B$16, 0)</f>
        <v>691.42598966013963</v>
      </c>
      <c r="M466" s="56">
        <f t="shared" si="144"/>
        <v>17.884088762613487</v>
      </c>
      <c r="N466" s="56">
        <f>Model!$B$13*I466*K466/(Model!$B$13*I466-L466*287*K466)</f>
        <v>290.88408876261349</v>
      </c>
      <c r="O466" s="56">
        <f t="shared" si="145"/>
        <v>272.39766938130674</v>
      </c>
      <c r="P466" s="56">
        <f t="shared" si="146"/>
        <v>-0.60204892855241177</v>
      </c>
      <c r="Q466" s="62">
        <f t="shared" si="147"/>
        <v>2.395723452607278E-2</v>
      </c>
      <c r="R466" s="33">
        <f t="shared" si="140"/>
        <v>1.35373576156559E-5</v>
      </c>
      <c r="S466" s="45">
        <f>0.37*Model!$B$10*(Q466^2*(N466-K466)*I466/(R466*O466^2))^0.33333*(N466-K466)</f>
        <v>212361.28235409004</v>
      </c>
      <c r="T466" s="50">
        <f>Model!$B$32+(90-Model!$B$6)*SIN(RADIANS(-15*(E466+6)))</f>
        <v>-40.157713131314146</v>
      </c>
      <c r="U466" s="45">
        <f t="shared" si="148"/>
        <v>0</v>
      </c>
      <c r="V466" s="50">
        <f t="shared" si="149"/>
        <v>99999</v>
      </c>
      <c r="W466" s="45">
        <f t="shared" si="150"/>
        <v>4.2253521126760563E-2</v>
      </c>
      <c r="X466" s="45">
        <f>0.3*W466*Model!$B$9</f>
        <v>3.8275201289827652</v>
      </c>
      <c r="Y466" s="33">
        <f>(S466-X466)/Model!$B$11</f>
        <v>4.5555605456175279E-3</v>
      </c>
      <c r="Z466" s="45">
        <f t="shared" si="151"/>
        <v>1.8023625053274915E-3</v>
      </c>
      <c r="AA466" s="56">
        <f>Y466/Model!$B$12*3600</f>
        <v>29.49510896852318</v>
      </c>
      <c r="AB466" s="50">
        <f t="shared" si="156"/>
        <v>306.50778231219425</v>
      </c>
      <c r="AC466" s="50">
        <f t="shared" si="141"/>
        <v>1493.4922176878058</v>
      </c>
      <c r="AD466" s="15">
        <f>IF(AE466=0, Model!$B$19, 0 )</f>
        <v>0</v>
      </c>
      <c r="AE466" s="50">
        <f>IF(AE465+AB465-AB466&lt;Model!$B$19*Model!$B$18, AE465+AB465-AB466,  0)</f>
        <v>137.12679139391929</v>
      </c>
      <c r="AF466" s="15">
        <f t="shared" si="152"/>
        <v>23.200000000000195</v>
      </c>
      <c r="AG466" s="50">
        <f t="shared" si="153"/>
        <v>0.30102446427620588</v>
      </c>
    </row>
    <row r="467" spans="2:33" x14ac:dyDescent="0.25">
      <c r="B467" s="13">
        <f t="shared" si="154"/>
        <v>23.250000000000195</v>
      </c>
      <c r="C467" s="13">
        <f>B467+Model!$B$4</f>
        <v>25.250000000000195</v>
      </c>
      <c r="D467" s="13">
        <f t="shared" si="155"/>
        <v>2</v>
      </c>
      <c r="E467" s="13">
        <f t="shared" si="139"/>
        <v>1.2500000000001954</v>
      </c>
      <c r="F467" s="14">
        <f>IF(AB467&gt;0, VLOOKUP(B467,Model!$A$40:$B$60, 2), 0)</f>
        <v>300</v>
      </c>
      <c r="G467" s="13">
        <f>IF(AB467&gt;0, VLOOKUP(B467,Model!$A$39:$C$58, 3), 0)</f>
        <v>1</v>
      </c>
      <c r="H467" s="13">
        <f t="shared" si="142"/>
        <v>97</v>
      </c>
      <c r="I467" s="46">
        <f>Model!$B$21*EXP((-0.029*9.81*F467)/(8.31*(273+J467)))</f>
        <v>100357.4491247143</v>
      </c>
      <c r="J467" s="13">
        <f>IF(Model!$B$31="Summer",  IF(F467&lt;=2000,  Model!$B$20-Model!$B$35*F467/1000,  IF(F467&lt;Model!$B$36,  Model!$B$33-6.5*F467/1000,  Model!$B$38)),     IF(F467&lt;=2000,  Model!$B$20-Model!$B$35*F467/1000,  IF(F467&lt;Model!$B$36,  Model!$B$33-5.4*F467/1000,   Model!$B$38)))</f>
        <v>-19.088750000000001</v>
      </c>
      <c r="K467" s="13">
        <f t="shared" si="143"/>
        <v>253.91125</v>
      </c>
      <c r="L467" s="46">
        <f>IF(AB466-AA466*(B467-B466)&gt;0, L466-Y466*(B467-B466)*3600-AD467*Model!$B$16, 0)</f>
        <v>690.60598876192842</v>
      </c>
      <c r="M467" s="57">
        <f t="shared" si="144"/>
        <v>17.833864397517402</v>
      </c>
      <c r="N467" s="57">
        <f>Model!$B$13*I467*K467/(Model!$B$13*I467-L467*287*K467)</f>
        <v>290.8338643975174</v>
      </c>
      <c r="O467" s="57">
        <f t="shared" si="145"/>
        <v>272.37255719875873</v>
      </c>
      <c r="P467" s="57">
        <f t="shared" si="146"/>
        <v>-0.62716111110045425</v>
      </c>
      <c r="Q467" s="63">
        <f t="shared" si="147"/>
        <v>2.3955451561111871E-2</v>
      </c>
      <c r="R467" s="17">
        <f t="shared" si="140"/>
        <v>1.3534745948670908E-5</v>
      </c>
      <c r="S467" s="46">
        <f>0.37*Model!$B$10*(Q467^2*(N467-K467)*I467/(R467*O467^2))^0.33333*(N467-K467)</f>
        <v>211992.88257847264</v>
      </c>
      <c r="T467" s="51">
        <f>Model!$B$32+(90-Model!$B$6)*SIN(RADIANS(-15*(E467+6)))</f>
        <v>-40.01328959331245</v>
      </c>
      <c r="U467" s="46">
        <f t="shared" si="148"/>
        <v>0</v>
      </c>
      <c r="V467" s="51">
        <f t="shared" si="149"/>
        <v>99999</v>
      </c>
      <c r="W467" s="46">
        <f t="shared" si="150"/>
        <v>4.2253521126760563E-2</v>
      </c>
      <c r="X467" s="46">
        <f>0.3*W467*Model!$B$9</f>
        <v>3.8275201289827652</v>
      </c>
      <c r="Y467" s="17">
        <f>(S467-X467)/Model!$B$11</f>
        <v>4.5476575149274627E-3</v>
      </c>
      <c r="Z467" s="46">
        <f t="shared" si="151"/>
        <v>1.8054946385126613E-3</v>
      </c>
      <c r="AA467" s="57">
        <f>Y467/Model!$B$12*3600</f>
        <v>29.443940566950886</v>
      </c>
      <c r="AB467" s="51">
        <f t="shared" si="156"/>
        <v>305.03302686376804</v>
      </c>
      <c r="AC467" s="51">
        <f t="shared" si="141"/>
        <v>1494.9669731362319</v>
      </c>
      <c r="AD467" s="13">
        <f>IF(AE467=0, Model!$B$19, 0 )</f>
        <v>0</v>
      </c>
      <c r="AE467" s="51">
        <f>IF(AE466+AB466-AB467&lt;Model!$B$19*Model!$B$18, AE466+AB466-AB467,  0)</f>
        <v>138.6015468423455</v>
      </c>
      <c r="AF467" s="13">
        <f t="shared" si="152"/>
        <v>23.250000000000195</v>
      </c>
      <c r="AG467" s="50">
        <f t="shared" si="153"/>
        <v>0.31358055555022712</v>
      </c>
    </row>
    <row r="468" spans="2:33" x14ac:dyDescent="0.25">
      <c r="B468" s="15">
        <f t="shared" si="154"/>
        <v>23.300000000000196</v>
      </c>
      <c r="C468" s="15">
        <f>B468+Model!$B$4</f>
        <v>25.300000000000196</v>
      </c>
      <c r="D468" s="15">
        <f t="shared" si="155"/>
        <v>2</v>
      </c>
      <c r="E468" s="15">
        <f t="shared" si="139"/>
        <v>1.3000000000001961</v>
      </c>
      <c r="F468" s="16">
        <f>IF(AB468&gt;0, VLOOKUP(B468,Model!$A$40:$B$60, 2), 0)</f>
        <v>300</v>
      </c>
      <c r="G468" s="15">
        <f>IF(AB468&gt;0, VLOOKUP(B468,Model!$A$39:$C$58, 3), 0)</f>
        <v>1</v>
      </c>
      <c r="H468" s="15">
        <f t="shared" si="142"/>
        <v>97</v>
      </c>
      <c r="I468" s="45">
        <f>Model!$B$21*EXP((-0.029*9.81*F468)/(8.31*(273+J468)))</f>
        <v>100357.4491247143</v>
      </c>
      <c r="J468" s="15">
        <f>IF(Model!$B$31="Summer",  IF(F468&lt;=2000,  Model!$B$20-Model!$B$35*F468/1000,  IF(F468&lt;Model!$B$36,  Model!$B$33-6.5*F468/1000,  Model!$B$38)),     IF(F468&lt;=2000,  Model!$B$20-Model!$B$35*F468/1000,  IF(F468&lt;Model!$B$36,  Model!$B$33-5.4*F468/1000,   Model!$B$38)))</f>
        <v>-19.088750000000001</v>
      </c>
      <c r="K468" s="15">
        <f t="shared" si="143"/>
        <v>253.91125</v>
      </c>
      <c r="L468" s="45">
        <f>IF(AB467-AA467*(B468-B467)&gt;0, L467-Y467*(B468-B467)*3600-AD468*Model!$B$16, 0)</f>
        <v>689.78741040924149</v>
      </c>
      <c r="M468" s="56">
        <f t="shared" si="144"/>
        <v>17.783744457638761</v>
      </c>
      <c r="N468" s="56">
        <f>Model!$B$13*I468*K468/(Model!$B$13*I468-L468*287*K468)</f>
        <v>290.78374445763876</v>
      </c>
      <c r="O468" s="56">
        <f t="shared" si="145"/>
        <v>272.34749722881941</v>
      </c>
      <c r="P468" s="56">
        <f t="shared" si="146"/>
        <v>-0.65222108103977483</v>
      </c>
      <c r="Q468" s="62">
        <f t="shared" si="147"/>
        <v>2.3953672303246177E-2</v>
      </c>
      <c r="R468" s="33">
        <f t="shared" si="140"/>
        <v>1.3532139711797217E-5</v>
      </c>
      <c r="S468" s="45">
        <f>0.37*Model!$B$10*(Q468^2*(N468-K468)*I468/(R468*O468^2))^0.33333*(N468-K468)</f>
        <v>211625.36843815455</v>
      </c>
      <c r="T468" s="50">
        <f>Model!$B$32+(90-Model!$B$6)*SIN(RADIANS(-15*(E468+6)))</f>
        <v>-39.863187249209965</v>
      </c>
      <c r="U468" s="45">
        <f t="shared" si="148"/>
        <v>0</v>
      </c>
      <c r="V468" s="50">
        <f t="shared" si="149"/>
        <v>99999</v>
      </c>
      <c r="W468" s="45">
        <f t="shared" si="150"/>
        <v>4.2253521126760563E-2</v>
      </c>
      <c r="X468" s="45">
        <f>0.3*W468*Model!$B$9</f>
        <v>3.8275201289827652</v>
      </c>
      <c r="Y468" s="33">
        <f>(S468-X468)/Model!$B$11</f>
        <v>4.5397734831712014E-3</v>
      </c>
      <c r="Z468" s="45">
        <f t="shared" si="151"/>
        <v>1.8086301076429411E-3</v>
      </c>
      <c r="AA468" s="56">
        <f>Y468/Model!$B$12*3600</f>
        <v>29.392895174526913</v>
      </c>
      <c r="AB468" s="50">
        <f t="shared" si="156"/>
        <v>303.56082983542046</v>
      </c>
      <c r="AC468" s="50">
        <f t="shared" si="141"/>
        <v>1496.4391701645795</v>
      </c>
      <c r="AD468" s="15">
        <f>IF(AE468=0, Model!$B$19, 0 )</f>
        <v>0</v>
      </c>
      <c r="AE468" s="50">
        <f>IF(AE467+AB467-AB468&lt;Model!$B$19*Model!$B$18, AE467+AB467-AB468,  0)</f>
        <v>140.07374387069308</v>
      </c>
      <c r="AF468" s="15">
        <f t="shared" si="152"/>
        <v>23.300000000000196</v>
      </c>
      <c r="AG468" s="50">
        <f t="shared" si="153"/>
        <v>0.32611054051988742</v>
      </c>
    </row>
    <row r="469" spans="2:33" x14ac:dyDescent="0.25">
      <c r="B469" s="13">
        <f t="shared" si="154"/>
        <v>23.350000000000197</v>
      </c>
      <c r="C469" s="13">
        <f>B469+Model!$B$4</f>
        <v>25.350000000000197</v>
      </c>
      <c r="D469" s="13">
        <f t="shared" si="155"/>
        <v>2</v>
      </c>
      <c r="E469" s="13">
        <f t="shared" si="139"/>
        <v>1.3500000000001968</v>
      </c>
      <c r="F469" s="14">
        <f>IF(AB469&gt;0, VLOOKUP(B469,Model!$A$40:$B$60, 2), 0)</f>
        <v>300</v>
      </c>
      <c r="G469" s="13">
        <f>IF(AB469&gt;0, VLOOKUP(B469,Model!$A$39:$C$58, 3), 0)</f>
        <v>1</v>
      </c>
      <c r="H469" s="13">
        <f t="shared" si="142"/>
        <v>97</v>
      </c>
      <c r="I469" s="46">
        <f>Model!$B$21*EXP((-0.029*9.81*F469)/(8.31*(273+J469)))</f>
        <v>100357.4491247143</v>
      </c>
      <c r="J469" s="13">
        <f>IF(Model!$B$31="Summer",  IF(F469&lt;=2000,  Model!$B$20-Model!$B$35*F469/1000,  IF(F469&lt;Model!$B$36,  Model!$B$33-6.5*F469/1000,  Model!$B$38)),     IF(F469&lt;=2000,  Model!$B$20-Model!$B$35*F469/1000,  IF(F469&lt;Model!$B$36,  Model!$B$33-5.4*F469/1000,   Model!$B$38)))</f>
        <v>-19.088750000000001</v>
      </c>
      <c r="K469" s="13">
        <f t="shared" si="143"/>
        <v>253.91125</v>
      </c>
      <c r="L469" s="46">
        <f>IF(AB468-AA468*(B469-B468)&gt;0, L468-Y468*(B469-B468)*3600-AD469*Model!$B$16, 0)</f>
        <v>688.97025118227066</v>
      </c>
      <c r="M469" s="57">
        <f t="shared" si="144"/>
        <v>17.733728634697059</v>
      </c>
      <c r="N469" s="57">
        <f>Model!$B$13*I469*K469/(Model!$B$13*I469-L469*287*K469)</f>
        <v>290.73372863469706</v>
      </c>
      <c r="O469" s="57">
        <f t="shared" si="145"/>
        <v>272.32248931734853</v>
      </c>
      <c r="P469" s="57">
        <f t="shared" si="146"/>
        <v>-0.67722899251062607</v>
      </c>
      <c r="Q469" s="63">
        <f t="shared" si="147"/>
        <v>2.3951896741531746E-2</v>
      </c>
      <c r="R469" s="17">
        <f t="shared" si="140"/>
        <v>1.3529538889004247E-5</v>
      </c>
      <c r="S469" s="46">
        <f>0.37*Model!$B$10*(Q469^2*(N469-K469)*I469/(R469*O469^2))^0.33333*(N469-K469)</f>
        <v>211258.73710161625</v>
      </c>
      <c r="T469" s="51">
        <f>Model!$B$32+(90-Model!$B$6)*SIN(RADIANS(-15*(E469+6)))</f>
        <v>-39.707431818270642</v>
      </c>
      <c r="U469" s="46">
        <f t="shared" si="148"/>
        <v>0</v>
      </c>
      <c r="V469" s="51">
        <f t="shared" si="149"/>
        <v>99999</v>
      </c>
      <c r="W469" s="46">
        <f t="shared" si="150"/>
        <v>4.2253521126760563E-2</v>
      </c>
      <c r="X469" s="46">
        <f>0.3*W469*Model!$B$9</f>
        <v>3.8275201289827652</v>
      </c>
      <c r="Y469" s="17">
        <f>(S469-X469)/Model!$B$11</f>
        <v>4.5319083896060769E-3</v>
      </c>
      <c r="Z469" s="46">
        <f t="shared" si="151"/>
        <v>1.8117689149782779E-3</v>
      </c>
      <c r="AA469" s="57">
        <f>Y469/Model!$B$12*3600</f>
        <v>29.341972397971091</v>
      </c>
      <c r="AB469" s="51">
        <f t="shared" si="156"/>
        <v>302.0911850766941</v>
      </c>
      <c r="AC469" s="51">
        <f t="shared" si="141"/>
        <v>1497.908814923306</v>
      </c>
      <c r="AD469" s="13">
        <f>IF(AE469=0, Model!$B$19, 0 )</f>
        <v>0</v>
      </c>
      <c r="AE469" s="51">
        <f>IF(AE468+AB468-AB469&lt;Model!$B$19*Model!$B$18, AE468+AB468-AB469,  0)</f>
        <v>141.54338862941944</v>
      </c>
      <c r="AF469" s="13">
        <f t="shared" si="152"/>
        <v>23.350000000000197</v>
      </c>
      <c r="AG469" s="50">
        <f t="shared" si="153"/>
        <v>0.33861449625531304</v>
      </c>
    </row>
    <row r="470" spans="2:33" x14ac:dyDescent="0.25">
      <c r="B470" s="15">
        <f t="shared" si="154"/>
        <v>23.400000000000198</v>
      </c>
      <c r="C470" s="15">
        <f>B470+Model!$B$4</f>
        <v>25.400000000000198</v>
      </c>
      <c r="D470" s="15">
        <f t="shared" si="155"/>
        <v>2</v>
      </c>
      <c r="E470" s="15">
        <f t="shared" si="139"/>
        <v>1.4000000000001975</v>
      </c>
      <c r="F470" s="16">
        <f>IF(AB470&gt;0, VLOOKUP(B470,Model!$A$40:$B$60, 2), 0)</f>
        <v>300</v>
      </c>
      <c r="G470" s="15">
        <f>IF(AB470&gt;0, VLOOKUP(B470,Model!$A$39:$C$58, 3), 0)</f>
        <v>1</v>
      </c>
      <c r="H470" s="15">
        <f t="shared" si="142"/>
        <v>97</v>
      </c>
      <c r="I470" s="45">
        <f>Model!$B$21*EXP((-0.029*9.81*F470)/(8.31*(273+J470)))</f>
        <v>100357.4491247143</v>
      </c>
      <c r="J470" s="15">
        <f>IF(Model!$B$31="Summer",  IF(F470&lt;=2000,  Model!$B$20-Model!$B$35*F470/1000,  IF(F470&lt;Model!$B$36,  Model!$B$33-6.5*F470/1000,  Model!$B$38)),     IF(F470&lt;=2000,  Model!$B$20-Model!$B$35*F470/1000,  IF(F470&lt;Model!$B$36,  Model!$B$33-5.4*F470/1000,   Model!$B$38)))</f>
        <v>-19.088750000000001</v>
      </c>
      <c r="K470" s="15">
        <f t="shared" si="143"/>
        <v>253.91125</v>
      </c>
      <c r="L470" s="45">
        <f>IF(AB469-AA469*(B470-B469)&gt;0, L469-Y469*(B470-B469)*3600-AD470*Model!$B$16, 0)</f>
        <v>688.15450767214156</v>
      </c>
      <c r="M470" s="56">
        <f t="shared" si="144"/>
        <v>17.683816621623691</v>
      </c>
      <c r="N470" s="56">
        <f>Model!$B$13*I470*K470/(Model!$B$13*I470-L470*287*K470)</f>
        <v>290.68381662162369</v>
      </c>
      <c r="O470" s="56">
        <f t="shared" si="145"/>
        <v>272.29753331081184</v>
      </c>
      <c r="P470" s="56">
        <f t="shared" si="146"/>
        <v>-0.70218499904730969</v>
      </c>
      <c r="Q470" s="62">
        <f t="shared" si="147"/>
        <v>2.3950124865067642E-2</v>
      </c>
      <c r="R470" s="33">
        <f t="shared" si="140"/>
        <v>1.3526943464324431E-5</v>
      </c>
      <c r="S470" s="45">
        <f>0.37*Model!$B$10*(Q470^2*(N470-K470)*I470/(R470*O470^2))^0.33333*(N470-K470)</f>
        <v>210892.9857489338</v>
      </c>
      <c r="T470" s="50">
        <f>Model!$B$32+(90-Model!$B$6)*SIN(RADIANS(-15*(E470+6)))</f>
        <v>-39.546049988385739</v>
      </c>
      <c r="U470" s="45">
        <f t="shared" si="148"/>
        <v>0</v>
      </c>
      <c r="V470" s="50">
        <f t="shared" si="149"/>
        <v>99999</v>
      </c>
      <c r="W470" s="45">
        <f t="shared" si="150"/>
        <v>4.2253521126760563E-2</v>
      </c>
      <c r="X470" s="45">
        <f>0.3*W470*Model!$B$9</f>
        <v>3.8275201289827652</v>
      </c>
      <c r="Y470" s="33">
        <f>(S470-X470)/Model!$B$11</f>
        <v>4.5240621737381703E-3</v>
      </c>
      <c r="Z470" s="45">
        <f t="shared" si="151"/>
        <v>1.8149110627792018E-3</v>
      </c>
      <c r="AA470" s="56">
        <f>Y470/Model!$B$12*3600</f>
        <v>29.291171845613803</v>
      </c>
      <c r="AB470" s="50">
        <f t="shared" si="156"/>
        <v>300.62408645679551</v>
      </c>
      <c r="AC470" s="50">
        <f t="shared" si="141"/>
        <v>1499.3759135432044</v>
      </c>
      <c r="AD470" s="15">
        <f>IF(AE470=0, Model!$B$19, 0 )</f>
        <v>0</v>
      </c>
      <c r="AE470" s="50">
        <f>IF(AE469+AB469-AB470&lt;Model!$B$19*Model!$B$18, AE469+AB469-AB470,  0)</f>
        <v>143.01048724931803</v>
      </c>
      <c r="AF470" s="15">
        <f t="shared" si="152"/>
        <v>23.400000000000198</v>
      </c>
      <c r="AG470" s="50">
        <f t="shared" si="153"/>
        <v>0.35109249952365484</v>
      </c>
    </row>
    <row r="471" spans="2:33" x14ac:dyDescent="0.25">
      <c r="B471" s="13">
        <f t="shared" si="154"/>
        <v>23.450000000000198</v>
      </c>
      <c r="C471" s="13">
        <f>B471+Model!$B$4</f>
        <v>25.450000000000198</v>
      </c>
      <c r="D471" s="13">
        <f t="shared" si="155"/>
        <v>2</v>
      </c>
      <c r="E471" s="13">
        <f t="shared" si="139"/>
        <v>1.4500000000001982</v>
      </c>
      <c r="F471" s="14">
        <f>IF(AB471&gt;0, VLOOKUP(B471,Model!$A$40:$B$60, 2), 0)</f>
        <v>300</v>
      </c>
      <c r="G471" s="13">
        <f>IF(AB471&gt;0, VLOOKUP(B471,Model!$A$39:$C$58, 3), 0)</f>
        <v>1</v>
      </c>
      <c r="H471" s="13">
        <f t="shared" si="142"/>
        <v>97</v>
      </c>
      <c r="I471" s="46">
        <f>Model!$B$21*EXP((-0.029*9.81*F471)/(8.31*(273+J471)))</f>
        <v>100357.4491247143</v>
      </c>
      <c r="J471" s="13">
        <f>IF(Model!$B$31="Summer",  IF(F471&lt;=2000,  Model!$B$20-Model!$B$35*F471/1000,  IF(F471&lt;Model!$B$36,  Model!$B$33-6.5*F471/1000,  Model!$B$38)),     IF(F471&lt;=2000,  Model!$B$20-Model!$B$35*F471/1000,  IF(F471&lt;Model!$B$36,  Model!$B$33-5.4*F471/1000,   Model!$B$38)))</f>
        <v>-19.088750000000001</v>
      </c>
      <c r="K471" s="13">
        <f t="shared" si="143"/>
        <v>253.91125</v>
      </c>
      <c r="L471" s="46">
        <f>IF(AB470-AA470*(B471-B470)&gt;0, L470-Y470*(B471-B470)*3600-AD471*Model!$B$16, 0)</f>
        <v>687.34017648086865</v>
      </c>
      <c r="M471" s="57">
        <f t="shared" si="144"/>
        <v>17.634008112555705</v>
      </c>
      <c r="N471" s="57">
        <f>Model!$B$13*I471*K471/(Model!$B$13*I471-L471*287*K471)</f>
        <v>290.6340081125557</v>
      </c>
      <c r="O471" s="57">
        <f t="shared" si="145"/>
        <v>272.27262905627788</v>
      </c>
      <c r="P471" s="57">
        <f t="shared" si="146"/>
        <v>-0.72708925358130294</v>
      </c>
      <c r="Q471" s="63">
        <f t="shared" si="147"/>
        <v>2.3948356662995728E-2</v>
      </c>
      <c r="R471" s="17">
        <f t="shared" si="140"/>
        <v>1.3524353421852898E-5</v>
      </c>
      <c r="S471" s="46">
        <f>0.37*Model!$B$10*(Q471^2*(N471-K471)*I471/(R471*O471^2))^0.33333*(N471-K471)</f>
        <v>210528.11157171804</v>
      </c>
      <c r="T471" s="51">
        <f>Model!$B$32+(90-Model!$B$6)*SIN(RADIANS(-15*(E471+6)))</f>
        <v>-39.379069411501</v>
      </c>
      <c r="U471" s="46">
        <f t="shared" si="148"/>
        <v>0</v>
      </c>
      <c r="V471" s="51">
        <f t="shared" si="149"/>
        <v>99999</v>
      </c>
      <c r="W471" s="46">
        <f t="shared" si="150"/>
        <v>4.2253521126760563E-2</v>
      </c>
      <c r="X471" s="46">
        <f>0.3*W471*Model!$B$9</f>
        <v>3.8275201289827652</v>
      </c>
      <c r="Y471" s="17">
        <f>(S471-X471)/Model!$B$11</f>
        <v>4.516234775321014E-3</v>
      </c>
      <c r="Z471" s="46">
        <f t="shared" si="151"/>
        <v>1.8180565533068445E-3</v>
      </c>
      <c r="AA471" s="57">
        <f>Y471/Model!$B$12*3600</f>
        <v>29.240493127387527</v>
      </c>
      <c r="AB471" s="51">
        <f t="shared" si="156"/>
        <v>299.15952786451481</v>
      </c>
      <c r="AC471" s="51">
        <f t="shared" si="141"/>
        <v>1500.8404721354852</v>
      </c>
      <c r="AD471" s="13">
        <f>IF(AE471=0, Model!$B$19, 0 )</f>
        <v>0</v>
      </c>
      <c r="AE471" s="51">
        <f>IF(AE470+AB470-AB471&lt;Model!$B$19*Model!$B$18, AE470+AB470-AB471,  0)</f>
        <v>144.47504584159873</v>
      </c>
      <c r="AF471" s="13">
        <f t="shared" si="152"/>
        <v>23.450000000000198</v>
      </c>
      <c r="AG471" s="50">
        <f t="shared" si="153"/>
        <v>0.36354462679065147</v>
      </c>
    </row>
    <row r="472" spans="2:33" x14ac:dyDescent="0.25">
      <c r="B472" s="15">
        <f t="shared" si="154"/>
        <v>23.500000000000199</v>
      </c>
      <c r="C472" s="15">
        <f>B472+Model!$B$4</f>
        <v>25.500000000000199</v>
      </c>
      <c r="D472" s="15">
        <f t="shared" si="155"/>
        <v>2</v>
      </c>
      <c r="E472" s="15">
        <f t="shared" si="139"/>
        <v>1.500000000000199</v>
      </c>
      <c r="F472" s="16">
        <f>IF(AB472&gt;0, VLOOKUP(B472,Model!$A$40:$B$60, 2), 0)</f>
        <v>300</v>
      </c>
      <c r="G472" s="15">
        <f>IF(AB472&gt;0, VLOOKUP(B472,Model!$A$39:$C$58, 3), 0)</f>
        <v>1</v>
      </c>
      <c r="H472" s="15">
        <f t="shared" si="142"/>
        <v>97</v>
      </c>
      <c r="I472" s="45">
        <f>Model!$B$21*EXP((-0.029*9.81*F472)/(8.31*(273+J472)))</f>
        <v>100357.4491247143</v>
      </c>
      <c r="J472" s="15">
        <f>IF(Model!$B$31="Summer",  IF(F472&lt;=2000,  Model!$B$20-Model!$B$35*F472/1000,  IF(F472&lt;Model!$B$36,  Model!$B$33-6.5*F472/1000,  Model!$B$38)),     IF(F472&lt;=2000,  Model!$B$20-Model!$B$35*F472/1000,  IF(F472&lt;Model!$B$36,  Model!$B$33-5.4*F472/1000,   Model!$B$38)))</f>
        <v>-19.088750000000001</v>
      </c>
      <c r="K472" s="15">
        <f t="shared" si="143"/>
        <v>253.91125</v>
      </c>
      <c r="L472" s="45">
        <f>IF(AB471-AA471*(B472-B471)&gt;0, L471-Y471*(B472-B471)*3600-AD472*Model!$B$16, 0)</f>
        <v>686.52725422131084</v>
      </c>
      <c r="M472" s="56">
        <f t="shared" si="144"/>
        <v>17.584302802830166</v>
      </c>
      <c r="N472" s="56">
        <f>Model!$B$13*I472*K472/(Model!$B$13*I472-L472*287*K472)</f>
        <v>290.58430280283017</v>
      </c>
      <c r="O472" s="56">
        <f t="shared" si="145"/>
        <v>272.24777640141508</v>
      </c>
      <c r="P472" s="56">
        <f t="shared" si="146"/>
        <v>-0.75194190844407238</v>
      </c>
      <c r="Q472" s="62">
        <f t="shared" si="147"/>
        <v>2.3946592124500472E-2</v>
      </c>
      <c r="R472" s="33">
        <f t="shared" si="140"/>
        <v>1.3521768745747169E-5</v>
      </c>
      <c r="S472" s="45">
        <f>0.37*Model!$B$10*(Q472^2*(N472-K472)*I472/(R472*O472^2))^0.33333*(N472-K472)</f>
        <v>210164.11177305959</v>
      </c>
      <c r="T472" s="50">
        <f>Model!$B$32+(90-Model!$B$6)*SIN(RADIANS(-15*(E472+6)))</f>
        <v>-39.206518698878661</v>
      </c>
      <c r="U472" s="45">
        <f t="shared" si="148"/>
        <v>0</v>
      </c>
      <c r="V472" s="50">
        <f t="shared" si="149"/>
        <v>99999</v>
      </c>
      <c r="W472" s="45">
        <f t="shared" si="150"/>
        <v>4.2253521126760563E-2</v>
      </c>
      <c r="X472" s="45">
        <f>0.3*W472*Model!$B$9</f>
        <v>3.8275201289827652</v>
      </c>
      <c r="Y472" s="33">
        <f>(S472-X472)/Model!$B$11</f>
        <v>4.5084261343544055E-3</v>
      </c>
      <c r="Z472" s="45">
        <f t="shared" si="151"/>
        <v>1.8212053888229101E-3</v>
      </c>
      <c r="AA472" s="56">
        <f>Y472/Model!$B$12*3600</f>
        <v>29.189935854819229</v>
      </c>
      <c r="AB472" s="50">
        <f t="shared" si="156"/>
        <v>297.69750320814541</v>
      </c>
      <c r="AC472" s="50">
        <f t="shared" si="141"/>
        <v>1502.3024967918545</v>
      </c>
      <c r="AD472" s="15">
        <f>IF(AE472=0, Model!$B$19, 0 )</f>
        <v>0</v>
      </c>
      <c r="AE472" s="50">
        <f>IF(AE471+AB471-AB472&lt;Model!$B$19*Model!$B$18, AE471+AB471-AB472,  0)</f>
        <v>145.93707049796814</v>
      </c>
      <c r="AF472" s="15">
        <f t="shared" si="152"/>
        <v>23.500000000000199</v>
      </c>
      <c r="AG472" s="50">
        <f t="shared" si="153"/>
        <v>0.37597095422203619</v>
      </c>
    </row>
    <row r="473" spans="2:33" x14ac:dyDescent="0.25">
      <c r="B473" s="13">
        <f t="shared" si="154"/>
        <v>23.5500000000002</v>
      </c>
      <c r="C473" s="13">
        <f>B473+Model!$B$4</f>
        <v>25.5500000000002</v>
      </c>
      <c r="D473" s="13">
        <f t="shared" si="155"/>
        <v>2</v>
      </c>
      <c r="E473" s="13">
        <f t="shared" si="139"/>
        <v>1.5500000000001997</v>
      </c>
      <c r="F473" s="14">
        <f>IF(AB473&gt;0, VLOOKUP(B473,Model!$A$40:$B$60, 2), 0)</f>
        <v>300</v>
      </c>
      <c r="G473" s="13">
        <f>IF(AB473&gt;0, VLOOKUP(B473,Model!$A$39:$C$58, 3), 0)</f>
        <v>1</v>
      </c>
      <c r="H473" s="13">
        <f t="shared" si="142"/>
        <v>97</v>
      </c>
      <c r="I473" s="46">
        <f>Model!$B$21*EXP((-0.029*9.81*F473)/(8.31*(273+J473)))</f>
        <v>100357.4491247143</v>
      </c>
      <c r="J473" s="13">
        <f>IF(Model!$B$31="Summer",  IF(F473&lt;=2000,  Model!$B$20-Model!$B$35*F473/1000,  IF(F473&lt;Model!$B$36,  Model!$B$33-6.5*F473/1000,  Model!$B$38)),     IF(F473&lt;=2000,  Model!$B$20-Model!$B$35*F473/1000,  IF(F473&lt;Model!$B$36,  Model!$B$33-5.4*F473/1000,   Model!$B$38)))</f>
        <v>-19.088750000000001</v>
      </c>
      <c r="K473" s="13">
        <f t="shared" si="143"/>
        <v>253.91125</v>
      </c>
      <c r="L473" s="46">
        <f>IF(AB472-AA472*(B473-B472)&gt;0, L472-Y472*(B473-B472)*3600-AD473*Model!$B$16, 0)</f>
        <v>685.71573751712708</v>
      </c>
      <c r="M473" s="57">
        <f t="shared" si="144"/>
        <v>17.53470038897791</v>
      </c>
      <c r="N473" s="57">
        <f>Model!$B$13*I473*K473/(Model!$B$13*I473-L473*287*K473)</f>
        <v>290.53470038897791</v>
      </c>
      <c r="O473" s="57">
        <f t="shared" si="145"/>
        <v>272.22297519448898</v>
      </c>
      <c r="P473" s="57">
        <f t="shared" si="146"/>
        <v>-0.77674311537020024</v>
      </c>
      <c r="Q473" s="63">
        <f t="shared" si="147"/>
        <v>2.3944831238808719E-2</v>
      </c>
      <c r="R473" s="17">
        <f t="shared" si="140"/>
        <v>1.3519189420226853E-5</v>
      </c>
      <c r="S473" s="46">
        <f>0.37*Model!$B$10*(Q473^2*(N473-K473)*I473/(R473*O473^2))^0.33333*(N473-K473)</f>
        <v>209800.98356746743</v>
      </c>
      <c r="T473" s="51">
        <f>Model!$B$32+(90-Model!$B$6)*SIN(RADIANS(-15*(E473+6)))</f>
        <v>-39.028427416195044</v>
      </c>
      <c r="U473" s="46">
        <f t="shared" si="148"/>
        <v>0</v>
      </c>
      <c r="V473" s="51">
        <f t="shared" si="149"/>
        <v>99999</v>
      </c>
      <c r="W473" s="46">
        <f t="shared" si="150"/>
        <v>4.2253521126760563E-2</v>
      </c>
      <c r="X473" s="46">
        <f>0.3*W473*Model!$B$9</f>
        <v>3.8275201289827652</v>
      </c>
      <c r="Y473" s="17">
        <f>(S473-X473)/Model!$B$11</f>
        <v>4.5006361910830944E-3</v>
      </c>
      <c r="Z473" s="46">
        <f t="shared" si="151"/>
        <v>1.8243575715897052E-3</v>
      </c>
      <c r="AA473" s="57">
        <f>Y473/Model!$B$12*3600</f>
        <v>29.139499641021786</v>
      </c>
      <c r="AB473" s="51">
        <f t="shared" si="156"/>
        <v>296.23800641540441</v>
      </c>
      <c r="AC473" s="51">
        <f t="shared" si="141"/>
        <v>1503.7619935845955</v>
      </c>
      <c r="AD473" s="13">
        <f>IF(AE473=0, Model!$B$19, 0 )</f>
        <v>0</v>
      </c>
      <c r="AE473" s="51">
        <f>IF(AE472+AB472-AB473&lt;Model!$B$19*Model!$B$18, AE472+AB472-AB473,  0)</f>
        <v>147.39656729070913</v>
      </c>
      <c r="AF473" s="13">
        <f t="shared" si="152"/>
        <v>23.5500000000002</v>
      </c>
      <c r="AG473" s="50">
        <f t="shared" si="153"/>
        <v>0.38837155768510012</v>
      </c>
    </row>
    <row r="474" spans="2:33" x14ac:dyDescent="0.25">
      <c r="B474" s="15">
        <f t="shared" si="154"/>
        <v>23.6000000000002</v>
      </c>
      <c r="C474" s="15">
        <f>B474+Model!$B$4</f>
        <v>25.6000000000002</v>
      </c>
      <c r="D474" s="15">
        <f t="shared" si="155"/>
        <v>2</v>
      </c>
      <c r="E474" s="15">
        <f t="shared" si="139"/>
        <v>1.6000000000002004</v>
      </c>
      <c r="F474" s="16">
        <f>IF(AB474&gt;0, VLOOKUP(B474,Model!$A$40:$B$60, 2), 0)</f>
        <v>300</v>
      </c>
      <c r="G474" s="15">
        <f>IF(AB474&gt;0, VLOOKUP(B474,Model!$A$39:$C$58, 3), 0)</f>
        <v>1</v>
      </c>
      <c r="H474" s="15">
        <f t="shared" si="142"/>
        <v>97</v>
      </c>
      <c r="I474" s="45">
        <f>Model!$B$21*EXP((-0.029*9.81*F474)/(8.31*(273+J474)))</f>
        <v>100357.4491247143</v>
      </c>
      <c r="J474" s="15">
        <f>IF(Model!$B$31="Summer",  IF(F474&lt;=2000,  Model!$B$20-Model!$B$35*F474/1000,  IF(F474&lt;Model!$B$36,  Model!$B$33-6.5*F474/1000,  Model!$B$38)),     IF(F474&lt;=2000,  Model!$B$20-Model!$B$35*F474/1000,  IF(F474&lt;Model!$B$36,  Model!$B$33-5.4*F474/1000,   Model!$B$38)))</f>
        <v>-19.088750000000001</v>
      </c>
      <c r="K474" s="15">
        <f t="shared" si="143"/>
        <v>253.91125</v>
      </c>
      <c r="L474" s="45">
        <f>IF(AB473-AA473*(B474-B473)&gt;0, L473-Y473*(B474-B473)*3600-AD474*Model!$B$16, 0)</f>
        <v>684.90562300273211</v>
      </c>
      <c r="M474" s="56">
        <f t="shared" si="144"/>
        <v>17.485200568717801</v>
      </c>
      <c r="N474" s="56">
        <f>Model!$B$13*I474*K474/(Model!$B$13*I474-L474*287*K474)</f>
        <v>290.4852005687178</v>
      </c>
      <c r="O474" s="56">
        <f t="shared" si="145"/>
        <v>272.1982252843589</v>
      </c>
      <c r="P474" s="56">
        <f t="shared" si="146"/>
        <v>-0.80149302550025503</v>
      </c>
      <c r="Q474" s="62">
        <f t="shared" si="147"/>
        <v>2.3943073995189482E-2</v>
      </c>
      <c r="R474" s="33">
        <f t="shared" si="140"/>
        <v>1.3516615429573323E-5</v>
      </c>
      <c r="S474" s="45">
        <f>0.37*Model!$B$10*(Q474^2*(N474-K474)*I474/(R474*O474^2))^0.33333*(N474-K474)</f>
        <v>209438.7241808133</v>
      </c>
      <c r="T474" s="50">
        <f>Model!$B$32+(90-Model!$B$6)*SIN(RADIANS(-15*(E474+6)))</f>
        <v>-38.844826078474611</v>
      </c>
      <c r="U474" s="45">
        <f t="shared" si="148"/>
        <v>0</v>
      </c>
      <c r="V474" s="50">
        <f t="shared" si="149"/>
        <v>99999</v>
      </c>
      <c r="W474" s="45">
        <f t="shared" si="150"/>
        <v>4.2253521126760563E-2</v>
      </c>
      <c r="X474" s="45">
        <f>0.3*W474*Model!$B$9</f>
        <v>3.8275201289827652</v>
      </c>
      <c r="Y474" s="33">
        <f>(S474-X474)/Model!$B$11</f>
        <v>4.4928648859955877E-3</v>
      </c>
      <c r="Z474" s="45">
        <f t="shared" si="151"/>
        <v>1.8275131038701221E-3</v>
      </c>
      <c r="AA474" s="56">
        <f>Y474/Model!$B$12*3600</f>
        <v>29.089184100686328</v>
      </c>
      <c r="AB474" s="50">
        <f t="shared" si="156"/>
        <v>294.78103143335329</v>
      </c>
      <c r="AC474" s="50">
        <f t="shared" si="141"/>
        <v>1505.2189685666467</v>
      </c>
      <c r="AD474" s="15">
        <f>IF(AE474=0, Model!$B$19, 0 )</f>
        <v>0</v>
      </c>
      <c r="AE474" s="50">
        <f>IF(AE473+AB473-AB474&lt;Model!$B$19*Model!$B$18, AE473+AB473-AB474,  0)</f>
        <v>148.85354227276025</v>
      </c>
      <c r="AF474" s="15">
        <f t="shared" si="152"/>
        <v>23.6000000000002</v>
      </c>
      <c r="AG474" s="50">
        <f t="shared" si="153"/>
        <v>0.40074651275012751</v>
      </c>
    </row>
    <row r="475" spans="2:33" x14ac:dyDescent="0.25">
      <c r="B475" s="13">
        <f t="shared" si="154"/>
        <v>23.650000000000201</v>
      </c>
      <c r="C475" s="13">
        <f>B475+Model!$B$4</f>
        <v>25.650000000000201</v>
      </c>
      <c r="D475" s="13">
        <f t="shared" si="155"/>
        <v>2</v>
      </c>
      <c r="E475" s="13">
        <f t="shared" si="139"/>
        <v>1.6500000000002011</v>
      </c>
      <c r="F475" s="14">
        <f>IF(AB475&gt;0, VLOOKUP(B475,Model!$A$40:$B$60, 2), 0)</f>
        <v>300</v>
      </c>
      <c r="G475" s="13">
        <f>IF(AB475&gt;0, VLOOKUP(B475,Model!$A$39:$C$58, 3), 0)</f>
        <v>1</v>
      </c>
      <c r="H475" s="13">
        <f t="shared" si="142"/>
        <v>97</v>
      </c>
      <c r="I475" s="46">
        <f>Model!$B$21*EXP((-0.029*9.81*F475)/(8.31*(273+J475)))</f>
        <v>100357.4491247143</v>
      </c>
      <c r="J475" s="13">
        <f>IF(Model!$B$31="Summer",  IF(F475&lt;=2000,  Model!$B$20-Model!$B$35*F475/1000,  IF(F475&lt;Model!$B$36,  Model!$B$33-6.5*F475/1000,  Model!$B$38)),     IF(F475&lt;=2000,  Model!$B$20-Model!$B$35*F475/1000,  IF(F475&lt;Model!$B$36,  Model!$B$33-5.4*F475/1000,   Model!$B$38)))</f>
        <v>-19.088750000000001</v>
      </c>
      <c r="K475" s="13">
        <f t="shared" si="143"/>
        <v>253.91125</v>
      </c>
      <c r="L475" s="46">
        <f>IF(AB474-AA474*(B475-B474)&gt;0, L474-Y474*(B475-B474)*3600-AD475*Model!$B$16, 0)</f>
        <v>684.09690732325294</v>
      </c>
      <c r="M475" s="57">
        <f t="shared" si="144"/>
        <v>17.435803040950816</v>
      </c>
      <c r="N475" s="57">
        <f>Model!$B$13*I475*K475/(Model!$B$13*I475-L475*287*K475)</f>
        <v>290.43580304095082</v>
      </c>
      <c r="O475" s="57">
        <f t="shared" si="145"/>
        <v>272.17352652047543</v>
      </c>
      <c r="P475" s="57">
        <f t="shared" si="146"/>
        <v>-0.82619178938374738</v>
      </c>
      <c r="Q475" s="63">
        <f t="shared" si="147"/>
        <v>2.3941320382953758E-2</v>
      </c>
      <c r="R475" s="17">
        <f t="shared" si="140"/>
        <v>1.3514046758129444E-5</v>
      </c>
      <c r="S475" s="46">
        <f>0.37*Model!$B$10*(Q475^2*(N475-K475)*I475/(R475*O475^2))^0.33333*(N475-K475)</f>
        <v>209077.33085027378</v>
      </c>
      <c r="T475" s="51">
        <f>Model!$B$32+(90-Model!$B$6)*SIN(RADIANS(-15*(E475+6)))</f>
        <v>-38.655746144861396</v>
      </c>
      <c r="U475" s="46">
        <f t="shared" si="148"/>
        <v>0</v>
      </c>
      <c r="V475" s="51">
        <f t="shared" si="149"/>
        <v>99999</v>
      </c>
      <c r="W475" s="46">
        <f t="shared" si="150"/>
        <v>4.2253521126760563E-2</v>
      </c>
      <c r="X475" s="46">
        <f>0.3*W475*Model!$B$9</f>
        <v>3.8275201289827652</v>
      </c>
      <c r="Y475" s="17">
        <f>(S475-X475)/Model!$B$11</f>
        <v>4.4851121598229069E-3</v>
      </c>
      <c r="Z475" s="46">
        <f t="shared" si="151"/>
        <v>1.8306719879276445E-3</v>
      </c>
      <c r="AA475" s="57">
        <f>Y475/Model!$B$12*3600</f>
        <v>29.038988850074123</v>
      </c>
      <c r="AB475" s="51">
        <f t="shared" si="156"/>
        <v>293.32657222831898</v>
      </c>
      <c r="AC475" s="51">
        <f t="shared" si="141"/>
        <v>1506.673427771681</v>
      </c>
      <c r="AD475" s="13">
        <f>IF(AE475=0, Model!$B$19, 0 )</f>
        <v>0</v>
      </c>
      <c r="AE475" s="51">
        <f>IF(AE474+AB474-AB475&lt;Model!$B$19*Model!$B$18, AE474+AB474-AB475,  0)</f>
        <v>150.30800147779456</v>
      </c>
      <c r="AF475" s="13">
        <f t="shared" si="152"/>
        <v>23.650000000000201</v>
      </c>
      <c r="AG475" s="50">
        <f t="shared" si="153"/>
        <v>0.41309589469187369</v>
      </c>
    </row>
    <row r="476" spans="2:33" x14ac:dyDescent="0.25">
      <c r="B476" s="15">
        <f t="shared" si="154"/>
        <v>23.700000000000202</v>
      </c>
      <c r="C476" s="15">
        <f>B476+Model!$B$4</f>
        <v>25.700000000000202</v>
      </c>
      <c r="D476" s="15">
        <f t="shared" si="155"/>
        <v>2</v>
      </c>
      <c r="E476" s="15">
        <f t="shared" si="139"/>
        <v>1.7000000000002018</v>
      </c>
      <c r="F476" s="16">
        <f>IF(AB476&gt;0, VLOOKUP(B476,Model!$A$40:$B$60, 2), 0)</f>
        <v>300</v>
      </c>
      <c r="G476" s="15">
        <f>IF(AB476&gt;0, VLOOKUP(B476,Model!$A$39:$C$58, 3), 0)</f>
        <v>1</v>
      </c>
      <c r="H476" s="15">
        <f t="shared" si="142"/>
        <v>97</v>
      </c>
      <c r="I476" s="45">
        <f>Model!$B$21*EXP((-0.029*9.81*F476)/(8.31*(273+J476)))</f>
        <v>100357.4491247143</v>
      </c>
      <c r="J476" s="15">
        <f>IF(Model!$B$31="Summer",  IF(F476&lt;=2000,  Model!$B$20-Model!$B$35*F476/1000,  IF(F476&lt;Model!$B$36,  Model!$B$33-6.5*F476/1000,  Model!$B$38)),     IF(F476&lt;=2000,  Model!$B$20-Model!$B$35*F476/1000,  IF(F476&lt;Model!$B$36,  Model!$B$33-5.4*F476/1000,   Model!$B$38)))</f>
        <v>-19.088750000000001</v>
      </c>
      <c r="K476" s="15">
        <f t="shared" si="143"/>
        <v>253.91125</v>
      </c>
      <c r="L476" s="45">
        <f>IF(AB475-AA475*(B476-B475)&gt;0, L475-Y475*(B476-B475)*3600-AD476*Model!$B$16, 0)</f>
        <v>683.2895871344848</v>
      </c>
      <c r="M476" s="56">
        <f t="shared" si="144"/>
        <v>17.386507505754196</v>
      </c>
      <c r="N476" s="56">
        <f>Model!$B$13*I476*K476/(Model!$B$13*I476-L476*287*K476)</f>
        <v>290.3865075057542</v>
      </c>
      <c r="O476" s="56">
        <f t="shared" si="145"/>
        <v>272.14887875287707</v>
      </c>
      <c r="P476" s="56">
        <f t="shared" si="146"/>
        <v>-0.85083955698205749</v>
      </c>
      <c r="Q476" s="62">
        <f t="shared" si="147"/>
        <v>2.3939570391454272E-2</v>
      </c>
      <c r="R476" s="33">
        <f t="shared" si="140"/>
        <v>1.3511483390299215E-5</v>
      </c>
      <c r="S476" s="45">
        <f>0.37*Model!$B$10*(Q476^2*(N476-K476)*I476/(R476*O476^2))^0.33333*(N476-K476)</f>
        <v>208716.8008242732</v>
      </c>
      <c r="T476" s="50">
        <f>Model!$B$32+(90-Model!$B$6)*SIN(RADIANS(-15*(E476+6)))</f>
        <v>-38.461220013228655</v>
      </c>
      <c r="U476" s="45">
        <f t="shared" si="148"/>
        <v>0</v>
      </c>
      <c r="V476" s="50">
        <f t="shared" si="149"/>
        <v>99999</v>
      </c>
      <c r="W476" s="45">
        <f t="shared" si="150"/>
        <v>4.2253521126760563E-2</v>
      </c>
      <c r="X476" s="45">
        <f>0.3*W476*Model!$B$9</f>
        <v>3.8275201289827652</v>
      </c>
      <c r="Y476" s="33">
        <f>(S476-X476)/Model!$B$11</f>
        <v>4.4773779535373639E-3</v>
      </c>
      <c r="Z476" s="45">
        <f t="shared" si="151"/>
        <v>1.8338342260263481E-3</v>
      </c>
      <c r="AA476" s="56">
        <f>Y476/Model!$B$12*3600</f>
        <v>28.988913507008697</v>
      </c>
      <c r="AB476" s="50">
        <f t="shared" si="156"/>
        <v>291.87462278581523</v>
      </c>
      <c r="AC476" s="50">
        <f t="shared" si="141"/>
        <v>1508.1253772141847</v>
      </c>
      <c r="AD476" s="15">
        <f>IF(AE476=0, Model!$B$19, 0 )</f>
        <v>0</v>
      </c>
      <c r="AE476" s="50">
        <f>IF(AE475+AB475-AB476&lt;Model!$B$19*Model!$B$18, AE475+AB475-AB476,  0)</f>
        <v>151.75995092029831</v>
      </c>
      <c r="AF476" s="15">
        <f t="shared" si="152"/>
        <v>23.700000000000202</v>
      </c>
      <c r="AG476" s="50">
        <f t="shared" si="153"/>
        <v>0.42541977849102874</v>
      </c>
    </row>
    <row r="477" spans="2:33" x14ac:dyDescent="0.25">
      <c r="B477" s="13">
        <f t="shared" si="154"/>
        <v>23.750000000000203</v>
      </c>
      <c r="C477" s="13">
        <f>B477+Model!$B$4</f>
        <v>25.750000000000203</v>
      </c>
      <c r="D477" s="13">
        <f t="shared" si="155"/>
        <v>2</v>
      </c>
      <c r="E477" s="13">
        <f t="shared" si="139"/>
        <v>1.7500000000002025</v>
      </c>
      <c r="F477" s="14">
        <f>IF(AB477&gt;0, VLOOKUP(B477,Model!$A$40:$B$60, 2), 0)</f>
        <v>300</v>
      </c>
      <c r="G477" s="13">
        <f>IF(AB477&gt;0, VLOOKUP(B477,Model!$A$39:$C$58, 3), 0)</f>
        <v>1</v>
      </c>
      <c r="H477" s="13">
        <f t="shared" si="142"/>
        <v>97</v>
      </c>
      <c r="I477" s="46">
        <f>Model!$B$21*EXP((-0.029*9.81*F477)/(8.31*(273+J477)))</f>
        <v>100357.4491247143</v>
      </c>
      <c r="J477" s="13">
        <f>IF(Model!$B$31="Summer",  IF(F477&lt;=2000,  Model!$B$20-Model!$B$35*F477/1000,  IF(F477&lt;Model!$B$36,  Model!$B$33-6.5*F477/1000,  Model!$B$38)),     IF(F477&lt;=2000,  Model!$B$20-Model!$B$35*F477/1000,  IF(F477&lt;Model!$B$36,  Model!$B$33-5.4*F477/1000,   Model!$B$38)))</f>
        <v>-19.088750000000001</v>
      </c>
      <c r="K477" s="13">
        <f t="shared" si="143"/>
        <v>253.91125</v>
      </c>
      <c r="L477" s="46">
        <f>IF(AB476-AA476*(B477-B476)&gt;0, L476-Y476*(B477-B476)*3600-AD477*Model!$B$16, 0)</f>
        <v>682.48365910284804</v>
      </c>
      <c r="M477" s="57">
        <f t="shared" si="144"/>
        <v>17.337313664375642</v>
      </c>
      <c r="N477" s="57">
        <f>Model!$B$13*I477*K477/(Model!$B$13*I477-L477*287*K477)</f>
        <v>290.33731366437564</v>
      </c>
      <c r="O477" s="57">
        <f t="shared" si="145"/>
        <v>272.12428183218782</v>
      </c>
      <c r="P477" s="57">
        <f t="shared" si="146"/>
        <v>-0.87543647767133415</v>
      </c>
      <c r="Q477" s="63">
        <f t="shared" si="147"/>
        <v>2.3937824010085335E-2</v>
      </c>
      <c r="R477" s="17">
        <f t="shared" si="140"/>
        <v>1.3508925310547532E-5</v>
      </c>
      <c r="S477" s="46">
        <f>0.37*Model!$B$10*(Q477^2*(N477-K477)*I477/(R477*O477^2))^0.33333*(N477-K477)</f>
        <v>208357.13136242711</v>
      </c>
      <c r="T477" s="51">
        <f>Model!$B$32+(90-Model!$B$6)*SIN(RADIANS(-15*(E477+6)))</f>
        <v>-38.261281014627592</v>
      </c>
      <c r="U477" s="46">
        <f t="shared" si="148"/>
        <v>0</v>
      </c>
      <c r="V477" s="51">
        <f t="shared" si="149"/>
        <v>99999</v>
      </c>
      <c r="W477" s="46">
        <f t="shared" si="150"/>
        <v>4.2253521126760563E-2</v>
      </c>
      <c r="X477" s="46">
        <f>0.3*W477*Model!$B$9</f>
        <v>3.8275201289827652</v>
      </c>
      <c r="Y477" s="17">
        <f>(S477-X477)/Model!$B$11</f>
        <v>4.4696622083513493E-3</v>
      </c>
      <c r="Z477" s="46">
        <f t="shared" si="151"/>
        <v>1.8369998204309022E-3</v>
      </c>
      <c r="AA477" s="57">
        <f>Y477/Model!$B$12*3600</f>
        <v>28.938957690867959</v>
      </c>
      <c r="AB477" s="51">
        <f t="shared" si="156"/>
        <v>290.4251771104648</v>
      </c>
      <c r="AC477" s="51">
        <f t="shared" si="141"/>
        <v>1509.5748228895352</v>
      </c>
      <c r="AD477" s="13">
        <f>IF(AE477=0, Model!$B$19, 0 )</f>
        <v>0</v>
      </c>
      <c r="AE477" s="51">
        <f>IF(AE476+AB476-AB477&lt;Model!$B$19*Model!$B$18, AE476+AB476-AB477,  0)</f>
        <v>153.20939659564874</v>
      </c>
      <c r="AF477" s="13">
        <f t="shared" si="152"/>
        <v>23.750000000000203</v>
      </c>
      <c r="AG477" s="50">
        <f t="shared" si="153"/>
        <v>0.43771823883566707</v>
      </c>
    </row>
    <row r="478" spans="2:33" x14ac:dyDescent="0.25">
      <c r="B478" s="15">
        <f t="shared" si="154"/>
        <v>23.800000000000203</v>
      </c>
      <c r="C478" s="15">
        <f>B478+Model!$B$4</f>
        <v>25.800000000000203</v>
      </c>
      <c r="D478" s="15">
        <f t="shared" si="155"/>
        <v>2</v>
      </c>
      <c r="E478" s="15">
        <f t="shared" si="139"/>
        <v>1.8000000000002032</v>
      </c>
      <c r="F478" s="16">
        <f>IF(AB478&gt;0, VLOOKUP(B478,Model!$A$40:$B$60, 2), 0)</f>
        <v>300</v>
      </c>
      <c r="G478" s="15">
        <f>IF(AB478&gt;0, VLOOKUP(B478,Model!$A$39:$C$58, 3), 0)</f>
        <v>1</v>
      </c>
      <c r="H478" s="15">
        <f t="shared" si="142"/>
        <v>97</v>
      </c>
      <c r="I478" s="45">
        <f>Model!$B$21*EXP((-0.029*9.81*F478)/(8.31*(273+J478)))</f>
        <v>100357.4491247143</v>
      </c>
      <c r="J478" s="15">
        <f>IF(Model!$B$31="Summer",  IF(F478&lt;=2000,  Model!$B$20-Model!$B$35*F478/1000,  IF(F478&lt;Model!$B$36,  Model!$B$33-6.5*F478/1000,  Model!$B$38)),     IF(F478&lt;=2000,  Model!$B$20-Model!$B$35*F478/1000,  IF(F478&lt;Model!$B$36,  Model!$B$33-5.4*F478/1000,   Model!$B$38)))</f>
        <v>-19.088750000000001</v>
      </c>
      <c r="K478" s="15">
        <f t="shared" si="143"/>
        <v>253.91125</v>
      </c>
      <c r="L478" s="45">
        <f>IF(AB477-AA477*(B478-B477)&gt;0, L477-Y477*(B478-B477)*3600-AD478*Model!$B$16, 0)</f>
        <v>681.67911990534481</v>
      </c>
      <c r="M478" s="56">
        <f t="shared" si="144"/>
        <v>17.288221219227523</v>
      </c>
      <c r="N478" s="56">
        <f>Model!$B$13*I478*K478/(Model!$B$13*I478-L478*287*K478)</f>
        <v>290.28822121922752</v>
      </c>
      <c r="O478" s="56">
        <f t="shared" si="145"/>
        <v>272.09973560961373</v>
      </c>
      <c r="P478" s="56">
        <f t="shared" si="146"/>
        <v>-0.89998270024539373</v>
      </c>
      <c r="Q478" s="62">
        <f t="shared" si="147"/>
        <v>2.3936081228282575E-2</v>
      </c>
      <c r="R478" s="33">
        <f t="shared" si="140"/>
        <v>1.3506372503399827E-5</v>
      </c>
      <c r="S478" s="45">
        <f>0.37*Model!$B$10*(Q478^2*(N478-K478)*I478/(R478*O478^2))^0.33333*(N478-K478)</f>
        <v>207998.3197354858</v>
      </c>
      <c r="T478" s="50">
        <f>Model!$B$32+(90-Model!$B$6)*SIN(RADIANS(-15*(E478+6)))</f>
        <v>-38.055963407576357</v>
      </c>
      <c r="U478" s="45">
        <f t="shared" si="148"/>
        <v>0</v>
      </c>
      <c r="V478" s="50">
        <f t="shared" si="149"/>
        <v>99999</v>
      </c>
      <c r="W478" s="45">
        <f t="shared" si="150"/>
        <v>4.2253521126760563E-2</v>
      </c>
      <c r="X478" s="45">
        <f>0.3*W478*Model!$B$9</f>
        <v>3.8275201289827652</v>
      </c>
      <c r="Y478" s="33">
        <f>(S478-X478)/Model!$B$11</f>
        <v>4.4619648657161174E-3</v>
      </c>
      <c r="Z478" s="45">
        <f t="shared" si="151"/>
        <v>1.8401687734065702E-3</v>
      </c>
      <c r="AA478" s="56">
        <f>Y478/Model!$B$12*3600</f>
        <v>28.889121022576361</v>
      </c>
      <c r="AB478" s="50">
        <f t="shared" si="156"/>
        <v>288.97822922592138</v>
      </c>
      <c r="AC478" s="50">
        <f t="shared" si="141"/>
        <v>1511.0217707740785</v>
      </c>
      <c r="AD478" s="15">
        <f>IF(AE478=0, Model!$B$19, 0 )</f>
        <v>0</v>
      </c>
      <c r="AE478" s="50">
        <f>IF(AE477+AB477-AB478&lt;Model!$B$19*Model!$B$18, AE477+AB477-AB478,  0)</f>
        <v>154.65634448019216</v>
      </c>
      <c r="AF478" s="15">
        <f t="shared" si="152"/>
        <v>23.800000000000203</v>
      </c>
      <c r="AG478" s="50">
        <f t="shared" si="153"/>
        <v>0.44999135012269686</v>
      </c>
    </row>
    <row r="479" spans="2:33" x14ac:dyDescent="0.25">
      <c r="B479" s="13">
        <f t="shared" si="154"/>
        <v>23.850000000000204</v>
      </c>
      <c r="C479" s="13">
        <f>B479+Model!$B$4</f>
        <v>25.850000000000204</v>
      </c>
      <c r="D479" s="13">
        <f t="shared" si="155"/>
        <v>2</v>
      </c>
      <c r="E479" s="13">
        <f t="shared" si="139"/>
        <v>1.8500000000002039</v>
      </c>
      <c r="F479" s="14">
        <f>IF(AB479&gt;0, VLOOKUP(B479,Model!$A$40:$B$60, 2), 0)</f>
        <v>300</v>
      </c>
      <c r="G479" s="13">
        <f>IF(AB479&gt;0, VLOOKUP(B479,Model!$A$39:$C$58, 3), 0)</f>
        <v>1</v>
      </c>
      <c r="H479" s="13">
        <f t="shared" si="142"/>
        <v>97</v>
      </c>
      <c r="I479" s="46">
        <f>Model!$B$21*EXP((-0.029*9.81*F479)/(8.31*(273+J479)))</f>
        <v>100357.4491247143</v>
      </c>
      <c r="J479" s="13">
        <f>IF(Model!$B$31="Summer",  IF(F479&lt;=2000,  Model!$B$20-Model!$B$35*F479/1000,  IF(F479&lt;Model!$B$36,  Model!$B$33-6.5*F479/1000,  Model!$B$38)),     IF(F479&lt;=2000,  Model!$B$20-Model!$B$35*F479/1000,  IF(F479&lt;Model!$B$36,  Model!$B$33-5.4*F479/1000,   Model!$B$38)))</f>
        <v>-19.088750000000001</v>
      </c>
      <c r="K479" s="13">
        <f t="shared" si="143"/>
        <v>253.91125</v>
      </c>
      <c r="L479" s="46">
        <f>IF(AB478-AA478*(B479-B478)&gt;0, L478-Y478*(B479-B478)*3600-AD479*Model!$B$16, 0)</f>
        <v>680.87596622951594</v>
      </c>
      <c r="M479" s="57">
        <f t="shared" si="144"/>
        <v>17.2392298738813</v>
      </c>
      <c r="N479" s="57">
        <f>Model!$B$13*I479*K479/(Model!$B$13*I479-L479*287*K479)</f>
        <v>290.2392298738813</v>
      </c>
      <c r="O479" s="57">
        <f t="shared" si="145"/>
        <v>272.07523993694065</v>
      </c>
      <c r="P479" s="57">
        <f t="shared" si="146"/>
        <v>-0.92447837291850554</v>
      </c>
      <c r="Q479" s="63">
        <f t="shared" si="147"/>
        <v>2.3934342035522787E-2</v>
      </c>
      <c r="R479" s="17">
        <f t="shared" si="140"/>
        <v>1.3503824953441825E-5</v>
      </c>
      <c r="S479" s="46">
        <f>0.37*Model!$B$10*(Q479^2*(N479-K479)*I479/(R479*O479^2))^0.33333*(N479-K479)</f>
        <v>207640.36322527938</v>
      </c>
      <c r="T479" s="51">
        <f>Model!$B$32+(90-Model!$B$6)*SIN(RADIANS(-15*(E479+6)))</f>
        <v>-37.84530237218992</v>
      </c>
      <c r="U479" s="46">
        <f t="shared" si="148"/>
        <v>0</v>
      </c>
      <c r="V479" s="51">
        <f t="shared" si="149"/>
        <v>99999</v>
      </c>
      <c r="W479" s="46">
        <f t="shared" si="150"/>
        <v>4.2253521126760563E-2</v>
      </c>
      <c r="X479" s="46">
        <f>0.3*W479*Model!$B$9</f>
        <v>3.8275201289827652</v>
      </c>
      <c r="Y479" s="17">
        <f>(S479-X479)/Model!$B$11</f>
        <v>4.4542858673206134E-3</v>
      </c>
      <c r="Z479" s="46">
        <f t="shared" si="151"/>
        <v>1.8433410872192022E-3</v>
      </c>
      <c r="AA479" s="57">
        <f>Y479/Model!$B$12*3600</f>
        <v>28.83940312459729</v>
      </c>
      <c r="AB479" s="51">
        <f t="shared" si="156"/>
        <v>287.53377317479254</v>
      </c>
      <c r="AC479" s="51">
        <f t="shared" si="141"/>
        <v>1512.4662268252075</v>
      </c>
      <c r="AD479" s="13">
        <f>IF(AE479=0, Model!$B$19, 0 )</f>
        <v>0</v>
      </c>
      <c r="AE479" s="51">
        <f>IF(AE478+AB478-AB479&lt;Model!$B$19*Model!$B$18, AE478+AB478-AB479,  0)</f>
        <v>156.100800531321</v>
      </c>
      <c r="AF479" s="13">
        <f t="shared" si="152"/>
        <v>23.850000000000204</v>
      </c>
      <c r="AG479" s="50">
        <f t="shared" si="153"/>
        <v>0.46223918645925277</v>
      </c>
    </row>
    <row r="480" spans="2:33" x14ac:dyDescent="0.25">
      <c r="B480" s="15">
        <f t="shared" si="154"/>
        <v>23.900000000000205</v>
      </c>
      <c r="C480" s="15">
        <f>B480+Model!$B$4</f>
        <v>25.900000000000205</v>
      </c>
      <c r="D480" s="15">
        <f t="shared" si="155"/>
        <v>2</v>
      </c>
      <c r="E480" s="15">
        <f t="shared" si="139"/>
        <v>1.9000000000002046</v>
      </c>
      <c r="F480" s="16">
        <f>IF(AB480&gt;0, VLOOKUP(B480,Model!$A$40:$B$60, 2), 0)</f>
        <v>300</v>
      </c>
      <c r="G480" s="15">
        <f>IF(AB480&gt;0, VLOOKUP(B480,Model!$A$39:$C$58, 3), 0)</f>
        <v>1</v>
      </c>
      <c r="H480" s="15">
        <f t="shared" si="142"/>
        <v>97</v>
      </c>
      <c r="I480" s="45">
        <f>Model!$B$21*EXP((-0.029*9.81*F480)/(8.31*(273+J480)))</f>
        <v>100357.4491247143</v>
      </c>
      <c r="J480" s="15">
        <f>IF(Model!$B$31="Summer",  IF(F480&lt;=2000,  Model!$B$20-Model!$B$35*F480/1000,  IF(F480&lt;Model!$B$36,  Model!$B$33-6.5*F480/1000,  Model!$B$38)),     IF(F480&lt;=2000,  Model!$B$20-Model!$B$35*F480/1000,  IF(F480&lt;Model!$B$36,  Model!$B$33-5.4*F480/1000,   Model!$B$38)))</f>
        <v>-19.088750000000001</v>
      </c>
      <c r="K480" s="15">
        <f t="shared" si="143"/>
        <v>253.91125</v>
      </c>
      <c r="L480" s="45">
        <f>IF(AB479-AA479*(B480-B479)&gt;0, L479-Y479*(B480-B479)*3600-AD480*Model!$B$16, 0)</f>
        <v>680.07419477339818</v>
      </c>
      <c r="M480" s="56">
        <f t="shared" si="144"/>
        <v>17.190339333061502</v>
      </c>
      <c r="N480" s="56">
        <f>Model!$B$13*I480*K480/(Model!$B$13*I480-L480*287*K480)</f>
        <v>290.1903393330615</v>
      </c>
      <c r="O480" s="56">
        <f t="shared" si="145"/>
        <v>272.05079466653075</v>
      </c>
      <c r="P480" s="56">
        <f t="shared" si="146"/>
        <v>-0.94892364332840451</v>
      </c>
      <c r="Q480" s="62">
        <f t="shared" si="147"/>
        <v>2.3932606421323683E-2</v>
      </c>
      <c r="R480" s="33">
        <f t="shared" ref="R480:R543" si="157">((O480-273)*0.104+13.6)*0.000001</f>
        <v>1.3501282645319196E-5</v>
      </c>
      <c r="S480" s="45">
        <f>0.37*Model!$B$10*(Q480^2*(N480-K480)*I480/(R480*O480^2))^0.33333*(N480-K480)</f>
        <v>207283.25912465979</v>
      </c>
      <c r="T480" s="50">
        <f>Model!$B$32+(90-Model!$B$6)*SIN(RADIANS(-15*(E480+6)))</f>
        <v>-37.62933400415222</v>
      </c>
      <c r="U480" s="45">
        <f t="shared" si="148"/>
        <v>0</v>
      </c>
      <c r="V480" s="50">
        <f t="shared" si="149"/>
        <v>99999</v>
      </c>
      <c r="W480" s="45">
        <f t="shared" si="150"/>
        <v>4.2253521126760563E-2</v>
      </c>
      <c r="X480" s="45">
        <f>0.3*W480*Model!$B$9</f>
        <v>3.8275201289827652</v>
      </c>
      <c r="Y480" s="33">
        <f>(S480-X480)/Model!$B$11</f>
        <v>4.4466251550902246E-3</v>
      </c>
      <c r="Z480" s="45">
        <f t="shared" si="151"/>
        <v>1.8465167641352558E-3</v>
      </c>
      <c r="AA480" s="56">
        <f>Y480/Model!$B$12*3600</f>
        <v>28.789803620924971</v>
      </c>
      <c r="AB480" s="50">
        <f t="shared" si="156"/>
        <v>286.09180301856264</v>
      </c>
      <c r="AC480" s="50">
        <f t="shared" ref="AC480:AC543" si="158">AC479+AB479-AB480</f>
        <v>1513.9081969814374</v>
      </c>
      <c r="AD480" s="15">
        <f>IF(AE480=0, Model!$B$19, 0 )</f>
        <v>0</v>
      </c>
      <c r="AE480" s="50">
        <f>IF(AE479+AB479-AB480&lt;Model!$B$19*Model!$B$18, AE479+AB479-AB480,  0)</f>
        <v>157.5427706875509</v>
      </c>
      <c r="AF480" s="15">
        <f t="shared" si="152"/>
        <v>23.900000000000205</v>
      </c>
      <c r="AG480" s="50">
        <f t="shared" si="153"/>
        <v>0.47446182166420225</v>
      </c>
    </row>
    <row r="481" spans="2:33" x14ac:dyDescent="0.25">
      <c r="B481" s="13">
        <f t="shared" si="154"/>
        <v>23.950000000000205</v>
      </c>
      <c r="C481" s="13">
        <f>B481+Model!$B$4</f>
        <v>25.950000000000205</v>
      </c>
      <c r="D481" s="13">
        <f t="shared" si="155"/>
        <v>2</v>
      </c>
      <c r="E481" s="13">
        <f t="shared" si="139"/>
        <v>1.9500000000002053</v>
      </c>
      <c r="F481" s="14">
        <f>IF(AB481&gt;0, VLOOKUP(B481,Model!$A$40:$B$60, 2), 0)</f>
        <v>300</v>
      </c>
      <c r="G481" s="13">
        <f>IF(AB481&gt;0, VLOOKUP(B481,Model!$A$39:$C$58, 3), 0)</f>
        <v>1</v>
      </c>
      <c r="H481" s="13">
        <f t="shared" si="142"/>
        <v>97</v>
      </c>
      <c r="I481" s="46">
        <f>Model!$B$21*EXP((-0.029*9.81*F481)/(8.31*(273+J481)))</f>
        <v>100357.4491247143</v>
      </c>
      <c r="J481" s="13">
        <f>IF(Model!$B$31="Summer",  IF(F481&lt;=2000,  Model!$B$20-Model!$B$35*F481/1000,  IF(F481&lt;Model!$B$36,  Model!$B$33-6.5*F481/1000,  Model!$B$38)),     IF(F481&lt;=2000,  Model!$B$20-Model!$B$35*F481/1000,  IF(F481&lt;Model!$B$36,  Model!$B$33-5.4*F481/1000,   Model!$B$38)))</f>
        <v>-19.088750000000001</v>
      </c>
      <c r="K481" s="13">
        <f t="shared" si="143"/>
        <v>253.91125</v>
      </c>
      <c r="L481" s="46">
        <f>IF(AB480-AA480*(B481-B480)&gt;0, L480-Y480*(B481-B480)*3600-AD481*Model!$B$16, 0)</f>
        <v>679.27380224548187</v>
      </c>
      <c r="M481" s="57">
        <f t="shared" si="144"/>
        <v>17.141549302640385</v>
      </c>
      <c r="N481" s="57">
        <f>Model!$B$13*I481*K481/(Model!$B$13*I481-L481*287*K481)</f>
        <v>290.14154930264039</v>
      </c>
      <c r="O481" s="57">
        <f t="shared" si="145"/>
        <v>272.02639965132016</v>
      </c>
      <c r="P481" s="57">
        <f t="shared" si="146"/>
        <v>-0.97331865853896282</v>
      </c>
      <c r="Q481" s="63">
        <f t="shared" si="147"/>
        <v>2.3930874375243733E-2</v>
      </c>
      <c r="R481" s="17">
        <f t="shared" si="157"/>
        <v>1.3498745563737296E-5</v>
      </c>
      <c r="S481" s="46">
        <f>0.37*Model!$B$10*(Q481^2*(N481-K481)*I481/(R481*O481^2))^0.33333*(N481-K481)</f>
        <v>206927.00473744821</v>
      </c>
      <c r="T481" s="51">
        <f>Model!$B$32+(90-Model!$B$6)*SIN(RADIANS(-15*(E481+6)))</f>
        <v>-37.408095308531301</v>
      </c>
      <c r="U481" s="46">
        <f t="shared" si="148"/>
        <v>0</v>
      </c>
      <c r="V481" s="51">
        <f t="shared" si="149"/>
        <v>99999</v>
      </c>
      <c r="W481" s="46">
        <f t="shared" si="150"/>
        <v>4.2253521126760563E-2</v>
      </c>
      <c r="X481" s="46">
        <f>0.3*W481*Model!$B$9</f>
        <v>3.8275201289827652</v>
      </c>
      <c r="Y481" s="17">
        <f>(S481-X481)/Model!$B$11</f>
        <v>4.4389826711856532E-3</v>
      </c>
      <c r="Z481" s="46">
        <f t="shared" si="151"/>
        <v>1.8496958064217739E-3</v>
      </c>
      <c r="AA481" s="57">
        <f>Y481/Model!$B$12*3600</f>
        <v>28.7403221370772</v>
      </c>
      <c r="AB481" s="51">
        <f t="shared" si="156"/>
        <v>284.65231283751638</v>
      </c>
      <c r="AC481" s="51">
        <f t="shared" si="158"/>
        <v>1515.3476871624837</v>
      </c>
      <c r="AD481" s="13">
        <f>IF(AE481=0, Model!$B$19, 0 )</f>
        <v>0</v>
      </c>
      <c r="AE481" s="51">
        <f>IF(AE480+AB480-AB481&lt;Model!$B$19*Model!$B$18, AE480+AB480-AB481,  0)</f>
        <v>158.98226086859717</v>
      </c>
      <c r="AF481" s="13">
        <f t="shared" si="152"/>
        <v>23.950000000000205</v>
      </c>
      <c r="AG481" s="50">
        <f t="shared" si="153"/>
        <v>0.48665932926948141</v>
      </c>
    </row>
    <row r="482" spans="2:33" x14ac:dyDescent="0.25">
      <c r="B482" s="15">
        <f t="shared" si="154"/>
        <v>24.000000000000206</v>
      </c>
      <c r="C482" s="15">
        <f>B482+Model!$B$4</f>
        <v>26.000000000000206</v>
      </c>
      <c r="D482" s="15">
        <f t="shared" si="155"/>
        <v>2</v>
      </c>
      <c r="E482" s="15">
        <f t="shared" si="139"/>
        <v>2.0000000000002061</v>
      </c>
      <c r="F482" s="16">
        <f>IF(AB482&gt;0, VLOOKUP(B482,Model!$A$40:$B$60, 2), 0)</f>
        <v>300</v>
      </c>
      <c r="G482" s="15">
        <f>IF(AB482&gt;0, VLOOKUP(B482,Model!$A$39:$C$58, 3), 0)</f>
        <v>1</v>
      </c>
      <c r="H482" s="15">
        <f t="shared" si="142"/>
        <v>97</v>
      </c>
      <c r="I482" s="45">
        <f>Model!$B$21*EXP((-0.029*9.81*F482)/(8.31*(273+J482)))</f>
        <v>100357.4491247143</v>
      </c>
      <c r="J482" s="15">
        <f>IF(Model!$B$31="Summer",  IF(F482&lt;=2000,  Model!$B$20-Model!$B$35*F482/1000,  IF(F482&lt;Model!$B$36,  Model!$B$33-6.5*F482/1000,  Model!$B$38)),     IF(F482&lt;=2000,  Model!$B$20-Model!$B$35*F482/1000,  IF(F482&lt;Model!$B$36,  Model!$B$33-5.4*F482/1000,   Model!$B$38)))</f>
        <v>-19.088750000000001</v>
      </c>
      <c r="K482" s="15">
        <f t="shared" si="143"/>
        <v>253.91125</v>
      </c>
      <c r="L482" s="45">
        <f>IF(AB481-AA481*(B482-B481)&gt;0, L481-Y481*(B482-B481)*3600-AD482*Model!$B$16, 0)</f>
        <v>678.47478536466849</v>
      </c>
      <c r="M482" s="56">
        <f t="shared" si="144"/>
        <v>17.092859489632247</v>
      </c>
      <c r="N482" s="56">
        <f>Model!$B$13*I482*K482/(Model!$B$13*I482-L482*287*K482)</f>
        <v>290.09285948963225</v>
      </c>
      <c r="O482" s="56">
        <f t="shared" si="145"/>
        <v>272.00205474481612</v>
      </c>
      <c r="P482" s="56">
        <f t="shared" si="146"/>
        <v>-0.99766356504303211</v>
      </c>
      <c r="Q482" s="62">
        <f t="shared" si="147"/>
        <v>2.3929145886881945E-2</v>
      </c>
      <c r="R482" s="33">
        <f t="shared" si="157"/>
        <v>1.3496213693460875E-5</v>
      </c>
      <c r="S482" s="45">
        <f>0.37*Model!$B$10*(Q482^2*(N482-K482)*I482/(R482*O482^2))^0.33333*(N482-K482)</f>
        <v>206571.5973783792</v>
      </c>
      <c r="T482" s="50">
        <f>Model!$B$32+(90-Model!$B$6)*SIN(RADIANS(-15*(E482+6)))</f>
        <v>-37.181624193438729</v>
      </c>
      <c r="U482" s="45">
        <f t="shared" si="148"/>
        <v>0</v>
      </c>
      <c r="V482" s="50">
        <f t="shared" si="149"/>
        <v>99999</v>
      </c>
      <c r="W482" s="45">
        <f t="shared" si="150"/>
        <v>4.2253521126760563E-2</v>
      </c>
      <c r="X482" s="45">
        <f>0.3*W482*Model!$B$9</f>
        <v>3.8275201289827652</v>
      </c>
      <c r="Y482" s="33">
        <f>(S482-X482)/Model!$B$11</f>
        <v>4.431358358001721E-3</v>
      </c>
      <c r="Z482" s="45">
        <f t="shared" si="151"/>
        <v>1.8528782163463931E-3</v>
      </c>
      <c r="AA482" s="56">
        <f>Y482/Model!$B$12*3600</f>
        <v>28.690958300087576</v>
      </c>
      <c r="AB482" s="50">
        <f t="shared" si="156"/>
        <v>283.21529673066249</v>
      </c>
      <c r="AC482" s="50">
        <f t="shared" si="158"/>
        <v>1516.7847032693376</v>
      </c>
      <c r="AD482" s="15">
        <f>IF(AE482=0, Model!$B$19, 0 )</f>
        <v>0</v>
      </c>
      <c r="AE482" s="50">
        <f>IF(AE481+AB481-AB482&lt;Model!$B$19*Model!$B$18, AE481+AB481-AB482,  0)</f>
        <v>160.41927697545106</v>
      </c>
      <c r="AF482" s="15">
        <f t="shared" si="152"/>
        <v>24.000000000000206</v>
      </c>
      <c r="AG482" s="50">
        <f t="shared" si="153"/>
        <v>0.49883178252151605</v>
      </c>
    </row>
    <row r="483" spans="2:33" x14ac:dyDescent="0.25">
      <c r="B483" s="13">
        <f t="shared" si="154"/>
        <v>24.050000000000207</v>
      </c>
      <c r="C483" s="13">
        <f>B483+Model!$B$4</f>
        <v>26.050000000000207</v>
      </c>
      <c r="D483" s="13">
        <f t="shared" si="155"/>
        <v>2</v>
      </c>
      <c r="E483" s="13">
        <f t="shared" ref="E483:E546" si="159">C483-24*(D483-1)</f>
        <v>2.0500000000002068</v>
      </c>
      <c r="F483" s="14">
        <f>IF(AB483&gt;0, VLOOKUP(B483,Model!$A$40:$B$60, 2), 0)</f>
        <v>300</v>
      </c>
      <c r="G483" s="13">
        <f>IF(AB483&gt;0, VLOOKUP(B483,Model!$A$39:$C$58, 3), 0)</f>
        <v>1</v>
      </c>
      <c r="H483" s="13">
        <f t="shared" si="142"/>
        <v>97</v>
      </c>
      <c r="I483" s="46">
        <f>Model!$B$21*EXP((-0.029*9.81*F483)/(8.31*(273+J483)))</f>
        <v>100357.4491247143</v>
      </c>
      <c r="J483" s="13">
        <f>IF(Model!$B$31="Summer",  IF(F483&lt;=2000,  Model!$B$20-Model!$B$35*F483/1000,  IF(F483&lt;Model!$B$36,  Model!$B$33-6.5*F483/1000,  Model!$B$38)),     IF(F483&lt;=2000,  Model!$B$20-Model!$B$35*F483/1000,  IF(F483&lt;Model!$B$36,  Model!$B$33-5.4*F483/1000,   Model!$B$38)))</f>
        <v>-19.088750000000001</v>
      </c>
      <c r="K483" s="13">
        <f t="shared" si="143"/>
        <v>253.91125</v>
      </c>
      <c r="L483" s="46">
        <f>IF(AB482-AA482*(B483-B482)&gt;0, L482-Y482*(B483-B482)*3600-AD483*Model!$B$16, 0)</f>
        <v>677.67714086022818</v>
      </c>
      <c r="M483" s="57">
        <f t="shared" si="144"/>
        <v>17.044269602187512</v>
      </c>
      <c r="N483" s="57">
        <f>Model!$B$13*I483*K483/(Model!$B$13*I483-L483*287*K483)</f>
        <v>290.04426960218751</v>
      </c>
      <c r="O483" s="57">
        <f t="shared" si="145"/>
        <v>271.97775980109373</v>
      </c>
      <c r="P483" s="57">
        <f t="shared" si="146"/>
        <v>-1.0219585087653993</v>
      </c>
      <c r="Q483" s="63">
        <f t="shared" si="147"/>
        <v>2.3927420945877655E-2</v>
      </c>
      <c r="R483" s="17">
        <f t="shared" si="157"/>
        <v>1.3493687019313746E-5</v>
      </c>
      <c r="S483" s="46">
        <f>0.37*Model!$B$10*(Q483^2*(N483-K483)*I483/(R483*O483^2))^0.33333*(N483-K483)</f>
        <v>206217.03437304444</v>
      </c>
      <c r="T483" s="51">
        <f>Model!$B$32+(90-Model!$B$6)*SIN(RADIANS(-15*(E483+6)))</f>
        <v>-36.949959463534199</v>
      </c>
      <c r="U483" s="46">
        <f t="shared" si="148"/>
        <v>0</v>
      </c>
      <c r="V483" s="51">
        <f t="shared" si="149"/>
        <v>99999</v>
      </c>
      <c r="W483" s="46">
        <f t="shared" si="150"/>
        <v>4.2253521126760563E-2</v>
      </c>
      <c r="X483" s="46">
        <f>0.3*W483*Model!$B$9</f>
        <v>3.8275201289827652</v>
      </c>
      <c r="Y483" s="17">
        <f>(S483-X483)/Model!$B$11</f>
        <v>4.4237521581661585E-3</v>
      </c>
      <c r="Z483" s="46">
        <f t="shared" si="151"/>
        <v>1.8560639961773583E-3</v>
      </c>
      <c r="AA483" s="57">
        <f>Y483/Model!$B$12*3600</f>
        <v>28.641711738497676</v>
      </c>
      <c r="AB483" s="51">
        <f t="shared" si="156"/>
        <v>281.78074881565811</v>
      </c>
      <c r="AC483" s="51">
        <f t="shared" si="158"/>
        <v>1518.2192511843418</v>
      </c>
      <c r="AD483" s="13">
        <f>IF(AE483=0, Model!$B$19, 0 )</f>
        <v>0</v>
      </c>
      <c r="AE483" s="51">
        <f>IF(AE482+AB482-AB483&lt;Model!$B$19*Model!$B$18, AE482+AB482-AB483,  0)</f>
        <v>161.85382489045543</v>
      </c>
      <c r="AF483" s="13">
        <f t="shared" si="152"/>
        <v>24.050000000000207</v>
      </c>
      <c r="AG483" s="50">
        <f t="shared" si="153"/>
        <v>0.51097925438269964</v>
      </c>
    </row>
    <row r="484" spans="2:33" x14ac:dyDescent="0.25">
      <c r="B484" s="15">
        <f t="shared" si="154"/>
        <v>24.100000000000207</v>
      </c>
      <c r="C484" s="15">
        <f>B484+Model!$B$4</f>
        <v>26.100000000000207</v>
      </c>
      <c r="D484" s="15">
        <f t="shared" si="155"/>
        <v>2</v>
      </c>
      <c r="E484" s="15">
        <f t="shared" si="159"/>
        <v>2.1000000000002075</v>
      </c>
      <c r="F484" s="16">
        <f>IF(AB484&gt;0, VLOOKUP(B484,Model!$A$40:$B$60, 2), 0)</f>
        <v>300</v>
      </c>
      <c r="G484" s="15">
        <f>IF(AB484&gt;0, VLOOKUP(B484,Model!$A$39:$C$58, 3), 0)</f>
        <v>1</v>
      </c>
      <c r="H484" s="15">
        <f t="shared" si="142"/>
        <v>97</v>
      </c>
      <c r="I484" s="45">
        <f>Model!$B$21*EXP((-0.029*9.81*F484)/(8.31*(273+J484)))</f>
        <v>100357.4491247143</v>
      </c>
      <c r="J484" s="15">
        <f>IF(Model!$B$31="Summer",  IF(F484&lt;=2000,  Model!$B$20-Model!$B$35*F484/1000,  IF(F484&lt;Model!$B$36,  Model!$B$33-6.5*F484/1000,  Model!$B$38)),     IF(F484&lt;=2000,  Model!$B$20-Model!$B$35*F484/1000,  IF(F484&lt;Model!$B$36,  Model!$B$33-5.4*F484/1000,   Model!$B$38)))</f>
        <v>-19.088750000000001</v>
      </c>
      <c r="K484" s="15">
        <f t="shared" si="143"/>
        <v>253.91125</v>
      </c>
      <c r="L484" s="45">
        <f>IF(AB483-AA483*(B484-B483)&gt;0, L483-Y483*(B484-B483)*3600-AD484*Model!$B$16, 0)</f>
        <v>676.88086547175828</v>
      </c>
      <c r="M484" s="56">
        <f t="shared" si="144"/>
        <v>16.995779349587622</v>
      </c>
      <c r="N484" s="56">
        <f>Model!$B$13*I484*K484/(Model!$B$13*I484-L484*287*K484)</f>
        <v>289.99577934958762</v>
      </c>
      <c r="O484" s="56">
        <f t="shared" si="145"/>
        <v>271.95351467479384</v>
      </c>
      <c r="P484" s="56">
        <f t="shared" si="146"/>
        <v>-1.0462036350653445</v>
      </c>
      <c r="Q484" s="62">
        <f t="shared" si="147"/>
        <v>2.3925699541910362E-2</v>
      </c>
      <c r="R484" s="33">
        <f t="shared" si="157"/>
        <v>1.3491165526178559E-5</v>
      </c>
      <c r="S484" s="45">
        <f>0.37*Model!$B$10*(Q484^2*(N484-K484)*I484/(R484*O484^2))^0.33333*(N484-K484)</f>
        <v>205863.31305784083</v>
      </c>
      <c r="T484" s="50">
        <f>Model!$B$32+(90-Model!$B$6)*SIN(RADIANS(-15*(E484+6)))</f>
        <v>-36.713140813376562</v>
      </c>
      <c r="U484" s="45">
        <f t="shared" si="148"/>
        <v>0</v>
      </c>
      <c r="V484" s="50">
        <f t="shared" si="149"/>
        <v>99999</v>
      </c>
      <c r="W484" s="45">
        <f t="shared" si="150"/>
        <v>4.2253521126760563E-2</v>
      </c>
      <c r="X484" s="45">
        <f>0.3*W484*Model!$B$9</f>
        <v>3.8275201289827652</v>
      </c>
      <c r="Y484" s="33">
        <f>(S484-X484)/Model!$B$11</f>
        <v>4.416164014538493E-3</v>
      </c>
      <c r="Z484" s="45">
        <f t="shared" si="151"/>
        <v>1.8592531481835025E-3</v>
      </c>
      <c r="AA484" s="56">
        <f>Y484/Model!$B$12*3600</f>
        <v>28.59258208234985</v>
      </c>
      <c r="AB484" s="50">
        <f t="shared" si="156"/>
        <v>280.34866322873319</v>
      </c>
      <c r="AC484" s="50">
        <f t="shared" si="158"/>
        <v>1519.6513367712669</v>
      </c>
      <c r="AD484" s="15">
        <f>IF(AE484=0, Model!$B$19, 0 )</f>
        <v>0</v>
      </c>
      <c r="AE484" s="50">
        <f>IF(AE483+AB483-AB484&lt;Model!$B$19*Model!$B$18, AE483+AB483-AB484,  0)</f>
        <v>163.28591047738036</v>
      </c>
      <c r="AF484" s="15">
        <f t="shared" si="152"/>
        <v>24.100000000000207</v>
      </c>
      <c r="AG484" s="50">
        <f t="shared" si="153"/>
        <v>0.52310181753267226</v>
      </c>
    </row>
    <row r="485" spans="2:33" x14ac:dyDescent="0.25">
      <c r="B485" s="13">
        <f t="shared" si="154"/>
        <v>24.150000000000208</v>
      </c>
      <c r="C485" s="13">
        <f>B485+Model!$B$4</f>
        <v>26.150000000000208</v>
      </c>
      <c r="D485" s="13">
        <f t="shared" si="155"/>
        <v>2</v>
      </c>
      <c r="E485" s="13">
        <f t="shared" si="159"/>
        <v>2.1500000000002082</v>
      </c>
      <c r="F485" s="14">
        <f>IF(AB485&gt;0, VLOOKUP(B485,Model!$A$40:$B$60, 2), 0)</f>
        <v>300</v>
      </c>
      <c r="G485" s="13">
        <f>IF(AB485&gt;0, VLOOKUP(B485,Model!$A$39:$C$58, 3), 0)</f>
        <v>1</v>
      </c>
      <c r="H485" s="13">
        <f t="shared" si="142"/>
        <v>97</v>
      </c>
      <c r="I485" s="46">
        <f>Model!$B$21*EXP((-0.029*9.81*F485)/(8.31*(273+J485)))</f>
        <v>100357.4491247143</v>
      </c>
      <c r="J485" s="13">
        <f>IF(Model!$B$31="Summer",  IF(F485&lt;=2000,  Model!$B$20-Model!$B$35*F485/1000,  IF(F485&lt;Model!$B$36,  Model!$B$33-6.5*F485/1000,  Model!$B$38)),     IF(F485&lt;=2000,  Model!$B$20-Model!$B$35*F485/1000,  IF(F485&lt;Model!$B$36,  Model!$B$33-5.4*F485/1000,   Model!$B$38)))</f>
        <v>-19.088750000000001</v>
      </c>
      <c r="K485" s="13">
        <f t="shared" si="143"/>
        <v>253.91125</v>
      </c>
      <c r="L485" s="46">
        <f>IF(AB484-AA484*(B485-B484)&gt;0, L484-Y484*(B485-B484)*3600-AD485*Model!$B$16, 0)</f>
        <v>676.08595594914129</v>
      </c>
      <c r="M485" s="57">
        <f t="shared" si="144"/>
        <v>16.94738844223923</v>
      </c>
      <c r="N485" s="57">
        <f>Model!$B$13*I485*K485/(Model!$B$13*I485-L485*287*K485)</f>
        <v>289.94738844223923</v>
      </c>
      <c r="O485" s="57">
        <f t="shared" si="145"/>
        <v>271.92931922111961</v>
      </c>
      <c r="P485" s="57">
        <f t="shared" si="146"/>
        <v>-1.0703990887395403</v>
      </c>
      <c r="Q485" s="63">
        <f t="shared" si="147"/>
        <v>2.3923981664699494E-2</v>
      </c>
      <c r="R485" s="17">
        <f t="shared" si="157"/>
        <v>1.3488649198996439E-5</v>
      </c>
      <c r="S485" s="46">
        <f>0.37*Model!$B$10*(Q485^2*(N485-K485)*I485/(R485*O485^2))^0.33333*(N485-K485)</f>
        <v>205510.43077991568</v>
      </c>
      <c r="T485" s="51">
        <f>Model!$B$32+(90-Model!$B$6)*SIN(RADIANS(-15*(E485+6)))</f>
        <v>-36.471208820622365</v>
      </c>
      <c r="U485" s="46">
        <f t="shared" si="148"/>
        <v>0</v>
      </c>
      <c r="V485" s="51">
        <f t="shared" si="149"/>
        <v>99999</v>
      </c>
      <c r="W485" s="46">
        <f t="shared" si="150"/>
        <v>4.2253521126760563E-2</v>
      </c>
      <c r="X485" s="46">
        <f>0.3*W485*Model!$B$9</f>
        <v>3.8275201289827652</v>
      </c>
      <c r="Y485" s="17">
        <f>(S485-X485)/Model!$B$11</f>
        <v>4.4085938702088752E-3</v>
      </c>
      <c r="Z485" s="46">
        <f t="shared" si="151"/>
        <v>1.8624456746342555E-3</v>
      </c>
      <c r="AA485" s="57">
        <f>Y485/Model!$B$12*3600</f>
        <v>28.543568963179624</v>
      </c>
      <c r="AB485" s="51">
        <f t="shared" si="156"/>
        <v>278.91903412461568</v>
      </c>
      <c r="AC485" s="51">
        <f t="shared" si="158"/>
        <v>1521.0809658753842</v>
      </c>
      <c r="AD485" s="13">
        <f>IF(AE485=0, Model!$B$19, 0 )</f>
        <v>0</v>
      </c>
      <c r="AE485" s="51">
        <f>IF(AE484+AB484-AB485&lt;Model!$B$19*Model!$B$18, AE484+AB484-AB485,  0)</f>
        <v>164.71553958149786</v>
      </c>
      <c r="AF485" s="13">
        <f t="shared" si="152"/>
        <v>24.150000000000208</v>
      </c>
      <c r="AG485" s="50">
        <f t="shared" si="153"/>
        <v>0.53519954436977013</v>
      </c>
    </row>
    <row r="486" spans="2:33" x14ac:dyDescent="0.25">
      <c r="B486" s="15">
        <f t="shared" si="154"/>
        <v>24.200000000000209</v>
      </c>
      <c r="C486" s="15">
        <f>B486+Model!$B$4</f>
        <v>26.200000000000209</v>
      </c>
      <c r="D486" s="15">
        <f t="shared" si="155"/>
        <v>2</v>
      </c>
      <c r="E486" s="15">
        <f t="shared" si="159"/>
        <v>2.2000000000002089</v>
      </c>
      <c r="F486" s="16">
        <f>IF(AB486&gt;0, VLOOKUP(B486,Model!$A$40:$B$60, 2), 0)</f>
        <v>300</v>
      </c>
      <c r="G486" s="15">
        <f>IF(AB486&gt;0, VLOOKUP(B486,Model!$A$39:$C$58, 3), 0)</f>
        <v>1</v>
      </c>
      <c r="H486" s="15">
        <f t="shared" si="142"/>
        <v>97</v>
      </c>
      <c r="I486" s="45">
        <f>Model!$B$21*EXP((-0.029*9.81*F486)/(8.31*(273+J486)))</f>
        <v>100357.4491247143</v>
      </c>
      <c r="J486" s="15">
        <f>IF(Model!$B$31="Summer",  IF(F486&lt;=2000,  Model!$B$20-Model!$B$35*F486/1000,  IF(F486&lt;Model!$B$36,  Model!$B$33-6.5*F486/1000,  Model!$B$38)),     IF(F486&lt;=2000,  Model!$B$20-Model!$B$35*F486/1000,  IF(F486&lt;Model!$B$36,  Model!$B$33-5.4*F486/1000,   Model!$B$38)))</f>
        <v>-19.088750000000001</v>
      </c>
      <c r="K486" s="15">
        <f t="shared" si="143"/>
        <v>253.91125</v>
      </c>
      <c r="L486" s="45">
        <f>IF(AB485-AA485*(B486-B485)&gt;0, L485-Y485*(B486-B485)*3600-AD486*Model!$B$16, 0)</f>
        <v>675.29240905250367</v>
      </c>
      <c r="M486" s="56">
        <f t="shared" si="144"/>
        <v>16.899096591668638</v>
      </c>
      <c r="N486" s="56">
        <f>Model!$B$13*I486*K486/(Model!$B$13*I486-L486*287*K486)</f>
        <v>289.89909659166864</v>
      </c>
      <c r="O486" s="56">
        <f t="shared" si="145"/>
        <v>271.90517329583429</v>
      </c>
      <c r="P486" s="56">
        <f t="shared" si="146"/>
        <v>-1.0945450140248365</v>
      </c>
      <c r="Q486" s="62">
        <f t="shared" si="147"/>
        <v>2.3922267304004236E-2</v>
      </c>
      <c r="R486" s="33">
        <f t="shared" si="157"/>
        <v>1.3486138022766763E-5</v>
      </c>
      <c r="S486" s="45">
        <f>0.37*Model!$B$10*(Q486^2*(N486-K486)*I486/(R486*O486^2))^0.33333*(N486-K486)</f>
        <v>205158.38489711154</v>
      </c>
      <c r="T486" s="50">
        <f>Model!$B$32+(90-Model!$B$6)*SIN(RADIANS(-15*(E486+6)))</f>
        <v>-36.224204939073125</v>
      </c>
      <c r="U486" s="45">
        <f t="shared" si="148"/>
        <v>0</v>
      </c>
      <c r="V486" s="50">
        <f t="shared" si="149"/>
        <v>99999</v>
      </c>
      <c r="W486" s="45">
        <f t="shared" si="150"/>
        <v>4.2253521126760563E-2</v>
      </c>
      <c r="X486" s="45">
        <f>0.3*W486*Model!$B$9</f>
        <v>3.8275201289827652</v>
      </c>
      <c r="Y486" s="33">
        <f>(S486-X486)/Model!$B$11</f>
        <v>4.4010416684968903E-3</v>
      </c>
      <c r="Z486" s="45">
        <f t="shared" si="151"/>
        <v>1.8656415777996572E-3</v>
      </c>
      <c r="AA486" s="56">
        <f>Y486/Model!$B$12*3600</f>
        <v>28.49467201400801</v>
      </c>
      <c r="AB486" s="50">
        <f t="shared" si="156"/>
        <v>277.49185567645668</v>
      </c>
      <c r="AC486" s="50">
        <f t="shared" si="158"/>
        <v>1522.5081443235433</v>
      </c>
      <c r="AD486" s="15">
        <f>IF(AE486=0, Model!$B$19, 0 )</f>
        <v>0</v>
      </c>
      <c r="AE486" s="50">
        <f>IF(AE485+AB485-AB486&lt;Model!$B$19*Model!$B$18, AE485+AB485-AB486,  0)</f>
        <v>166.14271802965686</v>
      </c>
      <c r="AF486" s="15">
        <f t="shared" si="152"/>
        <v>24.200000000000209</v>
      </c>
      <c r="AG486" s="50">
        <f t="shared" si="153"/>
        <v>0.54727250701241825</v>
      </c>
    </row>
    <row r="487" spans="2:33" x14ac:dyDescent="0.25">
      <c r="B487" s="13">
        <f t="shared" si="154"/>
        <v>24.25000000000021</v>
      </c>
      <c r="C487" s="13">
        <f>B487+Model!$B$4</f>
        <v>26.25000000000021</v>
      </c>
      <c r="D487" s="13">
        <f t="shared" si="155"/>
        <v>2</v>
      </c>
      <c r="E487" s="13">
        <f t="shared" si="159"/>
        <v>2.2500000000002096</v>
      </c>
      <c r="F487" s="14">
        <f>IF(AB487&gt;0, VLOOKUP(B487,Model!$A$40:$B$60, 2), 0)</f>
        <v>300</v>
      </c>
      <c r="G487" s="13">
        <f>IF(AB487&gt;0, VLOOKUP(B487,Model!$A$39:$C$58, 3), 0)</f>
        <v>1</v>
      </c>
      <c r="H487" s="13">
        <f t="shared" si="142"/>
        <v>97</v>
      </c>
      <c r="I487" s="46">
        <f>Model!$B$21*EXP((-0.029*9.81*F487)/(8.31*(273+J487)))</f>
        <v>100357.4491247143</v>
      </c>
      <c r="J487" s="13">
        <f>IF(Model!$B$31="Summer",  IF(F487&lt;=2000,  Model!$B$20-Model!$B$35*F487/1000,  IF(F487&lt;Model!$B$36,  Model!$B$33-6.5*F487/1000,  Model!$B$38)),     IF(F487&lt;=2000,  Model!$B$20-Model!$B$35*F487/1000,  IF(F487&lt;Model!$B$36,  Model!$B$33-5.4*F487/1000,   Model!$B$38)))</f>
        <v>-19.088750000000001</v>
      </c>
      <c r="K487" s="13">
        <f t="shared" si="143"/>
        <v>253.91125</v>
      </c>
      <c r="L487" s="46">
        <f>IF(AB486-AA486*(B487-B486)&gt;0, L486-Y486*(B487-B486)*3600-AD487*Model!$B$16, 0)</f>
        <v>674.50022155217425</v>
      </c>
      <c r="M487" s="57">
        <f t="shared" si="144"/>
        <v>16.850903510516787</v>
      </c>
      <c r="N487" s="57">
        <f>Model!$B$13*I487*K487/(Model!$B$13*I487-L487*287*K487)</f>
        <v>289.85090351051679</v>
      </c>
      <c r="O487" s="57">
        <f t="shared" si="145"/>
        <v>271.88107675525839</v>
      </c>
      <c r="P487" s="57">
        <f t="shared" si="146"/>
        <v>-1.118641554600762</v>
      </c>
      <c r="Q487" s="63">
        <f t="shared" si="147"/>
        <v>2.3920556449623345E-2</v>
      </c>
      <c r="R487" s="17">
        <f t="shared" si="157"/>
        <v>1.3483631982546873E-5</v>
      </c>
      <c r="S487" s="46">
        <f>0.37*Model!$B$10*(Q487^2*(N487-K487)*I487/(R487*O487^2))^0.33333*(N487-K487)</f>
        <v>204807.17277791703</v>
      </c>
      <c r="T487" s="51">
        <f>Model!$B$32+(90-Model!$B$6)*SIN(RADIANS(-15*(E487+6)))</f>
        <v>-35.97217149157234</v>
      </c>
      <c r="U487" s="46">
        <f t="shared" si="148"/>
        <v>0</v>
      </c>
      <c r="V487" s="51">
        <f t="shared" si="149"/>
        <v>99999</v>
      </c>
      <c r="W487" s="46">
        <f t="shared" si="150"/>
        <v>4.2253521126760563E-2</v>
      </c>
      <c r="X487" s="46">
        <f>0.3*W487*Model!$B$9</f>
        <v>3.8275201289827652</v>
      </c>
      <c r="Y487" s="17">
        <f>(S487-X487)/Model!$B$11</f>
        <v>4.3935073529505105E-3</v>
      </c>
      <c r="Z487" s="46">
        <f t="shared" si="151"/>
        <v>1.8688408599503213E-3</v>
      </c>
      <c r="AA487" s="57">
        <f>Y487/Model!$B$12*3600</f>
        <v>28.445890869334718</v>
      </c>
      <c r="AB487" s="51">
        <f t="shared" si="156"/>
        <v>276.06712207575629</v>
      </c>
      <c r="AC487" s="51">
        <f t="shared" si="158"/>
        <v>1523.9328779242437</v>
      </c>
      <c r="AD487" s="13">
        <f>IF(AE487=0, Model!$B$19, 0 )</f>
        <v>0</v>
      </c>
      <c r="AE487" s="51">
        <f>IF(AE486+AB486-AB487&lt;Model!$B$19*Model!$B$18, AE486+AB486-AB487,  0)</f>
        <v>167.56745163035725</v>
      </c>
      <c r="AF487" s="13">
        <f t="shared" si="152"/>
        <v>24.25000000000021</v>
      </c>
      <c r="AG487" s="50">
        <f t="shared" si="153"/>
        <v>0.55932077730038099</v>
      </c>
    </row>
    <row r="488" spans="2:33" x14ac:dyDescent="0.25">
      <c r="B488" s="15">
        <f t="shared" si="154"/>
        <v>24.30000000000021</v>
      </c>
      <c r="C488" s="15">
        <f>B488+Model!$B$4</f>
        <v>26.30000000000021</v>
      </c>
      <c r="D488" s="15">
        <f t="shared" si="155"/>
        <v>2</v>
      </c>
      <c r="E488" s="15">
        <f t="shared" si="159"/>
        <v>2.3000000000002103</v>
      </c>
      <c r="F488" s="16">
        <f>IF(AB488&gt;0, VLOOKUP(B488,Model!$A$40:$B$60, 2), 0)</f>
        <v>300</v>
      </c>
      <c r="G488" s="15">
        <f>IF(AB488&gt;0, VLOOKUP(B488,Model!$A$39:$C$58, 3), 0)</f>
        <v>1</v>
      </c>
      <c r="H488" s="15">
        <f t="shared" si="142"/>
        <v>97</v>
      </c>
      <c r="I488" s="45">
        <f>Model!$B$21*EXP((-0.029*9.81*F488)/(8.31*(273+J488)))</f>
        <v>100357.4491247143</v>
      </c>
      <c r="J488" s="15">
        <f>IF(Model!$B$31="Summer",  IF(F488&lt;=2000,  Model!$B$20-Model!$B$35*F488/1000,  IF(F488&lt;Model!$B$36,  Model!$B$33-6.5*F488/1000,  Model!$B$38)),     IF(F488&lt;=2000,  Model!$B$20-Model!$B$35*F488/1000,  IF(F488&lt;Model!$B$36,  Model!$B$33-5.4*F488/1000,   Model!$B$38)))</f>
        <v>-19.088750000000001</v>
      </c>
      <c r="K488" s="15">
        <f t="shared" si="143"/>
        <v>253.91125</v>
      </c>
      <c r="L488" s="45">
        <f>IF(AB487-AA487*(B488-B487)&gt;0, L487-Y487*(B488-B487)*3600-AD488*Model!$B$16, 0)</f>
        <v>673.7093902286432</v>
      </c>
      <c r="M488" s="56">
        <f t="shared" si="144"/>
        <v>16.802808912533067</v>
      </c>
      <c r="N488" s="56">
        <f>Model!$B$13*I488*K488/(Model!$B$13*I488-L488*287*K488)</f>
        <v>289.80280891253307</v>
      </c>
      <c r="O488" s="56">
        <f t="shared" si="145"/>
        <v>271.85702945626656</v>
      </c>
      <c r="P488" s="56">
        <f t="shared" si="146"/>
        <v>-1.1426888535926221</v>
      </c>
      <c r="Q488" s="62">
        <f t="shared" si="147"/>
        <v>2.3918849091394925E-2</v>
      </c>
      <c r="R488" s="33">
        <f t="shared" si="157"/>
        <v>1.3481131063451721E-5</v>
      </c>
      <c r="S488" s="45">
        <f>0.37*Model!$B$10*(Q488^2*(N488-K488)*I488/(R488*O488^2))^0.33333*(N488-K488)</f>
        <v>204456.79180140782</v>
      </c>
      <c r="T488" s="50">
        <f>Model!$B$32+(90-Model!$B$6)*SIN(RADIANS(-15*(E488+6)))</f>
        <v>-35.715151662753783</v>
      </c>
      <c r="U488" s="45">
        <f t="shared" si="148"/>
        <v>0</v>
      </c>
      <c r="V488" s="50">
        <f t="shared" si="149"/>
        <v>99999</v>
      </c>
      <c r="W488" s="45">
        <f t="shared" si="150"/>
        <v>4.2253521126760563E-2</v>
      </c>
      <c r="X488" s="45">
        <f>0.3*W488*Model!$B$9</f>
        <v>3.8275201289827652</v>
      </c>
      <c r="Y488" s="33">
        <f>(S488-X488)/Model!$B$11</f>
        <v>4.3859908673448212E-3</v>
      </c>
      <c r="Z488" s="45">
        <f t="shared" si="151"/>
        <v>1.8720435233574913E-3</v>
      </c>
      <c r="AA488" s="56">
        <f>Y488/Model!$B$12*3600</f>
        <v>28.397225165129907</v>
      </c>
      <c r="AB488" s="50">
        <f t="shared" si="156"/>
        <v>274.64482753228953</v>
      </c>
      <c r="AC488" s="50">
        <f t="shared" si="158"/>
        <v>1525.3551724677104</v>
      </c>
      <c r="AD488" s="15">
        <f>IF(AE488=0, Model!$B$19, 0 )</f>
        <v>0</v>
      </c>
      <c r="AE488" s="50">
        <f>IF(AE487+AB487-AB488&lt;Model!$B$19*Model!$B$18, AE487+AB487-AB488,  0)</f>
        <v>168.98974617382402</v>
      </c>
      <c r="AF488" s="15">
        <f t="shared" si="152"/>
        <v>24.30000000000021</v>
      </c>
      <c r="AG488" s="50">
        <f t="shared" si="153"/>
        <v>0.57134442679631103</v>
      </c>
    </row>
    <row r="489" spans="2:33" x14ac:dyDescent="0.25">
      <c r="B489" s="13">
        <f t="shared" si="154"/>
        <v>24.350000000000211</v>
      </c>
      <c r="C489" s="13">
        <f>B489+Model!$B$4</f>
        <v>26.350000000000211</v>
      </c>
      <c r="D489" s="13">
        <f t="shared" si="155"/>
        <v>2</v>
      </c>
      <c r="E489" s="13">
        <f t="shared" si="159"/>
        <v>2.350000000000211</v>
      </c>
      <c r="F489" s="14">
        <f>IF(AB489&gt;0, VLOOKUP(B489,Model!$A$40:$B$60, 2), 0)</f>
        <v>300</v>
      </c>
      <c r="G489" s="13">
        <f>IF(AB489&gt;0, VLOOKUP(B489,Model!$A$39:$C$58, 3), 0)</f>
        <v>1</v>
      </c>
      <c r="H489" s="13">
        <f t="shared" si="142"/>
        <v>97</v>
      </c>
      <c r="I489" s="46">
        <f>Model!$B$21*EXP((-0.029*9.81*F489)/(8.31*(273+J489)))</f>
        <v>100357.4491247143</v>
      </c>
      <c r="J489" s="13">
        <f>IF(Model!$B$31="Summer",  IF(F489&lt;=2000,  Model!$B$20-Model!$B$35*F489/1000,  IF(F489&lt;Model!$B$36,  Model!$B$33-6.5*F489/1000,  Model!$B$38)),     IF(F489&lt;=2000,  Model!$B$20-Model!$B$35*F489/1000,  IF(F489&lt;Model!$B$36,  Model!$B$33-5.4*F489/1000,   Model!$B$38)))</f>
        <v>-19.088750000000001</v>
      </c>
      <c r="K489" s="13">
        <f t="shared" si="143"/>
        <v>253.91125</v>
      </c>
      <c r="L489" s="46">
        <f>IF(AB488-AA488*(B489-B488)&gt;0, L488-Y488*(B489-B488)*3600-AD489*Model!$B$16, 0)</f>
        <v>672.91991187252108</v>
      </c>
      <c r="M489" s="57">
        <f t="shared" si="144"/>
        <v>16.754812512570538</v>
      </c>
      <c r="N489" s="57">
        <f>Model!$B$13*I489*K489/(Model!$B$13*I489-L489*287*K489)</f>
        <v>289.75481251257054</v>
      </c>
      <c r="O489" s="57">
        <f t="shared" si="145"/>
        <v>271.83303125628527</v>
      </c>
      <c r="P489" s="57">
        <f t="shared" si="146"/>
        <v>-1.1666870535738862</v>
      </c>
      <c r="Q489" s="63">
        <f t="shared" si="147"/>
        <v>2.3917145219196256E-2</v>
      </c>
      <c r="R489" s="17">
        <f t="shared" si="157"/>
        <v>1.3478635250653667E-5</v>
      </c>
      <c r="S489" s="46">
        <f>0.37*Model!$B$10*(Q489^2*(N489-K489)*I489/(R489*O489^2))^0.33333*(N489-K489)</f>
        <v>204107.23935719865</v>
      </c>
      <c r="T489" s="51">
        <f>Model!$B$32+(90-Model!$B$6)*SIN(RADIANS(-15*(E489+6)))</f>
        <v>-35.453189491641965</v>
      </c>
      <c r="U489" s="46">
        <f t="shared" si="148"/>
        <v>0</v>
      </c>
      <c r="V489" s="51">
        <f t="shared" si="149"/>
        <v>99999</v>
      </c>
      <c r="W489" s="46">
        <f t="shared" si="150"/>
        <v>4.2253521126760563E-2</v>
      </c>
      <c r="X489" s="46">
        <f>0.3*W489*Model!$B$9</f>
        <v>3.8275201289827652</v>
      </c>
      <c r="Y489" s="17">
        <f>(S489-X489)/Model!$B$11</f>
        <v>4.3784921556809971E-3</v>
      </c>
      <c r="Z489" s="46">
        <f t="shared" si="151"/>
        <v>1.8752495702929963E-3</v>
      </c>
      <c r="AA489" s="57">
        <f>Y489/Model!$B$12*3600</f>
        <v>28.348674538827549</v>
      </c>
      <c r="AB489" s="51">
        <f t="shared" si="156"/>
        <v>273.22496627403302</v>
      </c>
      <c r="AC489" s="51">
        <f t="shared" si="158"/>
        <v>1526.775033725967</v>
      </c>
      <c r="AD489" s="13">
        <f>IF(AE489=0, Model!$B$19, 0 )</f>
        <v>0</v>
      </c>
      <c r="AE489" s="51">
        <f>IF(AE488+AB488-AB489&lt;Model!$B$19*Model!$B$18, AE488+AB488-AB489,  0)</f>
        <v>170.40960743208052</v>
      </c>
      <c r="AF489" s="13">
        <f t="shared" si="152"/>
        <v>24.350000000000211</v>
      </c>
      <c r="AG489" s="50">
        <f t="shared" si="153"/>
        <v>0.58334352678694312</v>
      </c>
    </row>
    <row r="490" spans="2:33" x14ac:dyDescent="0.25">
      <c r="B490" s="15">
        <f t="shared" si="154"/>
        <v>24.400000000000212</v>
      </c>
      <c r="C490" s="15">
        <f>B490+Model!$B$4</f>
        <v>26.400000000000212</v>
      </c>
      <c r="D490" s="15">
        <f t="shared" si="155"/>
        <v>2</v>
      </c>
      <c r="E490" s="15">
        <f t="shared" si="159"/>
        <v>2.4000000000002117</v>
      </c>
      <c r="F490" s="16">
        <f>IF(AB490&gt;0, VLOOKUP(B490,Model!$A$40:$B$60, 2), 0)</f>
        <v>300</v>
      </c>
      <c r="G490" s="15">
        <f>IF(AB490&gt;0, VLOOKUP(B490,Model!$A$39:$C$58, 3), 0)</f>
        <v>1</v>
      </c>
      <c r="H490" s="15">
        <f t="shared" si="142"/>
        <v>97</v>
      </c>
      <c r="I490" s="45">
        <f>Model!$B$21*EXP((-0.029*9.81*F490)/(8.31*(273+J490)))</f>
        <v>100357.4491247143</v>
      </c>
      <c r="J490" s="15">
        <f>IF(Model!$B$31="Summer",  IF(F490&lt;=2000,  Model!$B$20-Model!$B$35*F490/1000,  IF(F490&lt;Model!$B$36,  Model!$B$33-6.5*F490/1000,  Model!$B$38)),     IF(F490&lt;=2000,  Model!$B$20-Model!$B$35*F490/1000,  IF(F490&lt;Model!$B$36,  Model!$B$33-5.4*F490/1000,   Model!$B$38)))</f>
        <v>-19.088750000000001</v>
      </c>
      <c r="K490" s="15">
        <f t="shared" si="143"/>
        <v>253.91125</v>
      </c>
      <c r="L490" s="45">
        <f>IF(AB489-AA489*(B490-B489)&gt;0, L489-Y489*(B490-B489)*3600-AD490*Model!$B$16, 0)</f>
        <v>672.13178328449851</v>
      </c>
      <c r="M490" s="56">
        <f t="shared" si="144"/>
        <v>16.706914026580478</v>
      </c>
      <c r="N490" s="56">
        <f>Model!$B$13*I490*K490/(Model!$B$13*I490-L490*287*K490)</f>
        <v>289.70691402658048</v>
      </c>
      <c r="O490" s="56">
        <f t="shared" si="145"/>
        <v>271.80908201329021</v>
      </c>
      <c r="P490" s="56">
        <f t="shared" si="146"/>
        <v>-1.1906362965689166</v>
      </c>
      <c r="Q490" s="62">
        <f t="shared" si="147"/>
        <v>2.3915444822943607E-2</v>
      </c>
      <c r="R490" s="33">
        <f t="shared" si="157"/>
        <v>1.347614452938218E-5</v>
      </c>
      <c r="S490" s="45">
        <f>0.37*Model!$B$10*(Q490^2*(N490-K490)*I490/(R490*O490^2))^0.33333*(N490-K490)</f>
        <v>203758.51284539019</v>
      </c>
      <c r="T490" s="50">
        <f>Model!$B$32+(90-Model!$B$6)*SIN(RADIANS(-15*(E490+6)))</f>
        <v>-35.186329864106341</v>
      </c>
      <c r="U490" s="45">
        <f t="shared" si="148"/>
        <v>0</v>
      </c>
      <c r="V490" s="50">
        <f t="shared" si="149"/>
        <v>99999</v>
      </c>
      <c r="W490" s="45">
        <f t="shared" si="150"/>
        <v>4.2253521126760563E-2</v>
      </c>
      <c r="X490" s="45">
        <f>0.3*W490*Model!$B$9</f>
        <v>3.8275201289827652</v>
      </c>
      <c r="Y490" s="33">
        <f>(S490-X490)/Model!$B$11</f>
        <v>4.3710111621851596E-3</v>
      </c>
      <c r="Z490" s="45">
        <f t="shared" si="151"/>
        <v>1.8784590030292609E-3</v>
      </c>
      <c r="AA490" s="56">
        <f>Y490/Model!$B$12*3600</f>
        <v>28.300238629318059</v>
      </c>
      <c r="AB490" s="50">
        <f t="shared" si="156"/>
        <v>271.80753254709163</v>
      </c>
      <c r="AC490" s="50">
        <f t="shared" si="158"/>
        <v>1528.1924674529084</v>
      </c>
      <c r="AD490" s="15">
        <f>IF(AE490=0, Model!$B$19, 0 )</f>
        <v>0</v>
      </c>
      <c r="AE490" s="50">
        <f>IF(AE489+AB489-AB490&lt;Model!$B$19*Model!$B$18, AE489+AB489-AB490,  0)</f>
        <v>171.82704115902192</v>
      </c>
      <c r="AF490" s="15">
        <f t="shared" si="152"/>
        <v>24.400000000000212</v>
      </c>
      <c r="AG490" s="50">
        <f t="shared" si="153"/>
        <v>0.59531814828445828</v>
      </c>
    </row>
    <row r="491" spans="2:33" x14ac:dyDescent="0.25">
      <c r="B491" s="13">
        <f t="shared" si="154"/>
        <v>24.450000000000212</v>
      </c>
      <c r="C491" s="13">
        <f>B491+Model!$B$4</f>
        <v>26.450000000000212</v>
      </c>
      <c r="D491" s="13">
        <f t="shared" si="155"/>
        <v>2</v>
      </c>
      <c r="E491" s="13">
        <f t="shared" si="159"/>
        <v>2.4500000000002125</v>
      </c>
      <c r="F491" s="14">
        <f>IF(AB491&gt;0, VLOOKUP(B491,Model!$A$40:$B$60, 2), 0)</f>
        <v>300</v>
      </c>
      <c r="G491" s="13">
        <f>IF(AB491&gt;0, VLOOKUP(B491,Model!$A$39:$C$58, 3), 0)</f>
        <v>1</v>
      </c>
      <c r="H491" s="13">
        <f t="shared" si="142"/>
        <v>97</v>
      </c>
      <c r="I491" s="46">
        <f>Model!$B$21*EXP((-0.029*9.81*F491)/(8.31*(273+J491)))</f>
        <v>100357.4491247143</v>
      </c>
      <c r="J491" s="13">
        <f>IF(Model!$B$31="Summer",  IF(F491&lt;=2000,  Model!$B$20-Model!$B$35*F491/1000,  IF(F491&lt;Model!$B$36,  Model!$B$33-6.5*F491/1000,  Model!$B$38)),     IF(F491&lt;=2000,  Model!$B$20-Model!$B$35*F491/1000,  IF(F491&lt;Model!$B$36,  Model!$B$33-5.4*F491/1000,   Model!$B$38)))</f>
        <v>-19.088750000000001</v>
      </c>
      <c r="K491" s="13">
        <f t="shared" si="143"/>
        <v>253.91125</v>
      </c>
      <c r="L491" s="46">
        <f>IF(AB490-AA490*(B491-B490)&gt;0, L490-Y490*(B491-B490)*3600-AD491*Model!$B$16, 0)</f>
        <v>671.34500127530521</v>
      </c>
      <c r="M491" s="57">
        <f t="shared" si="144"/>
        <v>16.659113171606748</v>
      </c>
      <c r="N491" s="57">
        <f>Model!$B$13*I491*K491/(Model!$B$13*I491-L491*287*K491)</f>
        <v>289.65911317160675</v>
      </c>
      <c r="O491" s="57">
        <f t="shared" si="145"/>
        <v>271.78518158580334</v>
      </c>
      <c r="P491" s="57">
        <f t="shared" si="146"/>
        <v>-1.2145367240557814</v>
      </c>
      <c r="Q491" s="63">
        <f t="shared" si="147"/>
        <v>2.3913747892592038E-2</v>
      </c>
      <c r="R491" s="17">
        <f t="shared" si="157"/>
        <v>1.3473658884923548E-5</v>
      </c>
      <c r="S491" s="46">
        <f>0.37*Model!$B$10*(Q491^2*(N491-K491)*I491/(R491*O491^2))^0.33333*(N491-K491)</f>
        <v>203410.60967651554</v>
      </c>
      <c r="T491" s="51">
        <f>Model!$B$32+(90-Model!$B$6)*SIN(RADIANS(-15*(E491+6)))</f>
        <v>-34.914618505170282</v>
      </c>
      <c r="U491" s="46">
        <f t="shared" si="148"/>
        <v>0</v>
      </c>
      <c r="V491" s="51">
        <f t="shared" si="149"/>
        <v>99999</v>
      </c>
      <c r="W491" s="46">
        <f t="shared" si="150"/>
        <v>4.2253521126760563E-2</v>
      </c>
      <c r="X491" s="46">
        <f>0.3*W491*Model!$B$9</f>
        <v>3.8275201289827652</v>
      </c>
      <c r="Y491" s="17">
        <f>(S491-X491)/Model!$B$11</f>
        <v>4.3635478313072303E-3</v>
      </c>
      <c r="Z491" s="46">
        <f t="shared" si="151"/>
        <v>1.8816718238393174E-3</v>
      </c>
      <c r="AA491" s="57">
        <f>Y491/Model!$B$12*3600</f>
        <v>28.251917076940838</v>
      </c>
      <c r="AB491" s="51">
        <f t="shared" si="156"/>
        <v>270.3925206156257</v>
      </c>
      <c r="AC491" s="51">
        <f t="shared" si="158"/>
        <v>1529.6074793843743</v>
      </c>
      <c r="AD491" s="13">
        <f>IF(AE491=0, Model!$B$19, 0 )</f>
        <v>0</v>
      </c>
      <c r="AE491" s="51">
        <f>IF(AE490+AB490-AB491&lt;Model!$B$19*Model!$B$18, AE490+AB490-AB491,  0)</f>
        <v>173.24205309048784</v>
      </c>
      <c r="AF491" s="13">
        <f t="shared" si="152"/>
        <v>24.450000000000212</v>
      </c>
      <c r="AG491" s="50">
        <f t="shared" si="153"/>
        <v>0.6072683620278907</v>
      </c>
    </row>
    <row r="492" spans="2:33" x14ac:dyDescent="0.25">
      <c r="B492" s="15">
        <f t="shared" si="154"/>
        <v>24.500000000000213</v>
      </c>
      <c r="C492" s="15">
        <f>B492+Model!$B$4</f>
        <v>26.500000000000213</v>
      </c>
      <c r="D492" s="15">
        <f t="shared" si="155"/>
        <v>2</v>
      </c>
      <c r="E492" s="15">
        <f t="shared" si="159"/>
        <v>2.5000000000002132</v>
      </c>
      <c r="F492" s="16">
        <f>IF(AB492&gt;0, VLOOKUP(B492,Model!$A$40:$B$60, 2), 0)</f>
        <v>300</v>
      </c>
      <c r="G492" s="15">
        <f>IF(AB492&gt;0, VLOOKUP(B492,Model!$A$39:$C$58, 3), 0)</f>
        <v>1</v>
      </c>
      <c r="H492" s="15">
        <f t="shared" si="142"/>
        <v>97</v>
      </c>
      <c r="I492" s="45">
        <f>Model!$B$21*EXP((-0.029*9.81*F492)/(8.31*(273+J492)))</f>
        <v>100357.4491247143</v>
      </c>
      <c r="J492" s="15">
        <f>IF(Model!$B$31="Summer",  IF(F492&lt;=2000,  Model!$B$20-Model!$B$35*F492/1000,  IF(F492&lt;Model!$B$36,  Model!$B$33-6.5*F492/1000,  Model!$B$38)),     IF(F492&lt;=2000,  Model!$B$20-Model!$B$35*F492/1000,  IF(F492&lt;Model!$B$36,  Model!$B$33-5.4*F492/1000,   Model!$B$38)))</f>
        <v>-19.088750000000001</v>
      </c>
      <c r="K492" s="15">
        <f t="shared" si="143"/>
        <v>253.91125</v>
      </c>
      <c r="L492" s="45">
        <f>IF(AB491-AA491*(B492-B491)&gt;0, L491-Y491*(B492-B491)*3600-AD492*Model!$B$16, 0)</f>
        <v>670.55956266566989</v>
      </c>
      <c r="M492" s="56">
        <f t="shared" si="144"/>
        <v>16.611409665780684</v>
      </c>
      <c r="N492" s="56">
        <f>Model!$B$13*I492*K492/(Model!$B$13*I492-L492*287*K492)</f>
        <v>289.61140966578068</v>
      </c>
      <c r="O492" s="56">
        <f t="shared" si="145"/>
        <v>271.76132983289034</v>
      </c>
      <c r="P492" s="56">
        <f t="shared" si="146"/>
        <v>-1.2383884769688134</v>
      </c>
      <c r="Q492" s="62">
        <f t="shared" si="147"/>
        <v>2.3912054418135216E-2</v>
      </c>
      <c r="R492" s="33">
        <f t="shared" si="157"/>
        <v>1.3471178302620595E-5</v>
      </c>
      <c r="S492" s="45">
        <f>0.37*Model!$B$10*(Q492^2*(N492-K492)*I492/(R492*O492^2))^0.33333*(N492-K492)</f>
        <v>203063.52727148883</v>
      </c>
      <c r="T492" s="50">
        <f>Model!$B$32+(90-Model!$B$6)*SIN(RADIANS(-15*(E492+6)))</f>
        <v>-34.638101971176368</v>
      </c>
      <c r="U492" s="45">
        <f t="shared" si="148"/>
        <v>0</v>
      </c>
      <c r="V492" s="50">
        <f t="shared" si="149"/>
        <v>99999</v>
      </c>
      <c r="W492" s="45">
        <f t="shared" si="150"/>
        <v>4.2253521126760563E-2</v>
      </c>
      <c r="X492" s="45">
        <f>0.3*W492*Model!$B$9</f>
        <v>3.8275201289827652</v>
      </c>
      <c r="Y492" s="33">
        <f>(S492-X492)/Model!$B$11</f>
        <v>4.3561021077198293E-3</v>
      </c>
      <c r="Z492" s="45">
        <f t="shared" si="151"/>
        <v>1.8848880349968042E-3</v>
      </c>
      <c r="AA492" s="56">
        <f>Y492/Model!$B$12*3600</f>
        <v>28.203709523477158</v>
      </c>
      <c r="AB492" s="50">
        <f t="shared" si="156"/>
        <v>268.97992476177865</v>
      </c>
      <c r="AC492" s="50">
        <f t="shared" si="158"/>
        <v>1531.0200752382214</v>
      </c>
      <c r="AD492" s="15">
        <f>IF(AE492=0, Model!$B$19, 0 )</f>
        <v>0</v>
      </c>
      <c r="AE492" s="50">
        <f>IF(AE491+AB491-AB492&lt;Model!$B$19*Model!$B$18, AE491+AB491-AB492,  0)</f>
        <v>174.65464894433489</v>
      </c>
      <c r="AF492" s="15">
        <f t="shared" si="152"/>
        <v>24.500000000000213</v>
      </c>
      <c r="AG492" s="50">
        <f t="shared" si="153"/>
        <v>0.61919423848440669</v>
      </c>
    </row>
    <row r="493" spans="2:33" x14ac:dyDescent="0.25">
      <c r="B493" s="13">
        <f t="shared" si="154"/>
        <v>24.550000000000214</v>
      </c>
      <c r="C493" s="13">
        <f>B493+Model!$B$4</f>
        <v>26.550000000000214</v>
      </c>
      <c r="D493" s="13">
        <f t="shared" si="155"/>
        <v>2</v>
      </c>
      <c r="E493" s="13">
        <f t="shared" si="159"/>
        <v>2.5500000000002139</v>
      </c>
      <c r="F493" s="14">
        <f>IF(AB493&gt;0, VLOOKUP(B493,Model!$A$40:$B$60, 2), 0)</f>
        <v>300</v>
      </c>
      <c r="G493" s="13">
        <f>IF(AB493&gt;0, VLOOKUP(B493,Model!$A$39:$C$58, 3), 0)</f>
        <v>1</v>
      </c>
      <c r="H493" s="13">
        <f t="shared" si="142"/>
        <v>97</v>
      </c>
      <c r="I493" s="46">
        <f>Model!$B$21*EXP((-0.029*9.81*F493)/(8.31*(273+J493)))</f>
        <v>100357.4491247143</v>
      </c>
      <c r="J493" s="13">
        <f>IF(Model!$B$31="Summer",  IF(F493&lt;=2000,  Model!$B$20-Model!$B$35*F493/1000,  IF(F493&lt;Model!$B$36,  Model!$B$33-6.5*F493/1000,  Model!$B$38)),     IF(F493&lt;=2000,  Model!$B$20-Model!$B$35*F493/1000,  IF(F493&lt;Model!$B$36,  Model!$B$33-5.4*F493/1000,   Model!$B$38)))</f>
        <v>-19.088750000000001</v>
      </c>
      <c r="K493" s="13">
        <f t="shared" si="143"/>
        <v>253.91125</v>
      </c>
      <c r="L493" s="46">
        <f>IF(AB492-AA492*(B493-B492)&gt;0, L492-Y492*(B493-B492)*3600-AD493*Model!$B$16, 0)</f>
        <v>669.77546428628034</v>
      </c>
      <c r="M493" s="57">
        <f t="shared" si="144"/>
        <v>16.563803228315862</v>
      </c>
      <c r="N493" s="57">
        <f>Model!$B$13*I493*K493/(Model!$B$13*I493-L493*287*K493)</f>
        <v>289.56380322831586</v>
      </c>
      <c r="O493" s="57">
        <f t="shared" si="145"/>
        <v>271.7375266141579</v>
      </c>
      <c r="P493" s="57">
        <f t="shared" si="146"/>
        <v>-1.2621916957012242</v>
      </c>
      <c r="Q493" s="63">
        <f t="shared" si="147"/>
        <v>2.3910364389605213E-2</v>
      </c>
      <c r="R493" s="17">
        <f t="shared" si="157"/>
        <v>1.3468702767872422E-5</v>
      </c>
      <c r="S493" s="46">
        <f>0.37*Model!$B$10*(Q493^2*(N493-K493)*I493/(R493*O493^2))^0.33333*(N493-K493)</f>
        <v>202717.26306155504</v>
      </c>
      <c r="T493" s="51">
        <f>Model!$B$32+(90-Model!$B$6)*SIN(RADIANS(-15*(E493+6)))</f>
        <v>-34.356827641809176</v>
      </c>
      <c r="U493" s="46">
        <f t="shared" si="148"/>
        <v>0</v>
      </c>
      <c r="V493" s="51">
        <f t="shared" si="149"/>
        <v>99999</v>
      </c>
      <c r="W493" s="46">
        <f t="shared" si="150"/>
        <v>4.2253521126760563E-2</v>
      </c>
      <c r="X493" s="46">
        <f>0.3*W493*Model!$B$9</f>
        <v>3.8275201289827652</v>
      </c>
      <c r="Y493" s="17">
        <f>(S493-X493)/Model!$B$11</f>
        <v>4.3486739363171956E-3</v>
      </c>
      <c r="Z493" s="46">
        <f t="shared" si="151"/>
        <v>1.8881076387759536E-3</v>
      </c>
      <c r="AA493" s="57">
        <f>Y493/Model!$B$12*3600</f>
        <v>28.155615612143166</v>
      </c>
      <c r="AB493" s="51">
        <f t="shared" si="156"/>
        <v>267.56973928560478</v>
      </c>
      <c r="AC493" s="51">
        <f t="shared" si="158"/>
        <v>1532.4302607143952</v>
      </c>
      <c r="AD493" s="13">
        <f>IF(AE493=0, Model!$B$19, 0 )</f>
        <v>0</v>
      </c>
      <c r="AE493" s="51">
        <f>IF(AE492+AB492-AB493&lt;Model!$B$19*Model!$B$18, AE492+AB492-AB493,  0)</f>
        <v>176.06483442050876</v>
      </c>
      <c r="AF493" s="13">
        <f t="shared" si="152"/>
        <v>24.550000000000214</v>
      </c>
      <c r="AG493" s="50">
        <f t="shared" si="153"/>
        <v>0.63109584785061212</v>
      </c>
    </row>
    <row r="494" spans="2:33" x14ac:dyDescent="0.25">
      <c r="B494" s="15">
        <f t="shared" si="154"/>
        <v>24.600000000000215</v>
      </c>
      <c r="C494" s="15">
        <f>B494+Model!$B$4</f>
        <v>26.600000000000215</v>
      </c>
      <c r="D494" s="15">
        <f t="shared" si="155"/>
        <v>2</v>
      </c>
      <c r="E494" s="15">
        <f t="shared" si="159"/>
        <v>2.6000000000002146</v>
      </c>
      <c r="F494" s="16">
        <f>IF(AB494&gt;0, VLOOKUP(B494,Model!$A$40:$B$60, 2), 0)</f>
        <v>300</v>
      </c>
      <c r="G494" s="15">
        <f>IF(AB494&gt;0, VLOOKUP(B494,Model!$A$39:$C$58, 3), 0)</f>
        <v>1</v>
      </c>
      <c r="H494" s="15">
        <f t="shared" si="142"/>
        <v>97</v>
      </c>
      <c r="I494" s="45">
        <f>Model!$B$21*EXP((-0.029*9.81*F494)/(8.31*(273+J494)))</f>
        <v>100357.4491247143</v>
      </c>
      <c r="J494" s="15">
        <f>IF(Model!$B$31="Summer",  IF(F494&lt;=2000,  Model!$B$20-Model!$B$35*F494/1000,  IF(F494&lt;Model!$B$36,  Model!$B$33-6.5*F494/1000,  Model!$B$38)),     IF(F494&lt;=2000,  Model!$B$20-Model!$B$35*F494/1000,  IF(F494&lt;Model!$B$36,  Model!$B$33-5.4*F494/1000,   Model!$B$38)))</f>
        <v>-19.088750000000001</v>
      </c>
      <c r="K494" s="15">
        <f t="shared" si="143"/>
        <v>253.91125</v>
      </c>
      <c r="L494" s="45">
        <f>IF(AB493-AA493*(B494-B493)&gt;0, L493-Y493*(B494-B493)*3600-AD494*Model!$B$16, 0)</f>
        <v>668.99270297774319</v>
      </c>
      <c r="M494" s="56">
        <f t="shared" si="144"/>
        <v>16.516293579502701</v>
      </c>
      <c r="N494" s="56">
        <f>Model!$B$13*I494*K494/(Model!$B$13*I494-L494*287*K494)</f>
        <v>289.5162935795027</v>
      </c>
      <c r="O494" s="56">
        <f t="shared" si="145"/>
        <v>271.71377178975138</v>
      </c>
      <c r="P494" s="56">
        <f t="shared" si="146"/>
        <v>-1.2859465201078049</v>
      </c>
      <c r="Q494" s="62">
        <f t="shared" si="147"/>
        <v>2.3908677797072349E-2</v>
      </c>
      <c r="R494" s="33">
        <f t="shared" si="157"/>
        <v>1.3466232266134141E-5</v>
      </c>
      <c r="S494" s="45">
        <f>0.37*Model!$B$10*(Q494^2*(N494-K494)*I494/(R494*O494^2))^0.33333*(N494-K494)</f>
        <v>202371.81448823691</v>
      </c>
      <c r="T494" s="50">
        <f>Model!$B$32+(90-Model!$B$6)*SIN(RADIANS(-15*(E494+6)))</f>
        <v>-34.070843711977062</v>
      </c>
      <c r="U494" s="45">
        <f t="shared" si="148"/>
        <v>0</v>
      </c>
      <c r="V494" s="50">
        <f t="shared" si="149"/>
        <v>99999</v>
      </c>
      <c r="W494" s="45">
        <f t="shared" si="150"/>
        <v>4.2253521126760563E-2</v>
      </c>
      <c r="X494" s="45">
        <f>0.3*W494*Model!$B$9</f>
        <v>3.8275201289827652</v>
      </c>
      <c r="Y494" s="33">
        <f>(S494-X494)/Model!$B$11</f>
        <v>4.3412632622140497E-3</v>
      </c>
      <c r="Z494" s="45">
        <f t="shared" si="151"/>
        <v>1.8913306374516122E-3</v>
      </c>
      <c r="AA494" s="56">
        <f>Y494/Model!$B$12*3600</f>
        <v>28.107634987582536</v>
      </c>
      <c r="AB494" s="50">
        <f t="shared" si="156"/>
        <v>266.16195850499759</v>
      </c>
      <c r="AC494" s="50">
        <f t="shared" si="158"/>
        <v>1533.8380414950025</v>
      </c>
      <c r="AD494" s="15">
        <f>IF(AE494=0, Model!$B$19, 0 )</f>
        <v>0</v>
      </c>
      <c r="AE494" s="50">
        <f>IF(AE493+AB493-AB494&lt;Model!$B$19*Model!$B$18, AE493+AB493-AB494,  0)</f>
        <v>177.47261520111596</v>
      </c>
      <c r="AF494" s="15">
        <f t="shared" si="152"/>
        <v>24.600000000000215</v>
      </c>
      <c r="AG494" s="50">
        <f t="shared" si="153"/>
        <v>0.64297326005390243</v>
      </c>
    </row>
    <row r="495" spans="2:33" x14ac:dyDescent="0.25">
      <c r="B495" s="13">
        <f t="shared" si="154"/>
        <v>24.650000000000215</v>
      </c>
      <c r="C495" s="13">
        <f>B495+Model!$B$4</f>
        <v>26.650000000000215</v>
      </c>
      <c r="D495" s="13">
        <f t="shared" si="155"/>
        <v>2</v>
      </c>
      <c r="E495" s="13">
        <f t="shared" si="159"/>
        <v>2.6500000000002153</v>
      </c>
      <c r="F495" s="14">
        <f>IF(AB495&gt;0, VLOOKUP(B495,Model!$A$40:$B$60, 2), 0)</f>
        <v>300</v>
      </c>
      <c r="G495" s="13">
        <f>IF(AB495&gt;0, VLOOKUP(B495,Model!$A$39:$C$58, 3), 0)</f>
        <v>1</v>
      </c>
      <c r="H495" s="13">
        <f t="shared" si="142"/>
        <v>97</v>
      </c>
      <c r="I495" s="46">
        <f>Model!$B$21*EXP((-0.029*9.81*F495)/(8.31*(273+J495)))</f>
        <v>100357.4491247143</v>
      </c>
      <c r="J495" s="13">
        <f>IF(Model!$B$31="Summer",  IF(F495&lt;=2000,  Model!$B$20-Model!$B$35*F495/1000,  IF(F495&lt;Model!$B$36,  Model!$B$33-6.5*F495/1000,  Model!$B$38)),     IF(F495&lt;=2000,  Model!$B$20-Model!$B$35*F495/1000,  IF(F495&lt;Model!$B$36,  Model!$B$33-5.4*F495/1000,   Model!$B$38)))</f>
        <v>-19.088750000000001</v>
      </c>
      <c r="K495" s="13">
        <f t="shared" si="143"/>
        <v>253.91125</v>
      </c>
      <c r="L495" s="46">
        <f>IF(AB494-AA494*(B495-B494)&gt;0, L494-Y494*(B495-B494)*3600-AD495*Model!$B$16, 0)</f>
        <v>668.21127559054469</v>
      </c>
      <c r="M495" s="57">
        <f t="shared" si="144"/>
        <v>16.468880440703458</v>
      </c>
      <c r="N495" s="57">
        <f>Model!$B$13*I495*K495/(Model!$B$13*I495-L495*287*K495)</f>
        <v>289.46888044070346</v>
      </c>
      <c r="O495" s="57">
        <f t="shared" si="145"/>
        <v>271.6900652203517</v>
      </c>
      <c r="P495" s="57">
        <f t="shared" si="146"/>
        <v>-1.3096530895074263</v>
      </c>
      <c r="Q495" s="63">
        <f t="shared" si="147"/>
        <v>2.3906994630644971E-2</v>
      </c>
      <c r="R495" s="17">
        <f t="shared" si="157"/>
        <v>1.3463766782916575E-5</v>
      </c>
      <c r="S495" s="46">
        <f>0.37*Model!$B$10*(Q495^2*(N495-K495)*I495/(R495*O495^2))^0.33333*(N495-K495)</f>
        <v>202027.17900328667</v>
      </c>
      <c r="T495" s="51">
        <f>Model!$B$32+(90-Model!$B$6)*SIN(RADIANS(-15*(E495+6)))</f>
        <v>-33.780199183554139</v>
      </c>
      <c r="U495" s="46">
        <f t="shared" si="148"/>
        <v>0</v>
      </c>
      <c r="V495" s="51">
        <f t="shared" si="149"/>
        <v>99999</v>
      </c>
      <c r="W495" s="46">
        <f t="shared" si="150"/>
        <v>4.2253521126760563E-2</v>
      </c>
      <c r="X495" s="46">
        <f>0.3*W495*Model!$B$9</f>
        <v>3.8275201289827652</v>
      </c>
      <c r="Y495" s="17">
        <f>(S495-X495)/Model!$B$11</f>
        <v>4.3338700307445606E-3</v>
      </c>
      <c r="Z495" s="46">
        <f t="shared" si="151"/>
        <v>1.8945570332992163E-3</v>
      </c>
      <c r="AA495" s="57">
        <f>Y495/Model!$B$12*3600</f>
        <v>28.05976729585975</v>
      </c>
      <c r="AB495" s="51">
        <f t="shared" si="156"/>
        <v>264.75657675561843</v>
      </c>
      <c r="AC495" s="51">
        <f t="shared" si="158"/>
        <v>1535.2434232443816</v>
      </c>
      <c r="AD495" s="13">
        <f>IF(AE495=0, Model!$B$19, 0 )</f>
        <v>0</v>
      </c>
      <c r="AE495" s="51">
        <f>IF(AE494+AB494-AB495&lt;Model!$B$19*Model!$B$18, AE494+AB494-AB495,  0)</f>
        <v>178.87799695049512</v>
      </c>
      <c r="AF495" s="13">
        <f t="shared" si="152"/>
        <v>24.650000000000215</v>
      </c>
      <c r="AG495" s="50">
        <f t="shared" si="153"/>
        <v>0.65482654475371316</v>
      </c>
    </row>
    <row r="496" spans="2:33" x14ac:dyDescent="0.25">
      <c r="B496" s="15">
        <f t="shared" si="154"/>
        <v>24.700000000000216</v>
      </c>
      <c r="C496" s="15">
        <f>B496+Model!$B$4</f>
        <v>26.700000000000216</v>
      </c>
      <c r="D496" s="15">
        <f t="shared" si="155"/>
        <v>2</v>
      </c>
      <c r="E496" s="15">
        <f t="shared" si="159"/>
        <v>2.700000000000216</v>
      </c>
      <c r="F496" s="16">
        <f>IF(AB496&gt;0, VLOOKUP(B496,Model!$A$40:$B$60, 2), 0)</f>
        <v>300</v>
      </c>
      <c r="G496" s="15">
        <f>IF(AB496&gt;0, VLOOKUP(B496,Model!$A$39:$C$58, 3), 0)</f>
        <v>1</v>
      </c>
      <c r="H496" s="15">
        <f t="shared" si="142"/>
        <v>97</v>
      </c>
      <c r="I496" s="45">
        <f>Model!$B$21*EXP((-0.029*9.81*F496)/(8.31*(273+J496)))</f>
        <v>100357.4491247143</v>
      </c>
      <c r="J496" s="15">
        <f>IF(Model!$B$31="Summer",  IF(F496&lt;=2000,  Model!$B$20-Model!$B$35*F496/1000,  IF(F496&lt;Model!$B$36,  Model!$B$33-6.5*F496/1000,  Model!$B$38)),     IF(F496&lt;=2000,  Model!$B$20-Model!$B$35*F496/1000,  IF(F496&lt;Model!$B$36,  Model!$B$33-5.4*F496/1000,   Model!$B$38)))</f>
        <v>-19.088750000000001</v>
      </c>
      <c r="K496" s="15">
        <f t="shared" si="143"/>
        <v>253.91125</v>
      </c>
      <c r="L496" s="45">
        <f>IF(AB495-AA495*(B496-B495)&gt;0, L495-Y495*(B496-B495)*3600-AD496*Model!$B$16, 0)</f>
        <v>667.43117898501066</v>
      </c>
      <c r="M496" s="56">
        <f t="shared" si="144"/>
        <v>16.421563534346888</v>
      </c>
      <c r="N496" s="56">
        <f>Model!$B$13*I496*K496/(Model!$B$13*I496-L496*287*K496)</f>
        <v>289.42156353434689</v>
      </c>
      <c r="O496" s="56">
        <f t="shared" si="145"/>
        <v>271.66640676717344</v>
      </c>
      <c r="P496" s="56">
        <f t="shared" si="146"/>
        <v>-1.3333115426857116</v>
      </c>
      <c r="Q496" s="62">
        <f t="shared" si="147"/>
        <v>2.3905314880469316E-2</v>
      </c>
      <c r="R496" s="33">
        <f t="shared" si="157"/>
        <v>1.3461306303786036E-5</v>
      </c>
      <c r="S496" s="45">
        <f>0.37*Model!$B$10*(Q496^2*(N496-K496)*I496/(R496*O496^2))^0.33333*(N496-K496)</f>
        <v>201683.35406863329</v>
      </c>
      <c r="T496" s="50">
        <f>Model!$B$32+(90-Model!$B$6)*SIN(RADIANS(-15*(E496+6)))</f>
        <v>-33.484943856984131</v>
      </c>
      <c r="U496" s="45">
        <f t="shared" si="148"/>
        <v>0</v>
      </c>
      <c r="V496" s="50">
        <f t="shared" si="149"/>
        <v>99999</v>
      </c>
      <c r="W496" s="45">
        <f t="shared" si="150"/>
        <v>4.2253521126760563E-2</v>
      </c>
      <c r="X496" s="45">
        <f>0.3*W496*Model!$B$9</f>
        <v>3.8275201289827652</v>
      </c>
      <c r="Y496" s="33">
        <f>(S496-X496)/Model!$B$11</f>
        <v>4.3264941874612099E-3</v>
      </c>
      <c r="Z496" s="45">
        <f t="shared" si="151"/>
        <v>1.8977868285948139E-3</v>
      </c>
      <c r="AA496" s="56">
        <f>Y496/Model!$B$12*3600</f>
        <v>28.012012184452779</v>
      </c>
      <c r="AB496" s="50">
        <f t="shared" si="156"/>
        <v>263.35358839082539</v>
      </c>
      <c r="AC496" s="50">
        <f t="shared" si="158"/>
        <v>1536.6464116091747</v>
      </c>
      <c r="AD496" s="15">
        <f>IF(AE496=0, Model!$B$19, 0 )</f>
        <v>0</v>
      </c>
      <c r="AE496" s="50">
        <f>IF(AE495+AB495-AB496&lt;Model!$B$19*Model!$B$18, AE495+AB495-AB496,  0)</f>
        <v>180.28098531528815</v>
      </c>
      <c r="AF496" s="15">
        <f t="shared" si="152"/>
        <v>24.700000000000216</v>
      </c>
      <c r="AG496" s="50">
        <f t="shared" si="153"/>
        <v>0.66665577134285581</v>
      </c>
    </row>
    <row r="497" spans="2:33" x14ac:dyDescent="0.25">
      <c r="B497" s="13">
        <f t="shared" si="154"/>
        <v>24.750000000000217</v>
      </c>
      <c r="C497" s="13">
        <f>B497+Model!$B$4</f>
        <v>26.750000000000217</v>
      </c>
      <c r="D497" s="13">
        <f t="shared" si="155"/>
        <v>2</v>
      </c>
      <c r="E497" s="13">
        <f t="shared" si="159"/>
        <v>2.7500000000002167</v>
      </c>
      <c r="F497" s="14">
        <f>IF(AB497&gt;0, VLOOKUP(B497,Model!$A$40:$B$60, 2), 0)</f>
        <v>300</v>
      </c>
      <c r="G497" s="13">
        <f>IF(AB497&gt;0, VLOOKUP(B497,Model!$A$39:$C$58, 3), 0)</f>
        <v>1</v>
      </c>
      <c r="H497" s="13">
        <f t="shared" si="142"/>
        <v>97</v>
      </c>
      <c r="I497" s="46">
        <f>Model!$B$21*EXP((-0.029*9.81*F497)/(8.31*(273+J497)))</f>
        <v>100357.4491247143</v>
      </c>
      <c r="J497" s="13">
        <f>IF(Model!$B$31="Summer",  IF(F497&lt;=2000,  Model!$B$20-Model!$B$35*F497/1000,  IF(F497&lt;Model!$B$36,  Model!$B$33-6.5*F497/1000,  Model!$B$38)),     IF(F497&lt;=2000,  Model!$B$20-Model!$B$35*F497/1000,  IF(F497&lt;Model!$B$36,  Model!$B$33-5.4*F497/1000,   Model!$B$38)))</f>
        <v>-19.088750000000001</v>
      </c>
      <c r="K497" s="13">
        <f t="shared" si="143"/>
        <v>253.91125</v>
      </c>
      <c r="L497" s="46">
        <f>IF(AB496-AA496*(B497-B496)&gt;0, L496-Y496*(B497-B496)*3600-AD497*Model!$B$16, 0)</f>
        <v>666.65241003126766</v>
      </c>
      <c r="M497" s="57">
        <f t="shared" si="144"/>
        <v>16.374342583922953</v>
      </c>
      <c r="N497" s="57">
        <f>Model!$B$13*I497*K497/(Model!$B$13*I497-L497*287*K497)</f>
        <v>289.37434258392295</v>
      </c>
      <c r="O497" s="57">
        <f t="shared" si="145"/>
        <v>271.64279629196147</v>
      </c>
      <c r="P497" s="57">
        <f t="shared" si="146"/>
        <v>-1.3569220178976789</v>
      </c>
      <c r="Q497" s="63">
        <f t="shared" si="147"/>
        <v>2.3903638536729267E-2</v>
      </c>
      <c r="R497" s="17">
        <f t="shared" si="157"/>
        <v>1.3458850814363992E-5</v>
      </c>
      <c r="S497" s="46">
        <f>0.37*Model!$B$10*(Q497^2*(N497-K497)*I497/(R497*O497^2))^0.33333*(N497-K497)</f>
        <v>201340.33715633204</v>
      </c>
      <c r="T497" s="51">
        <f>Model!$B$32+(90-Model!$B$6)*SIN(RADIANS(-15*(E497+6)))</f>
        <v>-33.185128322747232</v>
      </c>
      <c r="U497" s="46">
        <f t="shared" si="148"/>
        <v>0</v>
      </c>
      <c r="V497" s="51">
        <f t="shared" si="149"/>
        <v>99999</v>
      </c>
      <c r="W497" s="46">
        <f t="shared" si="150"/>
        <v>4.2253521126760563E-2</v>
      </c>
      <c r="X497" s="46">
        <f>0.3*W497*Model!$B$9</f>
        <v>3.8275201289827652</v>
      </c>
      <c r="Y497" s="17">
        <f>(S497-X497)/Model!$B$11</f>
        <v>4.3191356781337132E-3</v>
      </c>
      <c r="Z497" s="46">
        <f t="shared" si="151"/>
        <v>1.9010200256150667E-3</v>
      </c>
      <c r="AA497" s="57">
        <f>Y497/Model!$B$12*3600</f>
        <v>27.964369302246066</v>
      </c>
      <c r="AB497" s="51">
        <f t="shared" si="156"/>
        <v>261.95298778160276</v>
      </c>
      <c r="AC497" s="51">
        <f t="shared" si="158"/>
        <v>1538.0470122183972</v>
      </c>
      <c r="AD497" s="13">
        <f>IF(AE497=0, Model!$B$19, 0 )</f>
        <v>0</v>
      </c>
      <c r="AE497" s="51">
        <f>IF(AE496+AB496-AB497&lt;Model!$B$19*Model!$B$18, AE496+AB496-AB497,  0)</f>
        <v>181.68158592451078</v>
      </c>
      <c r="AF497" s="13">
        <f t="shared" si="152"/>
        <v>24.750000000000217</v>
      </c>
      <c r="AG497" s="50">
        <f t="shared" si="153"/>
        <v>0.67846100894883943</v>
      </c>
    </row>
    <row r="498" spans="2:33" x14ac:dyDescent="0.25">
      <c r="B498" s="15">
        <f t="shared" si="154"/>
        <v>24.800000000000217</v>
      </c>
      <c r="C498" s="15">
        <f>B498+Model!$B$4</f>
        <v>26.800000000000217</v>
      </c>
      <c r="D498" s="15">
        <f t="shared" si="155"/>
        <v>2</v>
      </c>
      <c r="E498" s="15">
        <f t="shared" si="159"/>
        <v>2.8000000000002174</v>
      </c>
      <c r="F498" s="16">
        <f>IF(AB498&gt;0, VLOOKUP(B498,Model!$A$40:$B$60, 2), 0)</f>
        <v>300</v>
      </c>
      <c r="G498" s="15">
        <f>IF(AB498&gt;0, VLOOKUP(B498,Model!$A$39:$C$58, 3), 0)</f>
        <v>1</v>
      </c>
      <c r="H498" s="15">
        <f t="shared" si="142"/>
        <v>97</v>
      </c>
      <c r="I498" s="45">
        <f>Model!$B$21*EXP((-0.029*9.81*F498)/(8.31*(273+J498)))</f>
        <v>100357.4491247143</v>
      </c>
      <c r="J498" s="15">
        <f>IF(Model!$B$31="Summer",  IF(F498&lt;=2000,  Model!$B$20-Model!$B$35*F498/1000,  IF(F498&lt;Model!$B$36,  Model!$B$33-6.5*F498/1000,  Model!$B$38)),     IF(F498&lt;=2000,  Model!$B$20-Model!$B$35*F498/1000,  IF(F498&lt;Model!$B$36,  Model!$B$33-5.4*F498/1000,   Model!$B$38)))</f>
        <v>-19.088750000000001</v>
      </c>
      <c r="K498" s="15">
        <f t="shared" si="143"/>
        <v>253.91125</v>
      </c>
      <c r="L498" s="45">
        <f>IF(AB497-AA497*(B498-B497)&gt;0, L497-Y497*(B498-B497)*3600-AD498*Model!$B$16, 0)</f>
        <v>665.87496560920363</v>
      </c>
      <c r="M498" s="56">
        <f t="shared" si="144"/>
        <v>16.327217313978167</v>
      </c>
      <c r="N498" s="56">
        <f>Model!$B$13*I498*K498/(Model!$B$13*I498-L498*287*K498)</f>
        <v>289.32721731397817</v>
      </c>
      <c r="O498" s="56">
        <f t="shared" si="145"/>
        <v>271.61923365698908</v>
      </c>
      <c r="P498" s="56">
        <f t="shared" si="146"/>
        <v>-1.3804846528700718</v>
      </c>
      <c r="Q498" s="62">
        <f t="shared" si="147"/>
        <v>2.3901965589646225E-2</v>
      </c>
      <c r="R498" s="33">
        <f t="shared" si="157"/>
        <v>1.3456400300326864E-5</v>
      </c>
      <c r="S498" s="45">
        <f>0.37*Model!$B$10*(Q498^2*(N498-K498)*I498/(R498*O498^2))^0.33333*(N498-K498)</f>
        <v>200998.12574851737</v>
      </c>
      <c r="T498" s="50">
        <f>Model!$B$32+(90-Model!$B$6)*SIN(RADIANS(-15*(E498+6)))</f>
        <v>-32.880803952691792</v>
      </c>
      <c r="U498" s="45">
        <f t="shared" si="148"/>
        <v>0</v>
      </c>
      <c r="V498" s="50">
        <f t="shared" si="149"/>
        <v>99999</v>
      </c>
      <c r="W498" s="45">
        <f t="shared" si="150"/>
        <v>4.2253521126760563E-2</v>
      </c>
      <c r="X498" s="45">
        <f>0.3*W498*Model!$B$9</f>
        <v>3.8275201289827652</v>
      </c>
      <c r="Y498" s="33">
        <f>(S498-X498)/Model!$B$11</f>
        <v>4.3117944487480082E-3</v>
      </c>
      <c r="Z498" s="45">
        <f t="shared" si="151"/>
        <v>1.9042566266372254E-3</v>
      </c>
      <c r="AA498" s="56">
        <f>Y498/Model!$B$12*3600</f>
        <v>27.916838299523995</v>
      </c>
      <c r="AB498" s="50">
        <f t="shared" si="156"/>
        <v>260.55476931649042</v>
      </c>
      <c r="AC498" s="50">
        <f t="shared" si="158"/>
        <v>1539.4452306835096</v>
      </c>
      <c r="AD498" s="15">
        <f>IF(AE498=0, Model!$B$19, 0 )</f>
        <v>0</v>
      </c>
      <c r="AE498" s="50">
        <f>IF(AE497+AB497-AB498&lt;Model!$B$19*Model!$B$18, AE497+AB497-AB498,  0)</f>
        <v>183.07980438962312</v>
      </c>
      <c r="AF498" s="15">
        <f t="shared" si="152"/>
        <v>24.800000000000217</v>
      </c>
      <c r="AG498" s="50">
        <f t="shared" si="153"/>
        <v>0.69024232643503591</v>
      </c>
    </row>
    <row r="499" spans="2:33" x14ac:dyDescent="0.25">
      <c r="B499" s="13">
        <f t="shared" si="154"/>
        <v>24.850000000000218</v>
      </c>
      <c r="C499" s="13">
        <f>B499+Model!$B$4</f>
        <v>26.850000000000218</v>
      </c>
      <c r="D499" s="13">
        <f t="shared" si="155"/>
        <v>2</v>
      </c>
      <c r="E499" s="13">
        <f t="shared" si="159"/>
        <v>2.8500000000002181</v>
      </c>
      <c r="F499" s="14">
        <f>IF(AB499&gt;0, VLOOKUP(B499,Model!$A$40:$B$60, 2), 0)</f>
        <v>300</v>
      </c>
      <c r="G499" s="13">
        <f>IF(AB499&gt;0, VLOOKUP(B499,Model!$A$39:$C$58, 3), 0)</f>
        <v>1</v>
      </c>
      <c r="H499" s="13">
        <f t="shared" si="142"/>
        <v>97</v>
      </c>
      <c r="I499" s="46">
        <f>Model!$B$21*EXP((-0.029*9.81*F499)/(8.31*(273+J499)))</f>
        <v>100357.4491247143</v>
      </c>
      <c r="J499" s="13">
        <f>IF(Model!$B$31="Summer",  IF(F499&lt;=2000,  Model!$B$20-Model!$B$35*F499/1000,  IF(F499&lt;Model!$B$36,  Model!$B$33-6.5*F499/1000,  Model!$B$38)),     IF(F499&lt;=2000,  Model!$B$20-Model!$B$35*F499/1000,  IF(F499&lt;Model!$B$36,  Model!$B$33-5.4*F499/1000,   Model!$B$38)))</f>
        <v>-19.088750000000001</v>
      </c>
      <c r="K499" s="13">
        <f t="shared" si="143"/>
        <v>253.91125</v>
      </c>
      <c r="L499" s="46">
        <f>IF(AB498-AA498*(B499-B498)&gt;0, L498-Y498*(B499-B498)*3600-AD499*Model!$B$16, 0)</f>
        <v>665.09884260842898</v>
      </c>
      <c r="M499" s="57">
        <f t="shared" si="144"/>
        <v>16.280187450109963</v>
      </c>
      <c r="N499" s="57">
        <f>Model!$B$13*I499*K499/(Model!$B$13*I499-L499*287*K499)</f>
        <v>289.28018745010996</v>
      </c>
      <c r="O499" s="57">
        <f t="shared" si="145"/>
        <v>271.59571872505501</v>
      </c>
      <c r="P499" s="57">
        <f t="shared" si="146"/>
        <v>-1.4039995848041738</v>
      </c>
      <c r="Q499" s="63">
        <f t="shared" si="147"/>
        <v>2.3900296029478907E-2</v>
      </c>
      <c r="R499" s="17">
        <f t="shared" si="157"/>
        <v>1.3453954747405721E-5</v>
      </c>
      <c r="S499" s="46">
        <f>0.37*Model!$B$10*(Q499^2*(N499-K499)*I499/(R499*O499^2))^0.33333*(N499-K499)</f>
        <v>200656.7173373501</v>
      </c>
      <c r="T499" s="51">
        <f>Model!$B$32+(90-Model!$B$6)*SIN(RADIANS(-15*(E499+6)))</f>
        <v>-32.57202289123196</v>
      </c>
      <c r="U499" s="46">
        <f t="shared" si="148"/>
        <v>0</v>
      </c>
      <c r="V499" s="51">
        <f t="shared" si="149"/>
        <v>99999</v>
      </c>
      <c r="W499" s="46">
        <f t="shared" si="150"/>
        <v>4.2253521126760563E-2</v>
      </c>
      <c r="X499" s="46">
        <f>0.3*W499*Model!$B$9</f>
        <v>3.8275201289827652</v>
      </c>
      <c r="Y499" s="17">
        <f>(S499-X499)/Model!$B$11</f>
        <v>4.3044704455051193E-3</v>
      </c>
      <c r="Z499" s="46">
        <f t="shared" si="151"/>
        <v>1.9074966339391586E-3</v>
      </c>
      <c r="AA499" s="57">
        <f>Y499/Model!$B$12*3600</f>
        <v>27.869418827963546</v>
      </c>
      <c r="AB499" s="51">
        <f t="shared" si="156"/>
        <v>259.15892740151418</v>
      </c>
      <c r="AC499" s="51">
        <f t="shared" si="158"/>
        <v>1540.8410725984859</v>
      </c>
      <c r="AD499" s="13">
        <f>IF(AE499=0, Model!$B$19, 0 )</f>
        <v>0</v>
      </c>
      <c r="AE499" s="51">
        <f>IF(AE498+AB498-AB499&lt;Model!$B$19*Model!$B$18, AE498+AB498-AB499,  0)</f>
        <v>184.47564630459937</v>
      </c>
      <c r="AF499" s="13">
        <f t="shared" si="152"/>
        <v>24.850000000000218</v>
      </c>
      <c r="AG499" s="50">
        <f t="shared" si="153"/>
        <v>0.70199979240208688</v>
      </c>
    </row>
    <row r="500" spans="2:33" x14ac:dyDescent="0.25">
      <c r="B500" s="15">
        <f t="shared" si="154"/>
        <v>24.900000000000219</v>
      </c>
      <c r="C500" s="15">
        <f>B500+Model!$B$4</f>
        <v>26.900000000000219</v>
      </c>
      <c r="D500" s="15">
        <f t="shared" si="155"/>
        <v>2</v>
      </c>
      <c r="E500" s="15">
        <f t="shared" si="159"/>
        <v>2.9000000000002188</v>
      </c>
      <c r="F500" s="16">
        <f>IF(AB500&gt;0, VLOOKUP(B500,Model!$A$40:$B$60, 2), 0)</f>
        <v>300</v>
      </c>
      <c r="G500" s="15">
        <f>IF(AB500&gt;0, VLOOKUP(B500,Model!$A$39:$C$58, 3), 0)</f>
        <v>1</v>
      </c>
      <c r="H500" s="15">
        <f t="shared" si="142"/>
        <v>97</v>
      </c>
      <c r="I500" s="45">
        <f>Model!$B$21*EXP((-0.029*9.81*F500)/(8.31*(273+J500)))</f>
        <v>100357.4491247143</v>
      </c>
      <c r="J500" s="15">
        <f>IF(Model!$B$31="Summer",  IF(F500&lt;=2000,  Model!$B$20-Model!$B$35*F500/1000,  IF(F500&lt;Model!$B$36,  Model!$B$33-6.5*F500/1000,  Model!$B$38)),     IF(F500&lt;=2000,  Model!$B$20-Model!$B$35*F500/1000,  IF(F500&lt;Model!$B$36,  Model!$B$33-5.4*F500/1000,   Model!$B$38)))</f>
        <v>-19.088750000000001</v>
      </c>
      <c r="K500" s="15">
        <f t="shared" si="143"/>
        <v>253.91125</v>
      </c>
      <c r="L500" s="45">
        <f>IF(AB499-AA499*(B500-B499)&gt;0, L499-Y499*(B500-B499)*3600-AD500*Model!$B$16, 0)</f>
        <v>664.324037928238</v>
      </c>
      <c r="M500" s="56">
        <f t="shared" si="144"/>
        <v>16.233252718962092</v>
      </c>
      <c r="N500" s="56">
        <f>Model!$B$13*I500*K500/(Model!$B$13*I500-L500*287*K500)</f>
        <v>289.23325271896209</v>
      </c>
      <c r="O500" s="56">
        <f t="shared" si="145"/>
        <v>271.57225135948102</v>
      </c>
      <c r="P500" s="56">
        <f t="shared" si="146"/>
        <v>-1.4274669503781094</v>
      </c>
      <c r="Q500" s="62">
        <f t="shared" si="147"/>
        <v>2.3898629846523151E-2</v>
      </c>
      <c r="R500" s="33">
        <f t="shared" si="157"/>
        <v>1.3451514141386026E-5</v>
      </c>
      <c r="S500" s="45">
        <f>0.37*Model!$B$10*(Q500^2*(N500-K500)*I500/(R500*O500^2))^0.33333*(N500-K500)</f>
        <v>200316.10942497064</v>
      </c>
      <c r="T500" s="50">
        <f>Model!$B$32+(90-Model!$B$6)*SIN(RADIANS(-15*(E500+6)))</f>
        <v>-32.258838046413004</v>
      </c>
      <c r="U500" s="45">
        <f t="shared" si="148"/>
        <v>0</v>
      </c>
      <c r="V500" s="50">
        <f t="shared" si="149"/>
        <v>99999</v>
      </c>
      <c r="W500" s="45">
        <f t="shared" si="150"/>
        <v>4.2253521126760563E-2</v>
      </c>
      <c r="X500" s="45">
        <f>0.3*W500*Model!$B$9</f>
        <v>3.8275201289827652</v>
      </c>
      <c r="Y500" s="33">
        <f>(S500-X500)/Model!$B$11</f>
        <v>4.297163614820158E-3</v>
      </c>
      <c r="Z500" s="45">
        <f t="shared" si="151"/>
        <v>1.9107400497993304E-3</v>
      </c>
      <c r="AA500" s="56">
        <f>Y500/Model!$B$12*3600</f>
        <v>27.822110540627794</v>
      </c>
      <c r="AB500" s="50">
        <f t="shared" si="156"/>
        <v>257.76545646011596</v>
      </c>
      <c r="AC500" s="50">
        <f t="shared" si="158"/>
        <v>1542.234543539884</v>
      </c>
      <c r="AD500" s="15">
        <f>IF(AE500=0, Model!$B$19, 0 )</f>
        <v>0</v>
      </c>
      <c r="AE500" s="50">
        <f>IF(AE499+AB499-AB500&lt;Model!$B$19*Model!$B$18, AE499+AB499-AB500,  0)</f>
        <v>185.86911724599759</v>
      </c>
      <c r="AF500" s="15">
        <f t="shared" si="152"/>
        <v>24.900000000000219</v>
      </c>
      <c r="AG500" s="50">
        <f t="shared" si="153"/>
        <v>0.71373347518905472</v>
      </c>
    </row>
    <row r="501" spans="2:33" x14ac:dyDescent="0.25">
      <c r="B501" s="13">
        <f t="shared" si="154"/>
        <v>24.95000000000022</v>
      </c>
      <c r="C501" s="13">
        <f>B501+Model!$B$4</f>
        <v>26.95000000000022</v>
      </c>
      <c r="D501" s="13">
        <f t="shared" si="155"/>
        <v>2</v>
      </c>
      <c r="E501" s="13">
        <f t="shared" si="159"/>
        <v>2.9500000000002196</v>
      </c>
      <c r="F501" s="14">
        <f>IF(AB501&gt;0, VLOOKUP(B501,Model!$A$40:$B$60, 2), 0)</f>
        <v>300</v>
      </c>
      <c r="G501" s="13">
        <f>IF(AB501&gt;0, VLOOKUP(B501,Model!$A$39:$C$58, 3), 0)</f>
        <v>1</v>
      </c>
      <c r="H501" s="13">
        <f t="shared" si="142"/>
        <v>97</v>
      </c>
      <c r="I501" s="46">
        <f>Model!$B$21*EXP((-0.029*9.81*F501)/(8.31*(273+J501)))</f>
        <v>100357.4491247143</v>
      </c>
      <c r="J501" s="13">
        <f>IF(Model!$B$31="Summer",  IF(F501&lt;=2000,  Model!$B$20-Model!$B$35*F501/1000,  IF(F501&lt;Model!$B$36,  Model!$B$33-6.5*F501/1000,  Model!$B$38)),     IF(F501&lt;=2000,  Model!$B$20-Model!$B$35*F501/1000,  IF(F501&lt;Model!$B$36,  Model!$B$33-5.4*F501/1000,   Model!$B$38)))</f>
        <v>-19.088750000000001</v>
      </c>
      <c r="K501" s="13">
        <f t="shared" si="143"/>
        <v>253.91125</v>
      </c>
      <c r="L501" s="46">
        <f>IF(AB500-AA500*(B501-B500)&gt;0, L500-Y500*(B501-B500)*3600-AD501*Model!$B$16, 0)</f>
        <v>663.55054847757037</v>
      </c>
      <c r="M501" s="57">
        <f t="shared" si="144"/>
        <v>16.186412848219163</v>
      </c>
      <c r="N501" s="57">
        <f>Model!$B$13*I501*K501/(Model!$B$13*I501-L501*287*K501)</f>
        <v>289.18641284821916</v>
      </c>
      <c r="O501" s="57">
        <f t="shared" si="145"/>
        <v>271.54883142410961</v>
      </c>
      <c r="P501" s="57">
        <f t="shared" si="146"/>
        <v>-1.4508868857495738</v>
      </c>
      <c r="Q501" s="63">
        <f t="shared" si="147"/>
        <v>2.3896967031111781E-2</v>
      </c>
      <c r="R501" s="17">
        <f t="shared" si="157"/>
        <v>1.3449078468107398E-5</v>
      </c>
      <c r="S501" s="46">
        <f>0.37*Model!$B$10*(Q501^2*(N501-K501)*I501/(R501*O501^2))^0.33333*(N501-K501)</f>
        <v>199976.29952344712</v>
      </c>
      <c r="T501" s="51">
        <f>Model!$B$32+(90-Model!$B$6)*SIN(RADIANS(-15*(E501+6)))</f>
        <v>-31.941303080845817</v>
      </c>
      <c r="U501" s="46">
        <f t="shared" si="148"/>
        <v>0</v>
      </c>
      <c r="V501" s="51">
        <f t="shared" si="149"/>
        <v>99999</v>
      </c>
      <c r="W501" s="46">
        <f t="shared" si="150"/>
        <v>4.2253521126760563E-2</v>
      </c>
      <c r="X501" s="46">
        <f>0.3*W501*Model!$B$9</f>
        <v>3.8275201289827652</v>
      </c>
      <c r="Y501" s="17">
        <f>(S501-X501)/Model!$B$11</f>
        <v>4.2898739033212082E-3</v>
      </c>
      <c r="Z501" s="46">
        <f t="shared" si="151"/>
        <v>1.9139868764968273E-3</v>
      </c>
      <c r="AA501" s="57">
        <f>Y501/Model!$B$12*3600</f>
        <v>27.774913091958727</v>
      </c>
      <c r="AB501" s="51">
        <f t="shared" si="156"/>
        <v>256.37435093308454</v>
      </c>
      <c r="AC501" s="51">
        <f t="shared" si="158"/>
        <v>1543.6256490669155</v>
      </c>
      <c r="AD501" s="13">
        <f>IF(AE501=0, Model!$B$19, 0 )</f>
        <v>0</v>
      </c>
      <c r="AE501" s="51">
        <f>IF(AE500+AB500-AB501&lt;Model!$B$19*Model!$B$18, AE500+AB500-AB501,  0)</f>
        <v>187.260222773029</v>
      </c>
      <c r="AF501" s="13">
        <f t="shared" si="152"/>
        <v>24.95000000000022</v>
      </c>
      <c r="AG501" s="50">
        <f t="shared" si="153"/>
        <v>0.7254434428747869</v>
      </c>
    </row>
    <row r="502" spans="2:33" x14ac:dyDescent="0.25">
      <c r="B502" s="15">
        <f t="shared" si="154"/>
        <v>25.00000000000022</v>
      </c>
      <c r="C502" s="15">
        <f>B502+Model!$B$4</f>
        <v>27.00000000000022</v>
      </c>
      <c r="D502" s="15">
        <f t="shared" si="155"/>
        <v>2</v>
      </c>
      <c r="E502" s="15">
        <f t="shared" si="159"/>
        <v>3.0000000000002203</v>
      </c>
      <c r="F502" s="16">
        <f>IF(AB502&gt;0, VLOOKUP(B502,Model!$A$40:$B$60, 2), 0)</f>
        <v>300</v>
      </c>
      <c r="G502" s="15">
        <f>IF(AB502&gt;0, VLOOKUP(B502,Model!$A$39:$C$58, 3), 0)</f>
        <v>1</v>
      </c>
      <c r="H502" s="15">
        <f t="shared" si="142"/>
        <v>97</v>
      </c>
      <c r="I502" s="45">
        <f>Model!$B$21*EXP((-0.029*9.81*F502)/(8.31*(273+J502)))</f>
        <v>100357.4491247143</v>
      </c>
      <c r="J502" s="15">
        <f>IF(Model!$B$31="Summer",  IF(F502&lt;=2000,  Model!$B$20-Model!$B$35*F502/1000,  IF(F502&lt;Model!$B$36,  Model!$B$33-6.5*F502/1000,  Model!$B$38)),     IF(F502&lt;=2000,  Model!$B$20-Model!$B$35*F502/1000,  IF(F502&lt;Model!$B$36,  Model!$B$33-5.4*F502/1000,   Model!$B$38)))</f>
        <v>-19.088750000000001</v>
      </c>
      <c r="K502" s="15">
        <f t="shared" si="143"/>
        <v>253.91125</v>
      </c>
      <c r="L502" s="45">
        <f>IF(AB501-AA501*(B502-B501)&gt;0, L501-Y501*(B502-B501)*3600-AD502*Model!$B$16, 0)</f>
        <v>662.77837117497256</v>
      </c>
      <c r="M502" s="56">
        <f t="shared" si="144"/>
        <v>16.139667566601929</v>
      </c>
      <c r="N502" s="56">
        <f>Model!$B$13*I502*K502/(Model!$B$13*I502-L502*287*K502)</f>
        <v>289.13966756660193</v>
      </c>
      <c r="O502" s="56">
        <f t="shared" si="145"/>
        <v>271.52545878330096</v>
      </c>
      <c r="P502" s="56">
        <f t="shared" si="146"/>
        <v>-1.4742595265581908</v>
      </c>
      <c r="Q502" s="62">
        <f t="shared" si="147"/>
        <v>2.3895307573614369E-2</v>
      </c>
      <c r="R502" s="33">
        <f t="shared" si="157"/>
        <v>1.3446647713463298E-5</v>
      </c>
      <c r="S502" s="45">
        <f>0.37*Model!$B$10*(Q502^2*(N502-K502)*I502/(R502*O502^2))^0.33333*(N502-K502)</f>
        <v>199637.28515472906</v>
      </c>
      <c r="T502" s="50">
        <f>Model!$B$32+(90-Model!$B$6)*SIN(RADIANS(-15*(E502+6)))</f>
        <v>-31.619472402512059</v>
      </c>
      <c r="U502" s="45">
        <f t="shared" si="148"/>
        <v>0</v>
      </c>
      <c r="V502" s="50">
        <f t="shared" si="149"/>
        <v>99999</v>
      </c>
      <c r="W502" s="45">
        <f t="shared" si="150"/>
        <v>4.2253521126760563E-2</v>
      </c>
      <c r="X502" s="45">
        <f>0.3*W502*Model!$B$9</f>
        <v>3.8275201289827652</v>
      </c>
      <c r="Y502" s="33">
        <f>(S502-X502)/Model!$B$11</f>
        <v>4.2826012578483343E-3</v>
      </c>
      <c r="Z502" s="45">
        <f t="shared" si="151"/>
        <v>1.9172371163113354E-3</v>
      </c>
      <c r="AA502" s="56">
        <f>Y502/Model!$B$12*3600</f>
        <v>27.727826137770791</v>
      </c>
      <c r="AB502" s="50">
        <f t="shared" si="156"/>
        <v>254.98560527848659</v>
      </c>
      <c r="AC502" s="50">
        <f t="shared" si="158"/>
        <v>1545.0143947215133</v>
      </c>
      <c r="AD502" s="15">
        <f>IF(AE502=0, Model!$B$19, 0 )</f>
        <v>0</v>
      </c>
      <c r="AE502" s="50">
        <f>IF(AE501+AB501-AB502&lt;Model!$B$19*Model!$B$18, AE501+AB501-AB502,  0)</f>
        <v>188.64896842762695</v>
      </c>
      <c r="AF502" s="15">
        <f t="shared" si="152"/>
        <v>25.00000000000022</v>
      </c>
      <c r="AG502" s="50">
        <f t="shared" si="153"/>
        <v>0.73712976327909541</v>
      </c>
    </row>
    <row r="503" spans="2:33" x14ac:dyDescent="0.25">
      <c r="B503" s="13">
        <f t="shared" si="154"/>
        <v>25.050000000000221</v>
      </c>
      <c r="C503" s="13">
        <f>B503+Model!$B$4</f>
        <v>27.050000000000221</v>
      </c>
      <c r="D503" s="13">
        <f t="shared" si="155"/>
        <v>2</v>
      </c>
      <c r="E503" s="13">
        <f t="shared" si="159"/>
        <v>3.050000000000221</v>
      </c>
      <c r="F503" s="14">
        <f>IF(AB503&gt;0, VLOOKUP(B503,Model!$A$40:$B$60, 2), 0)</f>
        <v>300</v>
      </c>
      <c r="G503" s="13">
        <f>IF(AB503&gt;0, VLOOKUP(B503,Model!$A$39:$C$58, 3), 0)</f>
        <v>1</v>
      </c>
      <c r="H503" s="13">
        <f t="shared" si="142"/>
        <v>97</v>
      </c>
      <c r="I503" s="46">
        <f>Model!$B$21*EXP((-0.029*9.81*F503)/(8.31*(273+J503)))</f>
        <v>100357.4491247143</v>
      </c>
      <c r="J503" s="13">
        <f>IF(Model!$B$31="Summer",  IF(F503&lt;=2000,  Model!$B$20-Model!$B$35*F503/1000,  IF(F503&lt;Model!$B$36,  Model!$B$33-6.5*F503/1000,  Model!$B$38)),     IF(F503&lt;=2000,  Model!$B$20-Model!$B$35*F503/1000,  IF(F503&lt;Model!$B$36,  Model!$B$33-5.4*F503/1000,   Model!$B$38)))</f>
        <v>-19.088750000000001</v>
      </c>
      <c r="K503" s="13">
        <f t="shared" si="143"/>
        <v>253.91125</v>
      </c>
      <c r="L503" s="46">
        <f>IF(AB502-AA502*(B503-B502)&gt;0, L502-Y502*(B503-B502)*3600-AD503*Model!$B$16, 0)</f>
        <v>662.00750294855982</v>
      </c>
      <c r="M503" s="57">
        <f t="shared" si="144"/>
        <v>16.093016603862281</v>
      </c>
      <c r="N503" s="57">
        <f>Model!$B$13*I503*K503/(Model!$B$13*I503-L503*287*K503)</f>
        <v>289.09301660386228</v>
      </c>
      <c r="O503" s="57">
        <f t="shared" si="145"/>
        <v>271.50213330193117</v>
      </c>
      <c r="P503" s="57">
        <f t="shared" si="146"/>
        <v>-1.4975850079280146</v>
      </c>
      <c r="Q503" s="63">
        <f t="shared" si="147"/>
        <v>2.3893651464437112E-2</v>
      </c>
      <c r="R503" s="17">
        <f t="shared" si="157"/>
        <v>1.3444221863400841E-5</v>
      </c>
      <c r="S503" s="46">
        <f>0.37*Model!$B$10*(Q503^2*(N503-K503)*I503/(R503*O503^2))^0.33333*(N503-K503)</f>
        <v>199299.06385059806</v>
      </c>
      <c r="T503" s="51">
        <f>Model!$B$32+(90-Model!$B$6)*SIN(RADIANS(-15*(E503+6)))</f>
        <v>-31.293401155441668</v>
      </c>
      <c r="U503" s="46">
        <f t="shared" si="148"/>
        <v>0</v>
      </c>
      <c r="V503" s="51">
        <f t="shared" si="149"/>
        <v>99999</v>
      </c>
      <c r="W503" s="46">
        <f t="shared" si="150"/>
        <v>4.2253521126760563E-2</v>
      </c>
      <c r="X503" s="46">
        <f>0.3*W503*Model!$B$9</f>
        <v>3.8275201289827652</v>
      </c>
      <c r="Y503" s="17">
        <f>(S503-X503)/Model!$B$11</f>
        <v>4.2753456254525169E-3</v>
      </c>
      <c r="Z503" s="46">
        <f t="shared" si="151"/>
        <v>1.9204907715231496E-3</v>
      </c>
      <c r="AA503" s="57">
        <f>Y503/Model!$B$12*3600</f>
        <v>27.680849335244027</v>
      </c>
      <c r="AB503" s="51">
        <f t="shared" si="156"/>
        <v>253.59921397159803</v>
      </c>
      <c r="AC503" s="51">
        <f t="shared" si="158"/>
        <v>1546.4007860284019</v>
      </c>
      <c r="AD503" s="13">
        <f>IF(AE503=0, Model!$B$19, 0 )</f>
        <v>0</v>
      </c>
      <c r="AE503" s="51">
        <f>IF(AE502+AB502-AB503&lt;Model!$B$19*Model!$B$18, AE502+AB502-AB503,  0)</f>
        <v>190.03535973451551</v>
      </c>
      <c r="AF503" s="13">
        <f t="shared" si="152"/>
        <v>25.050000000000221</v>
      </c>
      <c r="AG503" s="50">
        <f t="shared" si="153"/>
        <v>0.74879250396400732</v>
      </c>
    </row>
    <row r="504" spans="2:33" x14ac:dyDescent="0.25">
      <c r="B504" s="15">
        <f t="shared" si="154"/>
        <v>25.100000000000222</v>
      </c>
      <c r="C504" s="15">
        <f>B504+Model!$B$4</f>
        <v>27.100000000000222</v>
      </c>
      <c r="D504" s="15">
        <f t="shared" si="155"/>
        <v>2</v>
      </c>
      <c r="E504" s="15">
        <f t="shared" si="159"/>
        <v>3.1000000000002217</v>
      </c>
      <c r="F504" s="16">
        <f>IF(AB504&gt;0, VLOOKUP(B504,Model!$A$40:$B$60, 2), 0)</f>
        <v>300</v>
      </c>
      <c r="G504" s="15">
        <f>IF(AB504&gt;0, VLOOKUP(B504,Model!$A$39:$C$58, 3), 0)</f>
        <v>1</v>
      </c>
      <c r="H504" s="15">
        <f t="shared" si="142"/>
        <v>97</v>
      </c>
      <c r="I504" s="45">
        <f>Model!$B$21*EXP((-0.029*9.81*F504)/(8.31*(273+J504)))</f>
        <v>100357.4491247143</v>
      </c>
      <c r="J504" s="15">
        <f>IF(Model!$B$31="Summer",  IF(F504&lt;=2000,  Model!$B$20-Model!$B$35*F504/1000,  IF(F504&lt;Model!$B$36,  Model!$B$33-6.5*F504/1000,  Model!$B$38)),     IF(F504&lt;=2000,  Model!$B$20-Model!$B$35*F504/1000,  IF(F504&lt;Model!$B$36,  Model!$B$33-5.4*F504/1000,   Model!$B$38)))</f>
        <v>-19.088750000000001</v>
      </c>
      <c r="K504" s="15">
        <f t="shared" si="143"/>
        <v>253.91125</v>
      </c>
      <c r="L504" s="45">
        <f>IF(AB503-AA503*(B504-B503)&gt;0, L503-Y503*(B504-B503)*3600-AD504*Model!$B$16, 0)</f>
        <v>661.23794073597833</v>
      </c>
      <c r="M504" s="56">
        <f t="shared" si="144"/>
        <v>16.046459690778249</v>
      </c>
      <c r="N504" s="56">
        <f>Model!$B$13*I504*K504/(Model!$B$13*I504-L504*287*K504)</f>
        <v>289.04645969077825</v>
      </c>
      <c r="O504" s="56">
        <f t="shared" si="145"/>
        <v>271.47885484538915</v>
      </c>
      <c r="P504" s="56">
        <f t="shared" si="146"/>
        <v>-1.5208634644700307</v>
      </c>
      <c r="Q504" s="62">
        <f t="shared" si="147"/>
        <v>2.3891998694022629E-2</v>
      </c>
      <c r="R504" s="33">
        <f t="shared" si="157"/>
        <v>1.3441800903920472E-5</v>
      </c>
      <c r="S504" s="45">
        <f>0.37*Model!$B$10*(Q504^2*(N504-K504)*I504/(R504*O504^2))^0.33333*(N504-K504)</f>
        <v>198961.63315262002</v>
      </c>
      <c r="T504" s="50">
        <f>Model!$B$32+(90-Model!$B$6)*SIN(RADIANS(-15*(E504+6)))</f>
        <v>-30.963145210264244</v>
      </c>
      <c r="U504" s="45">
        <f t="shared" si="148"/>
        <v>0</v>
      </c>
      <c r="V504" s="50">
        <f t="shared" si="149"/>
        <v>99999</v>
      </c>
      <c r="W504" s="45">
        <f t="shared" si="150"/>
        <v>4.2253521126760563E-2</v>
      </c>
      <c r="X504" s="45">
        <f>0.3*W504*Model!$B$9</f>
        <v>3.8275201289827652</v>
      </c>
      <c r="Y504" s="33">
        <f>(S504-X504)/Model!$B$11</f>
        <v>4.2681069533946382E-3</v>
      </c>
      <c r="Z504" s="45">
        <f t="shared" si="151"/>
        <v>1.9237478444131693E-3</v>
      </c>
      <c r="AA504" s="56">
        <f>Y504/Model!$B$12*3600</f>
        <v>27.633982342917491</v>
      </c>
      <c r="AB504" s="50">
        <f t="shared" si="156"/>
        <v>252.21517150483581</v>
      </c>
      <c r="AC504" s="50">
        <f t="shared" si="158"/>
        <v>1547.7848284951642</v>
      </c>
      <c r="AD504" s="15">
        <f>IF(AE504=0, Model!$B$19, 0 )</f>
        <v>0</v>
      </c>
      <c r="AE504" s="50">
        <f>IF(AE503+AB503-AB504&lt;Model!$B$19*Model!$B$18, AE503+AB503-AB504,  0)</f>
        <v>191.41940220127773</v>
      </c>
      <c r="AF504" s="15">
        <f t="shared" si="152"/>
        <v>25.100000000000222</v>
      </c>
      <c r="AG504" s="50">
        <f t="shared" si="153"/>
        <v>0.76043173223501537</v>
      </c>
    </row>
    <row r="505" spans="2:33" x14ac:dyDescent="0.25">
      <c r="B505" s="13">
        <f t="shared" si="154"/>
        <v>25.150000000000222</v>
      </c>
      <c r="C505" s="13">
        <f>B505+Model!$B$4</f>
        <v>27.150000000000222</v>
      </c>
      <c r="D505" s="13">
        <f t="shared" si="155"/>
        <v>2</v>
      </c>
      <c r="E505" s="13">
        <f t="shared" si="159"/>
        <v>3.1500000000002224</v>
      </c>
      <c r="F505" s="14">
        <f>IF(AB505&gt;0, VLOOKUP(B505,Model!$A$40:$B$60, 2), 0)</f>
        <v>300</v>
      </c>
      <c r="G505" s="13">
        <f>IF(AB505&gt;0, VLOOKUP(B505,Model!$A$39:$C$58, 3), 0)</f>
        <v>1</v>
      </c>
      <c r="H505" s="13">
        <f t="shared" si="142"/>
        <v>97</v>
      </c>
      <c r="I505" s="46">
        <f>Model!$B$21*EXP((-0.029*9.81*F505)/(8.31*(273+J505)))</f>
        <v>100357.4491247143</v>
      </c>
      <c r="J505" s="13">
        <f>IF(Model!$B$31="Summer",  IF(F505&lt;=2000,  Model!$B$20-Model!$B$35*F505/1000,  IF(F505&lt;Model!$B$36,  Model!$B$33-6.5*F505/1000,  Model!$B$38)),     IF(F505&lt;=2000,  Model!$B$20-Model!$B$35*F505/1000,  IF(F505&lt;Model!$B$36,  Model!$B$33-5.4*F505/1000,   Model!$B$38)))</f>
        <v>-19.088750000000001</v>
      </c>
      <c r="K505" s="13">
        <f t="shared" si="143"/>
        <v>253.91125</v>
      </c>
      <c r="L505" s="46">
        <f>IF(AB504-AA504*(B505-B504)&gt;0, L504-Y504*(B505-B504)*3600-AD505*Model!$B$16, 0)</f>
        <v>660.46968148436724</v>
      </c>
      <c r="M505" s="57">
        <f t="shared" si="144"/>
        <v>15.999996559149054</v>
      </c>
      <c r="N505" s="57">
        <f>Model!$B$13*I505*K505/(Model!$B$13*I505-L505*287*K505)</f>
        <v>288.99999655914905</v>
      </c>
      <c r="O505" s="57">
        <f t="shared" si="145"/>
        <v>271.45562327957452</v>
      </c>
      <c r="P505" s="57">
        <f t="shared" si="146"/>
        <v>-1.5440950302846286</v>
      </c>
      <c r="Q505" s="63">
        <f t="shared" si="147"/>
        <v>2.3890349252849791E-2</v>
      </c>
      <c r="R505" s="17">
        <f t="shared" si="157"/>
        <v>1.343938482107575E-5</v>
      </c>
      <c r="S505" s="46">
        <f>0.37*Model!$B$10*(Q505^2*(N505-K505)*I505/(R505*O505^2))^0.33333*(N505-K505)</f>
        <v>198624.99061209615</v>
      </c>
      <c r="T505" s="51">
        <f>Model!$B$32+(90-Model!$B$6)*SIN(RADIANS(-15*(E505+6)))</f>
        <v>-30.628761154635797</v>
      </c>
      <c r="U505" s="46">
        <f t="shared" si="148"/>
        <v>0</v>
      </c>
      <c r="V505" s="51">
        <f t="shared" si="149"/>
        <v>99999</v>
      </c>
      <c r="W505" s="46">
        <f t="shared" si="150"/>
        <v>4.2253521126760563E-2</v>
      </c>
      <c r="X505" s="46">
        <f>0.3*W505*Model!$B$9</f>
        <v>3.8275201289827652</v>
      </c>
      <c r="Y505" s="17">
        <f>(S505-X505)/Model!$B$11</f>
        <v>4.2608851891444205E-3</v>
      </c>
      <c r="Z505" s="46">
        <f t="shared" si="151"/>
        <v>1.9270083372629101E-3</v>
      </c>
      <c r="AA505" s="57">
        <f>Y505/Model!$B$12*3600</f>
        <v>27.587224820682369</v>
      </c>
      <c r="AB505" s="51">
        <f t="shared" si="156"/>
        <v>250.83347238768991</v>
      </c>
      <c r="AC505" s="51">
        <f t="shared" si="158"/>
        <v>1549.1665276123101</v>
      </c>
      <c r="AD505" s="13">
        <f>IF(AE505=0, Model!$B$19, 0 )</f>
        <v>0</v>
      </c>
      <c r="AE505" s="51">
        <f>IF(AE504+AB504-AB505&lt;Model!$B$19*Model!$B$18, AE504+AB504-AB505,  0)</f>
        <v>192.80110131842363</v>
      </c>
      <c r="AF505" s="13">
        <f t="shared" si="152"/>
        <v>25.150000000000222</v>
      </c>
      <c r="AG505" s="50">
        <f t="shared" si="153"/>
        <v>0.77204751514231429</v>
      </c>
    </row>
    <row r="506" spans="2:33" x14ac:dyDescent="0.25">
      <c r="B506" s="15">
        <f t="shared" si="154"/>
        <v>25.200000000000223</v>
      </c>
      <c r="C506" s="15">
        <f>B506+Model!$B$4</f>
        <v>27.200000000000223</v>
      </c>
      <c r="D506" s="15">
        <f t="shared" si="155"/>
        <v>2</v>
      </c>
      <c r="E506" s="15">
        <f t="shared" si="159"/>
        <v>3.2000000000002231</v>
      </c>
      <c r="F506" s="16">
        <f>IF(AB506&gt;0, VLOOKUP(B506,Model!$A$40:$B$60, 2), 0)</f>
        <v>300</v>
      </c>
      <c r="G506" s="15">
        <f>IF(AB506&gt;0, VLOOKUP(B506,Model!$A$39:$C$58, 3), 0)</f>
        <v>1</v>
      </c>
      <c r="H506" s="15">
        <f t="shared" si="142"/>
        <v>97</v>
      </c>
      <c r="I506" s="45">
        <f>Model!$B$21*EXP((-0.029*9.81*F506)/(8.31*(273+J506)))</f>
        <v>100357.4491247143</v>
      </c>
      <c r="J506" s="15">
        <f>IF(Model!$B$31="Summer",  IF(F506&lt;=2000,  Model!$B$20-Model!$B$35*F506/1000,  IF(F506&lt;Model!$B$36,  Model!$B$33-6.5*F506/1000,  Model!$B$38)),     IF(F506&lt;=2000,  Model!$B$20-Model!$B$35*F506/1000,  IF(F506&lt;Model!$B$36,  Model!$B$33-5.4*F506/1000,   Model!$B$38)))</f>
        <v>-19.088750000000001</v>
      </c>
      <c r="K506" s="15">
        <f t="shared" si="143"/>
        <v>253.91125</v>
      </c>
      <c r="L506" s="45">
        <f>IF(AB505-AA505*(B506-B505)&gt;0, L505-Y505*(B506-B505)*3600-AD506*Model!$B$16, 0)</f>
        <v>659.70272215032128</v>
      </c>
      <c r="M506" s="56">
        <f t="shared" si="144"/>
        <v>15.953626941790162</v>
      </c>
      <c r="N506" s="56">
        <f>Model!$B$13*I506*K506/(Model!$B$13*I506-L506*287*K506)</f>
        <v>288.95362694179016</v>
      </c>
      <c r="O506" s="56">
        <f t="shared" si="145"/>
        <v>271.43243847089508</v>
      </c>
      <c r="P506" s="56">
        <f t="shared" si="146"/>
        <v>-1.5672798389640743</v>
      </c>
      <c r="Q506" s="62">
        <f t="shared" si="147"/>
        <v>2.3888703131433552E-2</v>
      </c>
      <c r="R506" s="33">
        <f t="shared" si="157"/>
        <v>1.3436973600973088E-5</v>
      </c>
      <c r="S506" s="45">
        <f>0.37*Model!$B$10*(Q506^2*(N506-K506)*I506/(R506*O506^2))^0.33333*(N506-K506)</f>
        <v>198289.13379001553</v>
      </c>
      <c r="T506" s="50">
        <f>Model!$B$32+(90-Model!$B$6)*SIN(RADIANS(-15*(E506+6)))</f>
        <v>-30.290306283542844</v>
      </c>
      <c r="U506" s="45">
        <f t="shared" si="148"/>
        <v>0</v>
      </c>
      <c r="V506" s="50">
        <f t="shared" si="149"/>
        <v>99999</v>
      </c>
      <c r="W506" s="45">
        <f t="shared" si="150"/>
        <v>4.2253521126760563E-2</v>
      </c>
      <c r="X506" s="45">
        <f>0.3*W506*Model!$B$9</f>
        <v>3.8275201289827652</v>
      </c>
      <c r="Y506" s="33">
        <f>(S506-X506)/Model!$B$11</f>
        <v>4.2536802803794177E-3</v>
      </c>
      <c r="Z506" s="45">
        <f t="shared" si="151"/>
        <v>1.9302722523545021E-3</v>
      </c>
      <c r="AA506" s="56">
        <f>Y506/Model!$B$12*3600</f>
        <v>27.540576429775466</v>
      </c>
      <c r="AB506" s="50">
        <f t="shared" si="156"/>
        <v>249.45411114665578</v>
      </c>
      <c r="AC506" s="50">
        <f t="shared" si="158"/>
        <v>1550.5458888533442</v>
      </c>
      <c r="AD506" s="15">
        <f>IF(AE506=0, Model!$B$19, 0 )</f>
        <v>0</v>
      </c>
      <c r="AE506" s="50">
        <f>IF(AE505+AB505-AB506&lt;Model!$B$19*Model!$B$18, AE505+AB505-AB506,  0)</f>
        <v>194.18046255945777</v>
      </c>
      <c r="AF506" s="15">
        <f t="shared" si="152"/>
        <v>25.200000000000223</v>
      </c>
      <c r="AG506" s="50">
        <f t="shared" si="153"/>
        <v>0.78363991948203715</v>
      </c>
    </row>
    <row r="507" spans="2:33" x14ac:dyDescent="0.25">
      <c r="B507" s="13">
        <f t="shared" si="154"/>
        <v>25.250000000000224</v>
      </c>
      <c r="C507" s="13">
        <f>B507+Model!$B$4</f>
        <v>27.250000000000224</v>
      </c>
      <c r="D507" s="13">
        <f t="shared" si="155"/>
        <v>2</v>
      </c>
      <c r="E507" s="13">
        <f t="shared" si="159"/>
        <v>3.2500000000002238</v>
      </c>
      <c r="F507" s="14">
        <f>IF(AB507&gt;0, VLOOKUP(B507,Model!$A$40:$B$60, 2), 0)</f>
        <v>300</v>
      </c>
      <c r="G507" s="13">
        <f>IF(AB507&gt;0, VLOOKUP(B507,Model!$A$39:$C$58, 3), 0)</f>
        <v>1</v>
      </c>
      <c r="H507" s="13">
        <f t="shared" si="142"/>
        <v>97</v>
      </c>
      <c r="I507" s="46">
        <f>Model!$B$21*EXP((-0.029*9.81*F507)/(8.31*(273+J507)))</f>
        <v>100357.4491247143</v>
      </c>
      <c r="J507" s="13">
        <f>IF(Model!$B$31="Summer",  IF(F507&lt;=2000,  Model!$B$20-Model!$B$35*F507/1000,  IF(F507&lt;Model!$B$36,  Model!$B$33-6.5*F507/1000,  Model!$B$38)),     IF(F507&lt;=2000,  Model!$B$20-Model!$B$35*F507/1000,  IF(F507&lt;Model!$B$36,  Model!$B$33-5.4*F507/1000,   Model!$B$38)))</f>
        <v>-19.088750000000001</v>
      </c>
      <c r="K507" s="13">
        <f t="shared" si="143"/>
        <v>253.91125</v>
      </c>
      <c r="L507" s="46">
        <f>IF(AB506-AA506*(B507-B506)&gt;0, L506-Y506*(B507-B506)*3600-AD507*Model!$B$16, 0)</f>
        <v>658.93705969985297</v>
      </c>
      <c r="M507" s="57">
        <f t="shared" si="144"/>
        <v>15.907350572528742</v>
      </c>
      <c r="N507" s="57">
        <f>Model!$B$13*I507*K507/(Model!$B$13*I507-L507*287*K507)</f>
        <v>288.90735057252874</v>
      </c>
      <c r="O507" s="57">
        <f t="shared" si="145"/>
        <v>271.4093002862644</v>
      </c>
      <c r="P507" s="57">
        <f t="shared" si="146"/>
        <v>-1.5904180235947845</v>
      </c>
      <c r="Q507" s="63">
        <f t="shared" si="147"/>
        <v>2.3887060320324772E-2</v>
      </c>
      <c r="R507" s="17">
        <f t="shared" si="157"/>
        <v>1.3434567229771497E-5</v>
      </c>
      <c r="S507" s="46">
        <f>0.37*Model!$B$10*(Q507^2*(N507-K507)*I507/(R507*O507^2))^0.33333*(N507-K507)</f>
        <v>197954.0602570097</v>
      </c>
      <c r="T507" s="51">
        <f>Model!$B$32+(90-Model!$B$6)*SIN(RADIANS(-15*(E507+6)))</f>
        <v>-29.947838589485194</v>
      </c>
      <c r="U507" s="46">
        <f t="shared" si="148"/>
        <v>0</v>
      </c>
      <c r="V507" s="51">
        <f t="shared" si="149"/>
        <v>99999</v>
      </c>
      <c r="W507" s="46">
        <f t="shared" si="150"/>
        <v>4.2253521126760563E-2</v>
      </c>
      <c r="X507" s="46">
        <f>0.3*W507*Model!$B$9</f>
        <v>3.8275201289827652</v>
      </c>
      <c r="Y507" s="17">
        <f>(S507-X507)/Model!$B$11</f>
        <v>4.2464921749840335E-3</v>
      </c>
      <c r="Z507" s="46">
        <f t="shared" si="151"/>
        <v>1.933539591970673E-3</v>
      </c>
      <c r="AA507" s="57">
        <f>Y507/Model!$B$12*3600</f>
        <v>27.494036832772846</v>
      </c>
      <c r="AB507" s="51">
        <f t="shared" si="156"/>
        <v>248.07708232516697</v>
      </c>
      <c r="AC507" s="51">
        <f t="shared" si="158"/>
        <v>1551.9229176748331</v>
      </c>
      <c r="AD507" s="13">
        <f>IF(AE507=0, Model!$B$19, 0 )</f>
        <v>0</v>
      </c>
      <c r="AE507" s="51">
        <f>IF(AE506+AB506-AB507&lt;Model!$B$19*Model!$B$18, AE506+AB506-AB507,  0)</f>
        <v>195.55749138094657</v>
      </c>
      <c r="AF507" s="13">
        <f t="shared" si="152"/>
        <v>25.250000000000224</v>
      </c>
      <c r="AG507" s="50">
        <f t="shared" si="153"/>
        <v>0.79520901179739223</v>
      </c>
    </row>
    <row r="508" spans="2:33" x14ac:dyDescent="0.25">
      <c r="B508" s="15">
        <f t="shared" si="154"/>
        <v>25.300000000000225</v>
      </c>
      <c r="C508" s="15">
        <f>B508+Model!$B$4</f>
        <v>27.300000000000225</v>
      </c>
      <c r="D508" s="15">
        <f t="shared" si="155"/>
        <v>2</v>
      </c>
      <c r="E508" s="15">
        <f t="shared" si="159"/>
        <v>3.3000000000002245</v>
      </c>
      <c r="F508" s="16">
        <f>IF(AB508&gt;0, VLOOKUP(B508,Model!$A$40:$B$60, 2), 0)</f>
        <v>300</v>
      </c>
      <c r="G508" s="15">
        <f>IF(AB508&gt;0, VLOOKUP(B508,Model!$A$39:$C$58, 3), 0)</f>
        <v>1</v>
      </c>
      <c r="H508" s="15">
        <f t="shared" si="142"/>
        <v>97</v>
      </c>
      <c r="I508" s="45">
        <f>Model!$B$21*EXP((-0.029*9.81*F508)/(8.31*(273+J508)))</f>
        <v>100357.4491247143</v>
      </c>
      <c r="J508" s="15">
        <f>IF(Model!$B$31="Summer",  IF(F508&lt;=2000,  Model!$B$20-Model!$B$35*F508/1000,  IF(F508&lt;Model!$B$36,  Model!$B$33-6.5*F508/1000,  Model!$B$38)),     IF(F508&lt;=2000,  Model!$B$20-Model!$B$35*F508/1000,  IF(F508&lt;Model!$B$36,  Model!$B$33-5.4*F508/1000,   Model!$B$38)))</f>
        <v>-19.088750000000001</v>
      </c>
      <c r="K508" s="15">
        <f t="shared" si="143"/>
        <v>253.91125</v>
      </c>
      <c r="L508" s="45">
        <f>IF(AB507-AA507*(B508-B507)&gt;0, L507-Y507*(B508-B507)*3600-AD508*Model!$B$16, 0)</f>
        <v>658.17269110835582</v>
      </c>
      <c r="M508" s="56">
        <f t="shared" si="144"/>
        <v>15.861167186198429</v>
      </c>
      <c r="N508" s="56">
        <f>Model!$B$13*I508*K508/(Model!$B$13*I508-L508*287*K508)</f>
        <v>288.86116718619843</v>
      </c>
      <c r="O508" s="56">
        <f t="shared" si="145"/>
        <v>271.38620859309924</v>
      </c>
      <c r="P508" s="56">
        <f t="shared" si="146"/>
        <v>-1.6135097167599408</v>
      </c>
      <c r="Q508" s="62">
        <f t="shared" si="147"/>
        <v>2.3885420810110046E-2</v>
      </c>
      <c r="R508" s="33">
        <f t="shared" si="157"/>
        <v>1.3432165693682319E-5</v>
      </c>
      <c r="S508" s="45">
        <f>0.37*Model!$B$10*(Q508^2*(N508-K508)*I508/(R508*O508^2))^0.33333*(N508-K508)</f>
        <v>197619.76759330323</v>
      </c>
      <c r="T508" s="50">
        <f>Model!$B$32+(90-Model!$B$6)*SIN(RADIANS(-15*(E508+6)))</f>
        <v>-29.601416752539194</v>
      </c>
      <c r="U508" s="45">
        <f t="shared" si="148"/>
        <v>0</v>
      </c>
      <c r="V508" s="50">
        <f t="shared" si="149"/>
        <v>99999</v>
      </c>
      <c r="W508" s="45">
        <f t="shared" si="150"/>
        <v>4.2253521126760563E-2</v>
      </c>
      <c r="X508" s="45">
        <f>0.3*W508*Model!$B$9</f>
        <v>3.8275201289827652</v>
      </c>
      <c r="Y508" s="33">
        <f>(S508-X508)/Model!$B$11</f>
        <v>4.2393208210484657E-3</v>
      </c>
      <c r="Z508" s="45">
        <f t="shared" si="151"/>
        <v>1.9368103583947687E-3</v>
      </c>
      <c r="AA508" s="56">
        <f>Y508/Model!$B$12*3600</f>
        <v>27.447605693582982</v>
      </c>
      <c r="AB508" s="50">
        <f t="shared" si="156"/>
        <v>246.70238048352832</v>
      </c>
      <c r="AC508" s="50">
        <f t="shared" si="158"/>
        <v>1553.2976195164717</v>
      </c>
      <c r="AD508" s="15">
        <f>IF(AE508=0, Model!$B$19, 0 )</f>
        <v>0</v>
      </c>
      <c r="AE508" s="50">
        <f>IF(AE507+AB507-AB508&lt;Model!$B$19*Model!$B$18, AE507+AB507-AB508,  0)</f>
        <v>196.93219322258523</v>
      </c>
      <c r="AF508" s="15">
        <f t="shared" si="152"/>
        <v>25.300000000000225</v>
      </c>
      <c r="AG508" s="50">
        <f t="shared" si="153"/>
        <v>0.80675485837997041</v>
      </c>
    </row>
    <row r="509" spans="2:33" x14ac:dyDescent="0.25">
      <c r="B509" s="13">
        <f t="shared" si="154"/>
        <v>25.350000000000225</v>
      </c>
      <c r="C509" s="13">
        <f>B509+Model!$B$4</f>
        <v>27.350000000000225</v>
      </c>
      <c r="D509" s="13">
        <f t="shared" si="155"/>
        <v>2</v>
      </c>
      <c r="E509" s="13">
        <f t="shared" si="159"/>
        <v>3.3500000000002252</v>
      </c>
      <c r="F509" s="14">
        <f>IF(AB509&gt;0, VLOOKUP(B509,Model!$A$40:$B$60, 2), 0)</f>
        <v>300</v>
      </c>
      <c r="G509" s="13">
        <f>IF(AB509&gt;0, VLOOKUP(B509,Model!$A$39:$C$58, 3), 0)</f>
        <v>1</v>
      </c>
      <c r="H509" s="13">
        <f t="shared" si="142"/>
        <v>97</v>
      </c>
      <c r="I509" s="46">
        <f>Model!$B$21*EXP((-0.029*9.81*F509)/(8.31*(273+J509)))</f>
        <v>100357.4491247143</v>
      </c>
      <c r="J509" s="13">
        <f>IF(Model!$B$31="Summer",  IF(F509&lt;=2000,  Model!$B$20-Model!$B$35*F509/1000,  IF(F509&lt;Model!$B$36,  Model!$B$33-6.5*F509/1000,  Model!$B$38)),     IF(F509&lt;=2000,  Model!$B$20-Model!$B$35*F509/1000,  IF(F509&lt;Model!$B$36,  Model!$B$33-5.4*F509/1000,   Model!$B$38)))</f>
        <v>-19.088750000000001</v>
      </c>
      <c r="K509" s="13">
        <f t="shared" si="143"/>
        <v>253.91125</v>
      </c>
      <c r="L509" s="46">
        <f>IF(AB508-AA508*(B509-B508)&gt;0, L508-Y508*(B509-B508)*3600-AD509*Model!$B$16, 0)</f>
        <v>657.40961336056705</v>
      </c>
      <c r="M509" s="57">
        <f t="shared" si="144"/>
        <v>15.815076518634783</v>
      </c>
      <c r="N509" s="57">
        <f>Model!$B$13*I509*K509/(Model!$B$13*I509-L509*287*K509)</f>
        <v>288.81507651863478</v>
      </c>
      <c r="O509" s="57">
        <f t="shared" si="145"/>
        <v>271.36316325931739</v>
      </c>
      <c r="P509" s="57">
        <f t="shared" si="146"/>
        <v>-1.6365550505417641</v>
      </c>
      <c r="Q509" s="63">
        <f t="shared" si="147"/>
        <v>2.3883784591411536E-2</v>
      </c>
      <c r="R509" s="17">
        <f t="shared" si="157"/>
        <v>1.3429768978969007E-5</v>
      </c>
      <c r="S509" s="46">
        <f>0.37*Model!$B$10*(Q509^2*(N509-K509)*I509/(R509*O509^2))^0.33333*(N509-K509)</f>
        <v>197286.25338866794</v>
      </c>
      <c r="T509" s="51">
        <f>Model!$B$32+(90-Model!$B$6)*SIN(RADIANS(-15*(E509+6)))</f>
        <v>-29.2511001303032</v>
      </c>
      <c r="U509" s="46">
        <f t="shared" si="148"/>
        <v>0</v>
      </c>
      <c r="V509" s="51">
        <f t="shared" si="149"/>
        <v>99999</v>
      </c>
      <c r="W509" s="46">
        <f t="shared" si="150"/>
        <v>4.2253521126760563E-2</v>
      </c>
      <c r="X509" s="46">
        <f>0.3*W509*Model!$B$9</f>
        <v>3.8275201289827652</v>
      </c>
      <c r="Y509" s="17">
        <f>(S509-X509)/Model!$B$11</f>
        <v>4.2321661668677244E-3</v>
      </c>
      <c r="Z509" s="46">
        <f t="shared" si="151"/>
        <v>1.9400845539107473E-3</v>
      </c>
      <c r="AA509" s="57">
        <f>Y509/Model!$B$12*3600</f>
        <v>27.401282677440417</v>
      </c>
      <c r="AB509" s="51">
        <f t="shared" si="156"/>
        <v>245.33000019884915</v>
      </c>
      <c r="AC509" s="51">
        <f t="shared" si="158"/>
        <v>1554.6699998011509</v>
      </c>
      <c r="AD509" s="13">
        <f>IF(AE509=0, Model!$B$19, 0 )</f>
        <v>0</v>
      </c>
      <c r="AE509" s="51">
        <f>IF(AE508+AB508-AB509&lt;Model!$B$19*Model!$B$18, AE508+AB508-AB509,  0)</f>
        <v>198.30457350726439</v>
      </c>
      <c r="AF509" s="13">
        <f t="shared" si="152"/>
        <v>25.350000000000225</v>
      </c>
      <c r="AG509" s="50">
        <f t="shared" si="153"/>
        <v>0.81827752527088204</v>
      </c>
    </row>
    <row r="510" spans="2:33" x14ac:dyDescent="0.25">
      <c r="B510" s="15">
        <f t="shared" si="154"/>
        <v>25.400000000000226</v>
      </c>
      <c r="C510" s="15">
        <f>B510+Model!$B$4</f>
        <v>27.400000000000226</v>
      </c>
      <c r="D510" s="15">
        <f t="shared" si="155"/>
        <v>2</v>
      </c>
      <c r="E510" s="15">
        <f t="shared" si="159"/>
        <v>3.400000000000226</v>
      </c>
      <c r="F510" s="16">
        <f>IF(AB510&gt;0, VLOOKUP(B510,Model!$A$40:$B$60, 2), 0)</f>
        <v>300</v>
      </c>
      <c r="G510" s="15">
        <f>IF(AB510&gt;0, VLOOKUP(B510,Model!$A$39:$C$58, 3), 0)</f>
        <v>1</v>
      </c>
      <c r="H510" s="15">
        <f t="shared" si="142"/>
        <v>97</v>
      </c>
      <c r="I510" s="45">
        <f>Model!$B$21*EXP((-0.029*9.81*F510)/(8.31*(273+J510)))</f>
        <v>100357.4491247143</v>
      </c>
      <c r="J510" s="15">
        <f>IF(Model!$B$31="Summer",  IF(F510&lt;=2000,  Model!$B$20-Model!$B$35*F510/1000,  IF(F510&lt;Model!$B$36,  Model!$B$33-6.5*F510/1000,  Model!$B$38)),     IF(F510&lt;=2000,  Model!$B$20-Model!$B$35*F510/1000,  IF(F510&lt;Model!$B$36,  Model!$B$33-5.4*F510/1000,   Model!$B$38)))</f>
        <v>-19.088750000000001</v>
      </c>
      <c r="K510" s="15">
        <f t="shared" si="143"/>
        <v>253.91125</v>
      </c>
      <c r="L510" s="45">
        <f>IF(AB509-AA509*(B510-B509)&gt;0, L509-Y509*(B510-B509)*3600-AD510*Model!$B$16, 0)</f>
        <v>656.64782345053084</v>
      </c>
      <c r="M510" s="56">
        <f t="shared" si="144"/>
        <v>15.769078306670337</v>
      </c>
      <c r="N510" s="56">
        <f>Model!$B$13*I510*K510/(Model!$B$13*I510-L510*287*K510)</f>
        <v>288.76907830667034</v>
      </c>
      <c r="O510" s="56">
        <f t="shared" si="145"/>
        <v>271.34016415333519</v>
      </c>
      <c r="P510" s="56">
        <f t="shared" si="146"/>
        <v>-1.6595541565239866</v>
      </c>
      <c r="Q510" s="62">
        <f t="shared" si="147"/>
        <v>2.3882151654886798E-2</v>
      </c>
      <c r="R510" s="33">
        <f t="shared" si="157"/>
        <v>1.342737707194686E-5</v>
      </c>
      <c r="S510" s="45">
        <f>0.37*Model!$B$10*(Q510^2*(N510-K510)*I510/(R510*O510^2))^0.33333*(N510-K510)</f>
        <v>196953.51524237596</v>
      </c>
      <c r="T510" s="50">
        <f>Model!$B$32+(90-Model!$B$6)*SIN(RADIANS(-15*(E510+6)))</f>
        <v>-28.896948747727027</v>
      </c>
      <c r="U510" s="45">
        <f t="shared" si="148"/>
        <v>0</v>
      </c>
      <c r="V510" s="50">
        <f t="shared" si="149"/>
        <v>99999</v>
      </c>
      <c r="W510" s="45">
        <f t="shared" si="150"/>
        <v>4.2253521126760563E-2</v>
      </c>
      <c r="X510" s="45">
        <f>0.3*W510*Model!$B$9</f>
        <v>3.8275201289827652</v>
      </c>
      <c r="Y510" s="33">
        <f>(S510-X510)/Model!$B$11</f>
        <v>4.2250281609406198E-3</v>
      </c>
      <c r="Z510" s="45">
        <f t="shared" si="151"/>
        <v>1.9433621808031822E-3</v>
      </c>
      <c r="AA510" s="56">
        <f>Y510/Model!$B$12*3600</f>
        <v>27.35506745089921</v>
      </c>
      <c r="AB510" s="50">
        <f t="shared" si="156"/>
        <v>243.95993606497711</v>
      </c>
      <c r="AC510" s="50">
        <f t="shared" si="158"/>
        <v>1556.0400639350228</v>
      </c>
      <c r="AD510" s="15">
        <f>IF(AE510=0, Model!$B$19, 0 )</f>
        <v>0</v>
      </c>
      <c r="AE510" s="50">
        <f>IF(AE509+AB509-AB510&lt;Model!$B$19*Model!$B$18, AE509+AB509-AB510,  0)</f>
        <v>199.67463764113643</v>
      </c>
      <c r="AF510" s="15">
        <f t="shared" si="152"/>
        <v>25.400000000000226</v>
      </c>
      <c r="AG510" s="50">
        <f t="shared" si="153"/>
        <v>0.82977707826199332</v>
      </c>
    </row>
    <row r="511" spans="2:33" x14ac:dyDescent="0.25">
      <c r="B511" s="13">
        <f t="shared" si="154"/>
        <v>25.450000000000227</v>
      </c>
      <c r="C511" s="13">
        <f>B511+Model!$B$4</f>
        <v>27.450000000000227</v>
      </c>
      <c r="D511" s="13">
        <f t="shared" si="155"/>
        <v>2</v>
      </c>
      <c r="E511" s="13">
        <f t="shared" si="159"/>
        <v>3.4500000000002267</v>
      </c>
      <c r="F511" s="14">
        <f>IF(AB511&gt;0, VLOOKUP(B511,Model!$A$40:$B$60, 2), 0)</f>
        <v>300</v>
      </c>
      <c r="G511" s="13">
        <f>IF(AB511&gt;0, VLOOKUP(B511,Model!$A$39:$C$58, 3), 0)</f>
        <v>1</v>
      </c>
      <c r="H511" s="13">
        <f t="shared" si="142"/>
        <v>97</v>
      </c>
      <c r="I511" s="46">
        <f>Model!$B$21*EXP((-0.029*9.81*F511)/(8.31*(273+J511)))</f>
        <v>100357.4491247143</v>
      </c>
      <c r="J511" s="13">
        <f>IF(Model!$B$31="Summer",  IF(F511&lt;=2000,  Model!$B$20-Model!$B$35*F511/1000,  IF(F511&lt;Model!$B$36,  Model!$B$33-6.5*F511/1000,  Model!$B$38)),     IF(F511&lt;=2000,  Model!$B$20-Model!$B$35*F511/1000,  IF(F511&lt;Model!$B$36,  Model!$B$33-5.4*F511/1000,   Model!$B$38)))</f>
        <v>-19.088750000000001</v>
      </c>
      <c r="K511" s="13">
        <f t="shared" si="143"/>
        <v>253.91125</v>
      </c>
      <c r="L511" s="46">
        <f>IF(AB510-AA510*(B511-B510)&gt;0, L510-Y510*(B511-B510)*3600-AD511*Model!$B$16, 0)</f>
        <v>655.8873183815615</v>
      </c>
      <c r="M511" s="57">
        <f t="shared" si="144"/>
        <v>15.723172288130058</v>
      </c>
      <c r="N511" s="57">
        <f>Model!$B$13*I511*K511/(Model!$B$13*I511-L511*287*K511)</f>
        <v>288.72317228813006</v>
      </c>
      <c r="O511" s="57">
        <f t="shared" si="145"/>
        <v>271.31721114406503</v>
      </c>
      <c r="P511" s="57">
        <f t="shared" si="146"/>
        <v>-1.6825071657941262</v>
      </c>
      <c r="Q511" s="63">
        <f t="shared" si="147"/>
        <v>2.3880521991228618E-2</v>
      </c>
      <c r="R511" s="17">
        <f t="shared" si="157"/>
        <v>1.3424989958982762E-5</v>
      </c>
      <c r="S511" s="46">
        <f>0.37*Model!$B$10*(Q511^2*(N511-K511)*I511/(R511*O511^2))^0.33333*(N511-K511)</f>
        <v>196621.55076315449</v>
      </c>
      <c r="T511" s="51">
        <f>Model!$B$32+(90-Model!$B$6)*SIN(RADIANS(-15*(E511+6)))</f>
        <v>-28.539023286826872</v>
      </c>
      <c r="U511" s="46">
        <f t="shared" si="148"/>
        <v>0</v>
      </c>
      <c r="V511" s="51">
        <f t="shared" si="149"/>
        <v>99999</v>
      </c>
      <c r="W511" s="46">
        <f t="shared" si="150"/>
        <v>4.2253521126760563E-2</v>
      </c>
      <c r="X511" s="46">
        <f>0.3*W511*Model!$B$9</f>
        <v>3.8275201289827652</v>
      </c>
      <c r="Y511" s="17">
        <f>(S511-X511)/Model!$B$11</f>
        <v>4.2179067519687976E-3</v>
      </c>
      <c r="Z511" s="46">
        <f t="shared" si="151"/>
        <v>1.946643241357252E-3</v>
      </c>
      <c r="AA511" s="57">
        <f>Y511/Model!$B$12*3600</f>
        <v>27.308959681826664</v>
      </c>
      <c r="AB511" s="51">
        <f t="shared" si="156"/>
        <v>242.59218269243215</v>
      </c>
      <c r="AC511" s="51">
        <f t="shared" si="158"/>
        <v>1557.4078173075679</v>
      </c>
      <c r="AD511" s="13">
        <f>IF(AE511=0, Model!$B$19, 0 )</f>
        <v>0</v>
      </c>
      <c r="AE511" s="51">
        <f>IF(AE510+AB510-AB511&lt;Model!$B$19*Model!$B$18, AE510+AB510-AB511,  0)</f>
        <v>201.0423910136814</v>
      </c>
      <c r="AF511" s="13">
        <f t="shared" si="152"/>
        <v>25.450000000000227</v>
      </c>
      <c r="AG511" s="50">
        <f t="shared" si="153"/>
        <v>0.84125358289706309</v>
      </c>
    </row>
    <row r="512" spans="2:33" x14ac:dyDescent="0.25">
      <c r="B512" s="15">
        <f t="shared" si="154"/>
        <v>25.500000000000227</v>
      </c>
      <c r="C512" s="15">
        <f>B512+Model!$B$4</f>
        <v>27.500000000000227</v>
      </c>
      <c r="D512" s="15">
        <f t="shared" si="155"/>
        <v>2</v>
      </c>
      <c r="E512" s="15">
        <f t="shared" si="159"/>
        <v>3.5000000000002274</v>
      </c>
      <c r="F512" s="16">
        <f>IF(AB512&gt;0, VLOOKUP(B512,Model!$A$40:$B$60, 2), 0)</f>
        <v>300</v>
      </c>
      <c r="G512" s="15">
        <f>IF(AB512&gt;0, VLOOKUP(B512,Model!$A$39:$C$58, 3), 0)</f>
        <v>1</v>
      </c>
      <c r="H512" s="15">
        <f t="shared" si="142"/>
        <v>97</v>
      </c>
      <c r="I512" s="45">
        <f>Model!$B$21*EXP((-0.029*9.81*F512)/(8.31*(273+J512)))</f>
        <v>100357.4491247143</v>
      </c>
      <c r="J512" s="15">
        <f>IF(Model!$B$31="Summer",  IF(F512&lt;=2000,  Model!$B$20-Model!$B$35*F512/1000,  IF(F512&lt;Model!$B$36,  Model!$B$33-6.5*F512/1000,  Model!$B$38)),     IF(F512&lt;=2000,  Model!$B$20-Model!$B$35*F512/1000,  IF(F512&lt;Model!$B$36,  Model!$B$33-5.4*F512/1000,   Model!$B$38)))</f>
        <v>-19.088750000000001</v>
      </c>
      <c r="K512" s="15">
        <f t="shared" si="143"/>
        <v>253.91125</v>
      </c>
      <c r="L512" s="45">
        <f>IF(AB511-AA511*(B512-B511)&gt;0, L511-Y511*(B512-B511)*3600-AD512*Model!$B$16, 0)</f>
        <v>655.12809516620712</v>
      </c>
      <c r="M512" s="56">
        <f t="shared" si="144"/>
        <v>15.677358201826451</v>
      </c>
      <c r="N512" s="56">
        <f>Model!$B$13*I512*K512/(Model!$B$13*I512-L512*287*K512)</f>
        <v>288.67735820182645</v>
      </c>
      <c r="O512" s="56">
        <f t="shared" si="145"/>
        <v>271.29430410091322</v>
      </c>
      <c r="P512" s="56">
        <f t="shared" si="146"/>
        <v>-1.7054142089459301</v>
      </c>
      <c r="Q512" s="62">
        <f t="shared" si="147"/>
        <v>2.387889559116484E-2</v>
      </c>
      <c r="R512" s="33">
        <f t="shared" si="157"/>
        <v>1.3422607626494973E-5</v>
      </c>
      <c r="S512" s="45">
        <f>0.37*Model!$B$10*(Q512^2*(N512-K512)*I512/(R512*O512^2))^0.33333*(N512-K512)</f>
        <v>196290.35756913869</v>
      </c>
      <c r="T512" s="50">
        <f>Model!$B$32+(90-Model!$B$6)*SIN(RADIANS(-15*(E512+6)))</f>
        <v>-28.177385076287898</v>
      </c>
      <c r="U512" s="45">
        <f t="shared" si="148"/>
        <v>0</v>
      </c>
      <c r="V512" s="50">
        <f t="shared" si="149"/>
        <v>99999</v>
      </c>
      <c r="W512" s="45">
        <f t="shared" si="150"/>
        <v>4.2253521126760563E-2</v>
      </c>
      <c r="X512" s="45">
        <f>0.3*W512*Model!$B$9</f>
        <v>3.8275201289827652</v>
      </c>
      <c r="Y512" s="33">
        <f>(S512-X512)/Model!$B$11</f>
        <v>4.210801888855727E-3</v>
      </c>
      <c r="Z512" s="45">
        <f t="shared" si="151"/>
        <v>1.9499277378587539E-3</v>
      </c>
      <c r="AA512" s="56">
        <f>Y512/Model!$B$12*3600</f>
        <v>27.262959039396819</v>
      </c>
      <c r="AB512" s="50">
        <f t="shared" si="156"/>
        <v>241.22673470834079</v>
      </c>
      <c r="AC512" s="50">
        <f t="shared" si="158"/>
        <v>1558.7732652916593</v>
      </c>
      <c r="AD512" s="15">
        <f>IF(AE512=0, Model!$B$19, 0 )</f>
        <v>0</v>
      </c>
      <c r="AE512" s="50">
        <f>IF(AE511+AB511-AB512&lt;Model!$B$19*Model!$B$18, AE511+AB511-AB512,  0)</f>
        <v>202.40783899777276</v>
      </c>
      <c r="AF512" s="15">
        <f t="shared" si="152"/>
        <v>25.500000000000227</v>
      </c>
      <c r="AG512" s="50">
        <f t="shared" si="153"/>
        <v>0.85270710447296505</v>
      </c>
    </row>
    <row r="513" spans="2:33" x14ac:dyDescent="0.25">
      <c r="B513" s="13">
        <f t="shared" si="154"/>
        <v>25.550000000000228</v>
      </c>
      <c r="C513" s="13">
        <f>B513+Model!$B$4</f>
        <v>27.550000000000228</v>
      </c>
      <c r="D513" s="13">
        <f t="shared" si="155"/>
        <v>2</v>
      </c>
      <c r="E513" s="13">
        <f t="shared" si="159"/>
        <v>3.5500000000002281</v>
      </c>
      <c r="F513" s="14">
        <f>IF(AB513&gt;0, VLOOKUP(B513,Model!$A$40:$B$60, 2), 0)</f>
        <v>300</v>
      </c>
      <c r="G513" s="13">
        <f>IF(AB513&gt;0, VLOOKUP(B513,Model!$A$39:$C$58, 3), 0)</f>
        <v>1</v>
      </c>
      <c r="H513" s="13">
        <f t="shared" si="142"/>
        <v>97</v>
      </c>
      <c r="I513" s="46">
        <f>Model!$B$21*EXP((-0.029*9.81*F513)/(8.31*(273+J513)))</f>
        <v>100357.4491247143</v>
      </c>
      <c r="J513" s="13">
        <f>IF(Model!$B$31="Summer",  IF(F513&lt;=2000,  Model!$B$20-Model!$B$35*F513/1000,  IF(F513&lt;Model!$B$36,  Model!$B$33-6.5*F513/1000,  Model!$B$38)),     IF(F513&lt;=2000,  Model!$B$20-Model!$B$35*F513/1000,  IF(F513&lt;Model!$B$36,  Model!$B$33-5.4*F513/1000,   Model!$B$38)))</f>
        <v>-19.088750000000001</v>
      </c>
      <c r="K513" s="13">
        <f t="shared" si="143"/>
        <v>253.91125</v>
      </c>
      <c r="L513" s="46">
        <f>IF(AB512-AA512*(B513-B512)&gt;0, L512-Y512*(B513-B512)*3600-AD513*Model!$B$16, 0)</f>
        <v>654.37015082621303</v>
      </c>
      <c r="M513" s="57">
        <f t="shared" si="144"/>
        <v>15.631635787554899</v>
      </c>
      <c r="N513" s="57">
        <f>Model!$B$13*I513*K513/(Model!$B$13*I513-L513*287*K513)</f>
        <v>288.6316357875549</v>
      </c>
      <c r="O513" s="57">
        <f t="shared" si="145"/>
        <v>271.27144289377748</v>
      </c>
      <c r="P513" s="57">
        <f t="shared" si="146"/>
        <v>-1.728275416081706</v>
      </c>
      <c r="Q513" s="63">
        <f t="shared" si="147"/>
        <v>2.38772724454582E-2</v>
      </c>
      <c r="R513" s="17">
        <f t="shared" si="157"/>
        <v>1.3420230060952856E-5</v>
      </c>
      <c r="S513" s="46">
        <f>0.37*Model!$B$10*(Q513^2*(N513-K513)*I513/(R513*O513^2))^0.33333*(N513-K513)</f>
        <v>195959.9332878264</v>
      </c>
      <c r="T513" s="51">
        <f>Model!$B$32+(90-Model!$B$6)*SIN(RADIANS(-15*(E513+6)))</f>
        <v>-27.812096080955726</v>
      </c>
      <c r="U513" s="46">
        <f t="shared" si="148"/>
        <v>0</v>
      </c>
      <c r="V513" s="51">
        <f t="shared" si="149"/>
        <v>99999</v>
      </c>
      <c r="W513" s="46">
        <f t="shared" si="150"/>
        <v>4.2253521126760563E-2</v>
      </c>
      <c r="X513" s="46">
        <f>0.3*W513*Model!$B$9</f>
        <v>3.8275201289827652</v>
      </c>
      <c r="Y513" s="17">
        <f>(S513-X513)/Model!$B$11</f>
        <v>4.2037135207057263E-3</v>
      </c>
      <c r="Z513" s="46">
        <f t="shared" si="151"/>
        <v>1.9532156725940984E-3</v>
      </c>
      <c r="AA513" s="57">
        <f>Y513/Model!$B$12*3600</f>
        <v>27.217065194084107</v>
      </c>
      <c r="AB513" s="51">
        <f t="shared" si="156"/>
        <v>239.86358675637092</v>
      </c>
      <c r="AC513" s="51">
        <f t="shared" si="158"/>
        <v>1560.136413243629</v>
      </c>
      <c r="AD513" s="13">
        <f>IF(AE513=0, Model!$B$19, 0 )</f>
        <v>0</v>
      </c>
      <c r="AE513" s="51">
        <f>IF(AE512+AB512-AB513&lt;Model!$B$19*Model!$B$18, AE512+AB512-AB513,  0)</f>
        <v>203.77098694974262</v>
      </c>
      <c r="AF513" s="13">
        <f t="shared" si="152"/>
        <v>25.550000000000228</v>
      </c>
      <c r="AG513" s="50">
        <f t="shared" si="153"/>
        <v>0.86413770804085299</v>
      </c>
    </row>
    <row r="514" spans="2:33" x14ac:dyDescent="0.25">
      <c r="B514" s="15">
        <f t="shared" si="154"/>
        <v>25.600000000000229</v>
      </c>
      <c r="C514" s="15">
        <f>B514+Model!$B$4</f>
        <v>27.600000000000229</v>
      </c>
      <c r="D514" s="15">
        <f t="shared" si="155"/>
        <v>2</v>
      </c>
      <c r="E514" s="15">
        <f t="shared" si="159"/>
        <v>3.6000000000002288</v>
      </c>
      <c r="F514" s="16">
        <f>IF(AB514&gt;0, VLOOKUP(B514,Model!$A$40:$B$60, 2), 0)</f>
        <v>300</v>
      </c>
      <c r="G514" s="15">
        <f>IF(AB514&gt;0, VLOOKUP(B514,Model!$A$39:$C$58, 3), 0)</f>
        <v>1</v>
      </c>
      <c r="H514" s="15">
        <f t="shared" ref="H514:H577" si="160">IF(B514=1, 0, G514*97)</f>
        <v>97</v>
      </c>
      <c r="I514" s="45">
        <f>Model!$B$21*EXP((-0.029*9.81*F514)/(8.31*(273+J514)))</f>
        <v>100357.4491247143</v>
      </c>
      <c r="J514" s="15">
        <f>IF(Model!$B$31="Summer",  IF(F514&lt;=2000,  Model!$B$20-Model!$B$35*F514/1000,  IF(F514&lt;Model!$B$36,  Model!$B$33-6.5*F514/1000,  Model!$B$38)),     IF(F514&lt;=2000,  Model!$B$20-Model!$B$35*F514/1000,  IF(F514&lt;Model!$B$36,  Model!$B$33-5.4*F514/1000,   Model!$B$38)))</f>
        <v>-19.088750000000001</v>
      </c>
      <c r="K514" s="15">
        <f t="shared" ref="K514:K577" si="161">273+J514</f>
        <v>253.91125</v>
      </c>
      <c r="L514" s="45">
        <f>IF(AB513-AA513*(B514-B513)&gt;0, L513-Y513*(B514-B513)*3600-AD514*Model!$B$16, 0)</f>
        <v>653.61348239248605</v>
      </c>
      <c r="M514" s="56">
        <f t="shared" ref="M514:M577" si="162">IF(AB514=0, 0, N514-273)</f>
        <v>15.586004786089063</v>
      </c>
      <c r="N514" s="56">
        <f>Model!$B$13*I514*K514/(Model!$B$13*I514-L514*287*K514)</f>
        <v>288.58600478608906</v>
      </c>
      <c r="O514" s="56">
        <f t="shared" ref="O514:O577" si="163">(K514+N514)/2</f>
        <v>271.24862739304456</v>
      </c>
      <c r="P514" s="56">
        <f t="shared" ref="P514:P577" si="164">(J514+M514)/2+W513/150</f>
        <v>-1.7510909168146238</v>
      </c>
      <c r="Q514" s="62">
        <f t="shared" ref="Q514:Q577" si="165">(O514-273)*7.1*0.00001+0.024</f>
        <v>2.3875652544906163E-2</v>
      </c>
      <c r="R514" s="33">
        <f t="shared" si="157"/>
        <v>1.3417857248876631E-5</v>
      </c>
      <c r="S514" s="45">
        <f>0.37*Model!$B$10*(Q514^2*(N514-K514)*I514/(R514*O514^2))^0.33333*(N514-K514)</f>
        <v>195630.27555603304</v>
      </c>
      <c r="T514" s="50">
        <f>Model!$B$32+(90-Model!$B$6)*SIN(RADIANS(-15*(E514+6)))</f>
        <v>-27.443218891219189</v>
      </c>
      <c r="U514" s="45">
        <f t="shared" ref="U514:U577" si="166">IF(OR(T514&lt;0, AB514=0),  0, T514)</f>
        <v>0</v>
      </c>
      <c r="V514" s="50">
        <f t="shared" ref="V514:V577" si="167">IF(T514&lt;0,99999,1/SIN(RADIANS(T514)))</f>
        <v>99999</v>
      </c>
      <c r="W514" s="45">
        <f t="shared" ref="W514:W577" si="168">IF(G514=0,0, 1353*((1+F514/7100)*0.7^V514^0.678)+F514/7100)</f>
        <v>4.2253521126760563E-2</v>
      </c>
      <c r="X514" s="45">
        <f>0.3*W514*Model!$B$9</f>
        <v>3.8275201289827652</v>
      </c>
      <c r="Y514" s="33">
        <f>(S514-X514)/Model!$B$11</f>
        <v>4.1966415968229982E-3</v>
      </c>
      <c r="Z514" s="45">
        <f t="shared" ref="Z514:Z577" si="169">100*X514/S514</f>
        <v>1.956507047850308E-3</v>
      </c>
      <c r="AA514" s="56">
        <f>Y514/Model!$B$12*3600</f>
        <v>27.17127781765711</v>
      </c>
      <c r="AB514" s="50">
        <f t="shared" si="156"/>
        <v>238.50273349666671</v>
      </c>
      <c r="AC514" s="50">
        <f t="shared" si="158"/>
        <v>1561.4972665033333</v>
      </c>
      <c r="AD514" s="15">
        <f>IF(AE514=0, Model!$B$19, 0 )</f>
        <v>0</v>
      </c>
      <c r="AE514" s="50">
        <f>IF(AE513+AB513-AB514&lt;Model!$B$19*Model!$B$18, AE513+AB513-AB514,  0)</f>
        <v>205.13184020944684</v>
      </c>
      <c r="AF514" s="15">
        <f t="shared" ref="AF514:AF577" si="170">B514</f>
        <v>25.600000000000229</v>
      </c>
      <c r="AG514" s="50">
        <f t="shared" ref="AG514:AG577" si="171">IF(OR(P514&gt;0, AB514&lt;=0),0, IF(P514&lt;-2,0.99,ABS(P514/2)))</f>
        <v>0.87554545840731191</v>
      </c>
    </row>
    <row r="515" spans="2:33" x14ac:dyDescent="0.25">
      <c r="B515" s="13">
        <f t="shared" ref="B515:B578" si="172">IF(AB514&gt;0, B514+0.05, 1)</f>
        <v>25.65000000000023</v>
      </c>
      <c r="C515" s="13">
        <f>B515+Model!$B$4</f>
        <v>27.65000000000023</v>
      </c>
      <c r="D515" s="13">
        <f t="shared" ref="D515:D578" si="173">INT(C515/24+1)</f>
        <v>2</v>
      </c>
      <c r="E515" s="13">
        <f t="shared" si="159"/>
        <v>3.6500000000002295</v>
      </c>
      <c r="F515" s="14">
        <f>IF(AB515&gt;0, VLOOKUP(B515,Model!$A$40:$B$60, 2), 0)</f>
        <v>300</v>
      </c>
      <c r="G515" s="13">
        <f>IF(AB515&gt;0, VLOOKUP(B515,Model!$A$39:$C$58, 3), 0)</f>
        <v>1</v>
      </c>
      <c r="H515" s="13">
        <f t="shared" si="160"/>
        <v>97</v>
      </c>
      <c r="I515" s="46">
        <f>Model!$B$21*EXP((-0.029*9.81*F515)/(8.31*(273+J515)))</f>
        <v>100357.4491247143</v>
      </c>
      <c r="J515" s="13">
        <f>IF(Model!$B$31="Summer",  IF(F515&lt;=2000,  Model!$B$20-Model!$B$35*F515/1000,  IF(F515&lt;Model!$B$36,  Model!$B$33-6.5*F515/1000,  Model!$B$38)),     IF(F515&lt;=2000,  Model!$B$20-Model!$B$35*F515/1000,  IF(F515&lt;Model!$B$36,  Model!$B$33-5.4*F515/1000,   Model!$B$38)))</f>
        <v>-19.088750000000001</v>
      </c>
      <c r="K515" s="13">
        <f t="shared" si="161"/>
        <v>253.91125</v>
      </c>
      <c r="L515" s="46">
        <f>IF(AB514-AA514*(B515-B514)&gt;0, L514-Y514*(B515-B514)*3600-AD515*Model!$B$16, 0)</f>
        <v>652.85808690505792</v>
      </c>
      <c r="M515" s="57">
        <f t="shared" si="162"/>
        <v>15.540464939176161</v>
      </c>
      <c r="N515" s="57">
        <f>Model!$B$13*I515*K515/(Model!$B$13*I515-L515*287*K515)</f>
        <v>288.54046493917616</v>
      </c>
      <c r="O515" s="57">
        <f t="shared" si="163"/>
        <v>271.22585746958805</v>
      </c>
      <c r="P515" s="57">
        <f t="shared" si="164"/>
        <v>-1.7738608402710749</v>
      </c>
      <c r="Q515" s="63">
        <f t="shared" si="165"/>
        <v>2.3874035880340753E-2</v>
      </c>
      <c r="R515" s="17">
        <f t="shared" si="157"/>
        <v>1.3415489176837156E-5</v>
      </c>
      <c r="S515" s="46">
        <f>0.37*Model!$B$10*(Q515^2*(N515-K515)*I515/(R515*O515^2))^0.33333*(N515-K515)</f>
        <v>195301.38201984548</v>
      </c>
      <c r="T515" s="51">
        <f>Model!$B$32+(90-Model!$B$6)*SIN(RADIANS(-15*(E515+6)))</f>
        <v>-27.070816712285787</v>
      </c>
      <c r="U515" s="46">
        <f t="shared" si="166"/>
        <v>0</v>
      </c>
      <c r="V515" s="51">
        <f t="shared" si="167"/>
        <v>99999</v>
      </c>
      <c r="W515" s="46">
        <f t="shared" si="168"/>
        <v>4.2253521126760563E-2</v>
      </c>
      <c r="X515" s="46">
        <f>0.3*W515*Model!$B$9</f>
        <v>3.8275201289827652</v>
      </c>
      <c r="Y515" s="17">
        <f>(S515-X515)/Model!$B$11</f>
        <v>4.18958606671064E-3</v>
      </c>
      <c r="Z515" s="46">
        <f t="shared" si="169"/>
        <v>1.959801865915026E-3</v>
      </c>
      <c r="AA515" s="57">
        <f>Y515/Model!$B$12*3600</f>
        <v>27.125596583172165</v>
      </c>
      <c r="AB515" s="51">
        <f t="shared" ref="AB515:AB578" si="174">IF(AB514-AA514*(B515-B514)&gt;0, AB514-AA514*(B515-B514), 0)</f>
        <v>237.14416960578384</v>
      </c>
      <c r="AC515" s="51">
        <f t="shared" si="158"/>
        <v>1562.8558303942161</v>
      </c>
      <c r="AD515" s="13">
        <f>IF(AE515=0, Model!$B$19, 0 )</f>
        <v>0</v>
      </c>
      <c r="AE515" s="51">
        <f>IF(AE514+AB514-AB515&lt;Model!$B$19*Model!$B$18, AE514+AB514-AB515,  0)</f>
        <v>206.4904041003297</v>
      </c>
      <c r="AF515" s="13">
        <f t="shared" si="170"/>
        <v>25.65000000000023</v>
      </c>
      <c r="AG515" s="50">
        <f t="shared" si="171"/>
        <v>0.88693042013553747</v>
      </c>
    </row>
    <row r="516" spans="2:33" x14ac:dyDescent="0.25">
      <c r="B516" s="15">
        <f t="shared" si="172"/>
        <v>25.70000000000023</v>
      </c>
      <c r="C516" s="15">
        <f>B516+Model!$B$4</f>
        <v>27.70000000000023</v>
      </c>
      <c r="D516" s="15">
        <f t="shared" si="173"/>
        <v>2</v>
      </c>
      <c r="E516" s="15">
        <f t="shared" si="159"/>
        <v>3.7000000000002302</v>
      </c>
      <c r="F516" s="16">
        <f>IF(AB516&gt;0, VLOOKUP(B516,Model!$A$40:$B$60, 2), 0)</f>
        <v>300</v>
      </c>
      <c r="G516" s="15">
        <f>IF(AB516&gt;0, VLOOKUP(B516,Model!$A$39:$C$58, 3), 0)</f>
        <v>1</v>
      </c>
      <c r="H516" s="15">
        <f t="shared" si="160"/>
        <v>97</v>
      </c>
      <c r="I516" s="45">
        <f>Model!$B$21*EXP((-0.029*9.81*F516)/(8.31*(273+J516)))</f>
        <v>100357.4491247143</v>
      </c>
      <c r="J516" s="15">
        <f>IF(Model!$B$31="Summer",  IF(F516&lt;=2000,  Model!$B$20-Model!$B$35*F516/1000,  IF(F516&lt;Model!$B$36,  Model!$B$33-6.5*F516/1000,  Model!$B$38)),     IF(F516&lt;=2000,  Model!$B$20-Model!$B$35*F516/1000,  IF(F516&lt;Model!$B$36,  Model!$B$33-5.4*F516/1000,   Model!$B$38)))</f>
        <v>-19.088750000000001</v>
      </c>
      <c r="K516" s="15">
        <f t="shared" si="161"/>
        <v>253.91125</v>
      </c>
      <c r="L516" s="45">
        <f>IF(AB515-AA515*(B516-B515)&gt;0, L515-Y515*(B516-B515)*3600-AD516*Model!$B$16, 0)</f>
        <v>652.10396141305</v>
      </c>
      <c r="M516" s="56">
        <f t="shared" si="162"/>
        <v>15.495015989532476</v>
      </c>
      <c r="N516" s="56">
        <f>Model!$B$13*I516*K516/(Model!$B$13*I516-L516*287*K516)</f>
        <v>288.49501598953248</v>
      </c>
      <c r="O516" s="56">
        <f t="shared" si="163"/>
        <v>271.20313299476624</v>
      </c>
      <c r="P516" s="56">
        <f t="shared" si="164"/>
        <v>-1.7965853150929174</v>
      </c>
      <c r="Q516" s="62">
        <f t="shared" si="165"/>
        <v>2.3872422442628403E-2</v>
      </c>
      <c r="R516" s="33">
        <f t="shared" si="157"/>
        <v>1.3413125831455687E-5</v>
      </c>
      <c r="S516" s="45">
        <f>0.37*Model!$B$10*(Q516^2*(N516-K516)*I516/(R516*O516^2))^0.33333*(N516-K516)</f>
        <v>194973.25033457857</v>
      </c>
      <c r="T516" s="50">
        <f>Model!$B$32+(90-Model!$B$6)*SIN(RADIANS(-15*(E516+6)))</f>
        <v>-26.694953353351728</v>
      </c>
      <c r="U516" s="45">
        <f t="shared" si="166"/>
        <v>0</v>
      </c>
      <c r="V516" s="50">
        <f t="shared" si="167"/>
        <v>99999</v>
      </c>
      <c r="W516" s="45">
        <f t="shared" si="168"/>
        <v>4.2253521126760563E-2</v>
      </c>
      <c r="X516" s="45">
        <f>0.3*W516*Model!$B$9</f>
        <v>3.8275201289827652</v>
      </c>
      <c r="Y516" s="33">
        <f>(S516-X516)/Model!$B$11</f>
        <v>4.1825468800697112E-3</v>
      </c>
      <c r="Z516" s="45">
        <f t="shared" si="169"/>
        <v>1.9631001290765031E-3</v>
      </c>
      <c r="AA516" s="56">
        <f>Y516/Model!$B$12*3600</f>
        <v>27.080021164967331</v>
      </c>
      <c r="AB516" s="50">
        <f t="shared" si="174"/>
        <v>235.78788977662521</v>
      </c>
      <c r="AC516" s="50">
        <f t="shared" si="158"/>
        <v>1564.2121102233748</v>
      </c>
      <c r="AD516" s="15">
        <f>IF(AE516=0, Model!$B$19, 0 )</f>
        <v>0</v>
      </c>
      <c r="AE516" s="50">
        <f>IF(AE515+AB515-AB516&lt;Model!$B$19*Model!$B$18, AE515+AB515-AB516,  0)</f>
        <v>207.84668392948834</v>
      </c>
      <c r="AF516" s="15">
        <f t="shared" si="170"/>
        <v>25.70000000000023</v>
      </c>
      <c r="AG516" s="50">
        <f t="shared" si="171"/>
        <v>0.89829265754645871</v>
      </c>
    </row>
    <row r="517" spans="2:33" x14ac:dyDescent="0.25">
      <c r="B517" s="13">
        <f t="shared" si="172"/>
        <v>25.750000000000231</v>
      </c>
      <c r="C517" s="13">
        <f>B517+Model!$B$4</f>
        <v>27.750000000000231</v>
      </c>
      <c r="D517" s="13">
        <f t="shared" si="173"/>
        <v>2</v>
      </c>
      <c r="E517" s="13">
        <f t="shared" si="159"/>
        <v>3.7500000000002309</v>
      </c>
      <c r="F517" s="14">
        <f>IF(AB517&gt;0, VLOOKUP(B517,Model!$A$40:$B$60, 2), 0)</f>
        <v>300</v>
      </c>
      <c r="G517" s="13">
        <f>IF(AB517&gt;0, VLOOKUP(B517,Model!$A$39:$C$58, 3), 0)</f>
        <v>1</v>
      </c>
      <c r="H517" s="13">
        <f t="shared" si="160"/>
        <v>97</v>
      </c>
      <c r="I517" s="46">
        <f>Model!$B$21*EXP((-0.029*9.81*F517)/(8.31*(273+J517)))</f>
        <v>100357.4491247143</v>
      </c>
      <c r="J517" s="13">
        <f>IF(Model!$B$31="Summer",  IF(F517&lt;=2000,  Model!$B$20-Model!$B$35*F517/1000,  IF(F517&lt;Model!$B$36,  Model!$B$33-6.5*F517/1000,  Model!$B$38)),     IF(F517&lt;=2000,  Model!$B$20-Model!$B$35*F517/1000,  IF(F517&lt;Model!$B$36,  Model!$B$33-5.4*F517/1000,   Model!$B$38)))</f>
        <v>-19.088750000000001</v>
      </c>
      <c r="K517" s="13">
        <f t="shared" si="161"/>
        <v>253.91125</v>
      </c>
      <c r="L517" s="46">
        <f>IF(AB516-AA516*(B517-B516)&gt;0, L516-Y516*(B517-B516)*3600-AD517*Model!$B$16, 0)</f>
        <v>651.35110297463746</v>
      </c>
      <c r="M517" s="57">
        <f t="shared" si="162"/>
        <v>15.449657680838527</v>
      </c>
      <c r="N517" s="57">
        <f>Model!$B$13*I517*K517/(Model!$B$13*I517-L517*287*K517)</f>
        <v>288.44965768083853</v>
      </c>
      <c r="O517" s="57">
        <f t="shared" si="163"/>
        <v>271.18045384041926</v>
      </c>
      <c r="P517" s="57">
        <f t="shared" si="164"/>
        <v>-1.8192644694398918</v>
      </c>
      <c r="Q517" s="63">
        <f t="shared" si="165"/>
        <v>2.387081222266977E-2</v>
      </c>
      <c r="R517" s="17">
        <f t="shared" si="157"/>
        <v>1.3410767199403602E-5</v>
      </c>
      <c r="S517" s="46">
        <f>0.37*Model!$B$10*(Q517^2*(N517-K517)*I517/(R517*O517^2))^0.33333*(N517-K517)</f>
        <v>194645.87816472884</v>
      </c>
      <c r="T517" s="51">
        <f>Model!$B$32+(90-Model!$B$6)*SIN(RADIANS(-15*(E517+6)))</f>
        <v>-26.315693216668638</v>
      </c>
      <c r="U517" s="46">
        <f t="shared" si="166"/>
        <v>0</v>
      </c>
      <c r="V517" s="51">
        <f t="shared" si="167"/>
        <v>99999</v>
      </c>
      <c r="W517" s="46">
        <f t="shared" si="168"/>
        <v>4.2253521126760563E-2</v>
      </c>
      <c r="X517" s="46">
        <f>0.3*W517*Model!$B$9</f>
        <v>3.8275201289827652</v>
      </c>
      <c r="Y517" s="17">
        <f>(S517-X517)/Model!$B$11</f>
        <v>4.1755239867982382E-3</v>
      </c>
      <c r="Z517" s="46">
        <f t="shared" si="169"/>
        <v>1.9664018396236133E-3</v>
      </c>
      <c r="AA517" s="57">
        <f>Y517/Model!$B$12*3600</f>
        <v>27.034551238655919</v>
      </c>
      <c r="AB517" s="51">
        <f t="shared" si="174"/>
        <v>234.43388871837683</v>
      </c>
      <c r="AC517" s="51">
        <f t="shared" si="158"/>
        <v>1565.5661112816231</v>
      </c>
      <c r="AD517" s="13">
        <f>IF(AE517=0, Model!$B$19, 0 )</f>
        <v>0</v>
      </c>
      <c r="AE517" s="51">
        <f>IF(AE516+AB516-AB517&lt;Model!$B$19*Model!$B$18, AE516+AB516-AB517,  0)</f>
        <v>209.20068498773671</v>
      </c>
      <c r="AF517" s="13">
        <f t="shared" si="170"/>
        <v>25.750000000000231</v>
      </c>
      <c r="AG517" s="50">
        <f t="shared" si="171"/>
        <v>0.90963223471994592</v>
      </c>
    </row>
    <row r="518" spans="2:33" x14ac:dyDescent="0.25">
      <c r="B518" s="15">
        <f t="shared" si="172"/>
        <v>25.800000000000232</v>
      </c>
      <c r="C518" s="15">
        <f>B518+Model!$B$4</f>
        <v>27.800000000000232</v>
      </c>
      <c r="D518" s="15">
        <f t="shared" si="173"/>
        <v>2</v>
      </c>
      <c r="E518" s="15">
        <f t="shared" si="159"/>
        <v>3.8000000000002316</v>
      </c>
      <c r="F518" s="16">
        <f>IF(AB518&gt;0, VLOOKUP(B518,Model!$A$40:$B$60, 2), 0)</f>
        <v>300</v>
      </c>
      <c r="G518" s="15">
        <f>IF(AB518&gt;0, VLOOKUP(B518,Model!$A$39:$C$58, 3), 0)</f>
        <v>1</v>
      </c>
      <c r="H518" s="15">
        <f t="shared" si="160"/>
        <v>97</v>
      </c>
      <c r="I518" s="45">
        <f>Model!$B$21*EXP((-0.029*9.81*F518)/(8.31*(273+J518)))</f>
        <v>100357.4491247143</v>
      </c>
      <c r="J518" s="15">
        <f>IF(Model!$B$31="Summer",  IF(F518&lt;=2000,  Model!$B$20-Model!$B$35*F518/1000,  IF(F518&lt;Model!$B$36,  Model!$B$33-6.5*F518/1000,  Model!$B$38)),     IF(F518&lt;=2000,  Model!$B$20-Model!$B$35*F518/1000,  IF(F518&lt;Model!$B$36,  Model!$B$33-5.4*F518/1000,   Model!$B$38)))</f>
        <v>-19.088750000000001</v>
      </c>
      <c r="K518" s="15">
        <f t="shared" si="161"/>
        <v>253.91125</v>
      </c>
      <c r="L518" s="45">
        <f>IF(AB517-AA517*(B518-B517)&gt;0, L517-Y517*(B518-B517)*3600-AD518*Model!$B$16, 0)</f>
        <v>650.59950865701376</v>
      </c>
      <c r="M518" s="56">
        <f t="shared" si="162"/>
        <v>15.404389757734748</v>
      </c>
      <c r="N518" s="56">
        <f>Model!$B$13*I518*K518/(Model!$B$13*I518-L518*287*K518)</f>
        <v>288.40438975773475</v>
      </c>
      <c r="O518" s="56">
        <f t="shared" si="163"/>
        <v>271.15781987886737</v>
      </c>
      <c r="P518" s="56">
        <f t="shared" si="164"/>
        <v>-1.8418984309917814</v>
      </c>
      <c r="Q518" s="62">
        <f t="shared" si="165"/>
        <v>2.3869205211399583E-2</v>
      </c>
      <c r="R518" s="33">
        <f t="shared" si="157"/>
        <v>1.3408413267402205E-5</v>
      </c>
      <c r="S518" s="45">
        <f>0.37*Model!$B$10*(Q518^2*(N518-K518)*I518/(R518*O518^2))^0.33333*(N518-K518)</f>
        <v>194319.26318393086</v>
      </c>
      <c r="T518" s="50">
        <f>Model!$B$32+(90-Model!$B$6)*SIN(RADIANS(-15*(E518+6)))</f>
        <v>-25.933101286508492</v>
      </c>
      <c r="U518" s="45">
        <f t="shared" si="166"/>
        <v>0</v>
      </c>
      <c r="V518" s="50">
        <f t="shared" si="167"/>
        <v>99999</v>
      </c>
      <c r="W518" s="45">
        <f t="shared" si="168"/>
        <v>4.2253521126760563E-2</v>
      </c>
      <c r="X518" s="45">
        <f>0.3*W518*Model!$B$9</f>
        <v>3.8275201289827652</v>
      </c>
      <c r="Y518" s="33">
        <f>(S518-X518)/Model!$B$11</f>
        <v>4.1685173369902795E-3</v>
      </c>
      <c r="Z518" s="45">
        <f t="shared" si="169"/>
        <v>1.9697069998458497E-3</v>
      </c>
      <c r="AA518" s="56">
        <f>Y518/Model!$B$12*3600</f>
        <v>26.989186481120466</v>
      </c>
      <c r="AB518" s="50">
        <f t="shared" si="174"/>
        <v>233.08216115644402</v>
      </c>
      <c r="AC518" s="50">
        <f t="shared" si="158"/>
        <v>1566.917838843556</v>
      </c>
      <c r="AD518" s="15">
        <f>IF(AE518=0, Model!$B$19, 0 )</f>
        <v>0</v>
      </c>
      <c r="AE518" s="50">
        <f>IF(AE517+AB517-AB518&lt;Model!$B$19*Model!$B$18, AE517+AB517-AB518,  0)</f>
        <v>210.55241254966953</v>
      </c>
      <c r="AF518" s="15">
        <f t="shared" si="170"/>
        <v>25.800000000000232</v>
      </c>
      <c r="AG518" s="50">
        <f t="shared" si="171"/>
        <v>0.92094921549589071</v>
      </c>
    </row>
    <row r="519" spans="2:33" x14ac:dyDescent="0.25">
      <c r="B519" s="13">
        <f t="shared" si="172"/>
        <v>25.850000000000232</v>
      </c>
      <c r="C519" s="13">
        <f>B519+Model!$B$4</f>
        <v>27.850000000000232</v>
      </c>
      <c r="D519" s="13">
        <f t="shared" si="173"/>
        <v>2</v>
      </c>
      <c r="E519" s="13">
        <f t="shared" si="159"/>
        <v>3.8500000000002323</v>
      </c>
      <c r="F519" s="14">
        <f>IF(AB519&gt;0, VLOOKUP(B519,Model!$A$40:$B$60, 2), 0)</f>
        <v>300</v>
      </c>
      <c r="G519" s="13">
        <f>IF(AB519&gt;0, VLOOKUP(B519,Model!$A$39:$C$58, 3), 0)</f>
        <v>1</v>
      </c>
      <c r="H519" s="13">
        <f t="shared" si="160"/>
        <v>97</v>
      </c>
      <c r="I519" s="46">
        <f>Model!$B$21*EXP((-0.029*9.81*F519)/(8.31*(273+J519)))</f>
        <v>100357.4491247143</v>
      </c>
      <c r="J519" s="13">
        <f>IF(Model!$B$31="Summer",  IF(F519&lt;=2000,  Model!$B$20-Model!$B$35*F519/1000,  IF(F519&lt;Model!$B$36,  Model!$B$33-6.5*F519/1000,  Model!$B$38)),     IF(F519&lt;=2000,  Model!$B$20-Model!$B$35*F519/1000,  IF(F519&lt;Model!$B$36,  Model!$B$33-5.4*F519/1000,   Model!$B$38)))</f>
        <v>-19.088750000000001</v>
      </c>
      <c r="K519" s="13">
        <f t="shared" si="161"/>
        <v>253.91125</v>
      </c>
      <c r="L519" s="46">
        <f>IF(AB518-AA518*(B519-B518)&gt;0, L518-Y518*(B519-B518)*3600-AD519*Model!$B$16, 0)</f>
        <v>649.84917553635546</v>
      </c>
      <c r="M519" s="57">
        <f t="shared" si="162"/>
        <v>15.359211965816996</v>
      </c>
      <c r="N519" s="57">
        <f>Model!$B$13*I519*K519/(Model!$B$13*I519-L519*287*K519)</f>
        <v>288.359211965817</v>
      </c>
      <c r="O519" s="57">
        <f t="shared" si="163"/>
        <v>271.13523098290852</v>
      </c>
      <c r="P519" s="57">
        <f t="shared" si="164"/>
        <v>-1.8644873269506572</v>
      </c>
      <c r="Q519" s="63">
        <f t="shared" si="165"/>
        <v>2.3867601399786505E-2</v>
      </c>
      <c r="R519" s="17">
        <f t="shared" si="157"/>
        <v>1.3406064022222485E-5</v>
      </c>
      <c r="S519" s="46">
        <f>0.37*Model!$B$10*(Q519^2*(N519-K519)*I519/(R519*O519^2))^0.33333*(N519-K519)</f>
        <v>193993.40307491468</v>
      </c>
      <c r="T519" s="51">
        <f>Model!$B$32+(90-Model!$B$6)*SIN(RADIANS(-15*(E519+6)))</f>
        <v>-25.54724311802892</v>
      </c>
      <c r="U519" s="46">
        <f t="shared" si="166"/>
        <v>0</v>
      </c>
      <c r="V519" s="51">
        <f t="shared" si="167"/>
        <v>99999</v>
      </c>
      <c r="W519" s="46">
        <f t="shared" si="168"/>
        <v>4.2253521126760563E-2</v>
      </c>
      <c r="X519" s="46">
        <f>0.3*W519*Model!$B$9</f>
        <v>3.8275201289827652</v>
      </c>
      <c r="Y519" s="17">
        <f>(S519-X519)/Model!$B$11</f>
        <v>4.1615268809350146E-3</v>
      </c>
      <c r="Z519" s="46">
        <f t="shared" si="169"/>
        <v>1.9730156120333054E-3</v>
      </c>
      <c r="AA519" s="57">
        <f>Y519/Model!$B$12*3600</f>
        <v>26.943926570506818</v>
      </c>
      <c r="AB519" s="51">
        <f t="shared" si="174"/>
        <v>231.73270183238796</v>
      </c>
      <c r="AC519" s="51">
        <f t="shared" si="158"/>
        <v>1568.2672981676121</v>
      </c>
      <c r="AD519" s="13">
        <f>IF(AE519=0, Model!$B$19, 0 )</f>
        <v>0</v>
      </c>
      <c r="AE519" s="51">
        <f>IF(AE518+AB518-AB519&lt;Model!$B$19*Model!$B$18, AE518+AB518-AB519,  0)</f>
        <v>211.90187187372558</v>
      </c>
      <c r="AF519" s="13">
        <f t="shared" si="170"/>
        <v>25.850000000000232</v>
      </c>
      <c r="AG519" s="50">
        <f t="shared" si="171"/>
        <v>0.93224366347532861</v>
      </c>
    </row>
    <row r="520" spans="2:33" x14ac:dyDescent="0.25">
      <c r="B520" s="15">
        <f t="shared" si="172"/>
        <v>25.900000000000233</v>
      </c>
      <c r="C520" s="15">
        <f>B520+Model!$B$4</f>
        <v>27.900000000000233</v>
      </c>
      <c r="D520" s="15">
        <f t="shared" si="173"/>
        <v>2</v>
      </c>
      <c r="E520" s="15">
        <f t="shared" si="159"/>
        <v>3.9000000000002331</v>
      </c>
      <c r="F520" s="16">
        <f>IF(AB520&gt;0, VLOOKUP(B520,Model!$A$40:$B$60, 2), 0)</f>
        <v>300</v>
      </c>
      <c r="G520" s="15">
        <f>IF(AB520&gt;0, VLOOKUP(B520,Model!$A$39:$C$58, 3), 0)</f>
        <v>1</v>
      </c>
      <c r="H520" s="15">
        <f t="shared" si="160"/>
        <v>97</v>
      </c>
      <c r="I520" s="45">
        <f>Model!$B$21*EXP((-0.029*9.81*F520)/(8.31*(273+J520)))</f>
        <v>100357.4491247143</v>
      </c>
      <c r="J520" s="15">
        <f>IF(Model!$B$31="Summer",  IF(F520&lt;=2000,  Model!$B$20-Model!$B$35*F520/1000,  IF(F520&lt;Model!$B$36,  Model!$B$33-6.5*F520/1000,  Model!$B$38)),     IF(F520&lt;=2000,  Model!$B$20-Model!$B$35*F520/1000,  IF(F520&lt;Model!$B$36,  Model!$B$33-5.4*F520/1000,   Model!$B$38)))</f>
        <v>-19.088750000000001</v>
      </c>
      <c r="K520" s="15">
        <f t="shared" si="161"/>
        <v>253.91125</v>
      </c>
      <c r="L520" s="45">
        <f>IF(AB519-AA519*(B520-B519)&gt;0, L519-Y519*(B520-B519)*3600-AD520*Model!$B$16, 0)</f>
        <v>649.10010069778718</v>
      </c>
      <c r="M520" s="56">
        <f t="shared" si="162"/>
        <v>15.314124051631723</v>
      </c>
      <c r="N520" s="56">
        <f>Model!$B$13*I520*K520/(Model!$B$13*I520-L520*287*K520)</f>
        <v>288.31412405163172</v>
      </c>
      <c r="O520" s="56">
        <f t="shared" si="163"/>
        <v>271.11268702581583</v>
      </c>
      <c r="P520" s="56">
        <f t="shared" si="164"/>
        <v>-1.8870312840432941</v>
      </c>
      <c r="Q520" s="62">
        <f t="shared" si="165"/>
        <v>2.3866000778832924E-2</v>
      </c>
      <c r="R520" s="33">
        <f t="shared" si="157"/>
        <v>1.3403719450684846E-5</v>
      </c>
      <c r="S520" s="45">
        <f>0.37*Model!$B$10*(Q520^2*(N520-K520)*I520/(R520*O520^2))^0.33333*(N520-K520)</f>
        <v>193668.29552945864</v>
      </c>
      <c r="T520" s="50">
        <f>Model!$B$32+(90-Model!$B$6)*SIN(RADIANS(-15*(E520+6)))</f>
        <v>-25.15818482604071</v>
      </c>
      <c r="U520" s="45">
        <f t="shared" si="166"/>
        <v>0</v>
      </c>
      <c r="V520" s="50">
        <f t="shared" si="167"/>
        <v>99999</v>
      </c>
      <c r="W520" s="45">
        <f t="shared" si="168"/>
        <v>4.2253521126760563E-2</v>
      </c>
      <c r="X520" s="45">
        <f>0.3*W520*Model!$B$9</f>
        <v>3.8275201289827652</v>
      </c>
      <c r="Y520" s="33">
        <f>(S520-X520)/Model!$B$11</f>
        <v>4.1545525691157282E-3</v>
      </c>
      <c r="Z520" s="45">
        <f t="shared" si="169"/>
        <v>1.9763276784767105E-3</v>
      </c>
      <c r="AA520" s="56">
        <f>Y520/Model!$B$12*3600</f>
        <v>26.898771186217566</v>
      </c>
      <c r="AB520" s="50">
        <f t="shared" si="174"/>
        <v>230.38550550386259</v>
      </c>
      <c r="AC520" s="50">
        <f t="shared" si="158"/>
        <v>1569.6144944961375</v>
      </c>
      <c r="AD520" s="15">
        <f>IF(AE520=0, Model!$B$19, 0 )</f>
        <v>0</v>
      </c>
      <c r="AE520" s="50">
        <f>IF(AE519+AB519-AB520&lt;Model!$B$19*Model!$B$18, AE519+AB519-AB520,  0)</f>
        <v>213.24906820225095</v>
      </c>
      <c r="AF520" s="15">
        <f t="shared" si="170"/>
        <v>25.900000000000233</v>
      </c>
      <c r="AG520" s="50">
        <f t="shared" si="171"/>
        <v>0.94351564202164706</v>
      </c>
    </row>
    <row r="521" spans="2:33" x14ac:dyDescent="0.25">
      <c r="B521" s="13">
        <f t="shared" si="172"/>
        <v>25.950000000000234</v>
      </c>
      <c r="C521" s="13">
        <f>B521+Model!$B$4</f>
        <v>27.950000000000234</v>
      </c>
      <c r="D521" s="13">
        <f t="shared" si="173"/>
        <v>2</v>
      </c>
      <c r="E521" s="13">
        <f t="shared" si="159"/>
        <v>3.9500000000002338</v>
      </c>
      <c r="F521" s="14">
        <f>IF(AB521&gt;0, VLOOKUP(B521,Model!$A$40:$B$60, 2), 0)</f>
        <v>300</v>
      </c>
      <c r="G521" s="13">
        <f>IF(AB521&gt;0, VLOOKUP(B521,Model!$A$39:$C$58, 3), 0)</f>
        <v>1</v>
      </c>
      <c r="H521" s="13">
        <f t="shared" si="160"/>
        <v>97</v>
      </c>
      <c r="I521" s="46">
        <f>Model!$B$21*EXP((-0.029*9.81*F521)/(8.31*(273+J521)))</f>
        <v>100357.4491247143</v>
      </c>
      <c r="J521" s="13">
        <f>IF(Model!$B$31="Summer",  IF(F521&lt;=2000,  Model!$B$20-Model!$B$35*F521/1000,  IF(F521&lt;Model!$B$36,  Model!$B$33-6.5*F521/1000,  Model!$B$38)),     IF(F521&lt;=2000,  Model!$B$20-Model!$B$35*F521/1000,  IF(F521&lt;Model!$B$36,  Model!$B$33-5.4*F521/1000,   Model!$B$38)))</f>
        <v>-19.088750000000001</v>
      </c>
      <c r="K521" s="13">
        <f t="shared" si="161"/>
        <v>253.91125</v>
      </c>
      <c r="L521" s="46">
        <f>IF(AB520-AA520*(B521-B520)&gt;0, L520-Y520*(B521-B520)*3600-AD521*Model!$B$16, 0)</f>
        <v>648.35228123534637</v>
      </c>
      <c r="M521" s="57">
        <f t="shared" si="162"/>
        <v>15.26912576267182</v>
      </c>
      <c r="N521" s="57">
        <f>Model!$B$13*I521*K521/(Model!$B$13*I521-L521*287*K521)</f>
        <v>288.26912576267182</v>
      </c>
      <c r="O521" s="57">
        <f t="shared" si="163"/>
        <v>271.09018788133591</v>
      </c>
      <c r="P521" s="57">
        <f t="shared" si="164"/>
        <v>-1.9095304285232455</v>
      </c>
      <c r="Q521" s="63">
        <f t="shared" si="165"/>
        <v>2.386440333957485E-2</v>
      </c>
      <c r="R521" s="17">
        <f t="shared" si="157"/>
        <v>1.3401379539658934E-5</v>
      </c>
      <c r="S521" s="46">
        <f>0.37*Model!$B$10*(Q521^2*(N521-K521)*I521/(R521*O521^2))^0.33333*(N521-K521)</f>
        <v>193343.93824834866</v>
      </c>
      <c r="T521" s="51">
        <f>Model!$B$32+(90-Model!$B$6)*SIN(RADIANS(-15*(E521+6)))</f>
        <v>-24.765993073679319</v>
      </c>
      <c r="U521" s="46">
        <f t="shared" si="166"/>
        <v>0</v>
      </c>
      <c r="V521" s="51">
        <f t="shared" si="167"/>
        <v>99999</v>
      </c>
      <c r="W521" s="46">
        <f t="shared" si="168"/>
        <v>4.2253521126760563E-2</v>
      </c>
      <c r="X521" s="46">
        <f>0.3*W521*Model!$B$9</f>
        <v>3.8275201289827652</v>
      </c>
      <c r="Y521" s="17">
        <f>(S521-X521)/Model!$B$11</f>
        <v>4.1475943522089383E-3</v>
      </c>
      <c r="Z521" s="46">
        <f t="shared" si="169"/>
        <v>1.9796432014674015E-3</v>
      </c>
      <c r="AA521" s="57">
        <f>Y521/Model!$B$12*3600</f>
        <v>26.853720008906393</v>
      </c>
      <c r="AB521" s="51">
        <f t="shared" si="174"/>
        <v>229.0405669445517</v>
      </c>
      <c r="AC521" s="51">
        <f t="shared" si="158"/>
        <v>1570.9594330554482</v>
      </c>
      <c r="AD521" s="13">
        <f>IF(AE521=0, Model!$B$19, 0 )</f>
        <v>0</v>
      </c>
      <c r="AE521" s="51">
        <f>IF(AE520+AB520-AB521&lt;Model!$B$19*Model!$B$18, AE520+AB520-AB521,  0)</f>
        <v>214.59400676156184</v>
      </c>
      <c r="AF521" s="13">
        <f t="shared" si="170"/>
        <v>25.950000000000234</v>
      </c>
      <c r="AG521" s="50">
        <f t="shared" si="171"/>
        <v>0.95476521426162275</v>
      </c>
    </row>
    <row r="522" spans="2:33" x14ac:dyDescent="0.25">
      <c r="B522" s="15">
        <f t="shared" si="172"/>
        <v>26.000000000000234</v>
      </c>
      <c r="C522" s="15">
        <f>B522+Model!$B$4</f>
        <v>28.000000000000234</v>
      </c>
      <c r="D522" s="15">
        <f t="shared" si="173"/>
        <v>2</v>
      </c>
      <c r="E522" s="15">
        <f t="shared" si="159"/>
        <v>4.0000000000002345</v>
      </c>
      <c r="F522" s="16">
        <f>IF(AB522&gt;0, VLOOKUP(B522,Model!$A$40:$B$60, 2), 0)</f>
        <v>300</v>
      </c>
      <c r="G522" s="15">
        <f>IF(AB522&gt;0, VLOOKUP(B522,Model!$A$39:$C$58, 3), 0)</f>
        <v>1</v>
      </c>
      <c r="H522" s="15">
        <f t="shared" si="160"/>
        <v>97</v>
      </c>
      <c r="I522" s="45">
        <f>Model!$B$21*EXP((-0.029*9.81*F522)/(8.31*(273+J522)))</f>
        <v>100357.4491247143</v>
      </c>
      <c r="J522" s="15">
        <f>IF(Model!$B$31="Summer",  IF(F522&lt;=2000,  Model!$B$20-Model!$B$35*F522/1000,  IF(F522&lt;Model!$B$36,  Model!$B$33-6.5*F522/1000,  Model!$B$38)),     IF(F522&lt;=2000,  Model!$B$20-Model!$B$35*F522/1000,  IF(F522&lt;Model!$B$36,  Model!$B$33-5.4*F522/1000,   Model!$B$38)))</f>
        <v>-19.088750000000001</v>
      </c>
      <c r="K522" s="15">
        <f t="shared" si="161"/>
        <v>253.91125</v>
      </c>
      <c r="L522" s="45">
        <f>IF(AB521-AA521*(B522-B521)&gt;0, L521-Y521*(B522-B521)*3600-AD522*Model!$B$16, 0)</f>
        <v>647.60571425194871</v>
      </c>
      <c r="M522" s="56">
        <f t="shared" si="162"/>
        <v>15.224216847371963</v>
      </c>
      <c r="N522" s="56">
        <f>Model!$B$13*I522*K522/(Model!$B$13*I522-L522*287*K522)</f>
        <v>288.22421684737196</v>
      </c>
      <c r="O522" s="56">
        <f t="shared" si="163"/>
        <v>271.06773342368598</v>
      </c>
      <c r="P522" s="56">
        <f t="shared" si="164"/>
        <v>-1.9319848861731739</v>
      </c>
      <c r="Q522" s="62">
        <f t="shared" si="165"/>
        <v>2.3862809073081706E-2</v>
      </c>
      <c r="R522" s="33">
        <f t="shared" si="157"/>
        <v>1.339904427606334E-5</v>
      </c>
      <c r="S522" s="45">
        <f>0.37*Model!$B$10*(Q522^2*(N522-K522)*I522/(R522*O522^2))^0.33333*(N522-K522)</f>
        <v>193020.32894133308</v>
      </c>
      <c r="T522" s="50">
        <f>Model!$B$32+(90-Model!$B$6)*SIN(RADIANS(-15*(E522+6)))</f>
        <v>-24.370735060982465</v>
      </c>
      <c r="U522" s="45">
        <f t="shared" si="166"/>
        <v>0</v>
      </c>
      <c r="V522" s="50">
        <f t="shared" si="167"/>
        <v>99999</v>
      </c>
      <c r="W522" s="45">
        <f t="shared" si="168"/>
        <v>4.2253521126760563E-2</v>
      </c>
      <c r="X522" s="45">
        <f>0.3*W522*Model!$B$9</f>
        <v>3.8275201289827652</v>
      </c>
      <c r="Y522" s="33">
        <f>(S522-X522)/Model!$B$11</f>
        <v>4.1406521810834302E-3</v>
      </c>
      <c r="Z522" s="45">
        <f t="shared" si="169"/>
        <v>1.9829621832973396E-3</v>
      </c>
      <c r="AA522" s="56">
        <f>Y522/Model!$B$12*3600</f>
        <v>26.808772720471829</v>
      </c>
      <c r="AB522" s="50">
        <f t="shared" si="174"/>
        <v>227.69788094410637</v>
      </c>
      <c r="AC522" s="50">
        <f t="shared" si="158"/>
        <v>1572.3021190558936</v>
      </c>
      <c r="AD522" s="15">
        <f>IF(AE522=0, Model!$B$19, 0 )</f>
        <v>0</v>
      </c>
      <c r="AE522" s="50">
        <f>IF(AE521+AB521-AB522&lt;Model!$B$19*Model!$B$18, AE521+AB521-AB522,  0)</f>
        <v>215.93669276200717</v>
      </c>
      <c r="AF522" s="15">
        <f t="shared" si="170"/>
        <v>26.000000000000234</v>
      </c>
      <c r="AG522" s="50">
        <f t="shared" si="171"/>
        <v>0.96599244308658694</v>
      </c>
    </row>
    <row r="523" spans="2:33" x14ac:dyDescent="0.25">
      <c r="B523" s="13">
        <f t="shared" si="172"/>
        <v>26.050000000000235</v>
      </c>
      <c r="C523" s="13">
        <f>B523+Model!$B$4</f>
        <v>28.050000000000235</v>
      </c>
      <c r="D523" s="13">
        <f t="shared" si="173"/>
        <v>2</v>
      </c>
      <c r="E523" s="13">
        <f t="shared" si="159"/>
        <v>4.0500000000002352</v>
      </c>
      <c r="F523" s="14">
        <f>IF(AB523&gt;0, VLOOKUP(B523,Model!$A$40:$B$60, 2), 0)</f>
        <v>300</v>
      </c>
      <c r="G523" s="13">
        <f>IF(AB523&gt;0, VLOOKUP(B523,Model!$A$39:$C$58, 3), 0)</f>
        <v>1</v>
      </c>
      <c r="H523" s="13">
        <f t="shared" si="160"/>
        <v>97</v>
      </c>
      <c r="I523" s="46">
        <f>Model!$B$21*EXP((-0.029*9.81*F523)/(8.31*(273+J523)))</f>
        <v>100357.4491247143</v>
      </c>
      <c r="J523" s="13">
        <f>IF(Model!$B$31="Summer",  IF(F523&lt;=2000,  Model!$B$20-Model!$B$35*F523/1000,  IF(F523&lt;Model!$B$36,  Model!$B$33-6.5*F523/1000,  Model!$B$38)),     IF(F523&lt;=2000,  Model!$B$20-Model!$B$35*F523/1000,  IF(F523&lt;Model!$B$36,  Model!$B$33-5.4*F523/1000,   Model!$B$38)))</f>
        <v>-19.088750000000001</v>
      </c>
      <c r="K523" s="13">
        <f t="shared" si="161"/>
        <v>253.91125</v>
      </c>
      <c r="L523" s="46">
        <f>IF(AB522-AA522*(B523-B522)&gt;0, L522-Y522*(B523-B522)*3600-AD523*Model!$B$16, 0)</f>
        <v>646.86039685935373</v>
      </c>
      <c r="M523" s="57">
        <f t="shared" si="162"/>
        <v>15.179397055104118</v>
      </c>
      <c r="N523" s="57">
        <f>Model!$B$13*I523*K523/(Model!$B$13*I523-L523*287*K523)</f>
        <v>288.17939705510412</v>
      </c>
      <c r="O523" s="57">
        <f t="shared" si="163"/>
        <v>271.04532352755206</v>
      </c>
      <c r="P523" s="57">
        <f t="shared" si="164"/>
        <v>-1.9543947823070962</v>
      </c>
      <c r="Q523" s="63">
        <f t="shared" si="165"/>
        <v>2.3861217970456195E-2</v>
      </c>
      <c r="R523" s="17">
        <f t="shared" si="157"/>
        <v>1.3396713646865412E-5</v>
      </c>
      <c r="S523" s="46">
        <f>0.37*Model!$B$10*(Q523^2*(N523-K523)*I523/(R523*O523^2))^0.33333*(N523-K523)</f>
        <v>192697.46532707952</v>
      </c>
      <c r="T523" s="51">
        <f>Model!$B$32+(90-Model!$B$6)*SIN(RADIANS(-15*(E523+6)))</f>
        <v>-23.972478513375872</v>
      </c>
      <c r="U523" s="46">
        <f t="shared" si="166"/>
        <v>0</v>
      </c>
      <c r="V523" s="51">
        <f t="shared" si="167"/>
        <v>99999</v>
      </c>
      <c r="W523" s="46">
        <f t="shared" si="168"/>
        <v>4.2253521126760563E-2</v>
      </c>
      <c r="X523" s="46">
        <f>0.3*W523*Model!$B$9</f>
        <v>3.8275201289827652</v>
      </c>
      <c r="Y523" s="17">
        <f>(S523-X523)/Model!$B$11</f>
        <v>4.1337260067993249E-3</v>
      </c>
      <c r="Z523" s="46">
        <f t="shared" si="169"/>
        <v>1.9862846262591128E-3</v>
      </c>
      <c r="AA523" s="57">
        <f>Y523/Model!$B$12*3600</f>
        <v>26.763929004051203</v>
      </c>
      <c r="AB523" s="51">
        <f t="shared" si="174"/>
        <v>226.35744230808277</v>
      </c>
      <c r="AC523" s="51">
        <f t="shared" si="158"/>
        <v>1573.6425576919173</v>
      </c>
      <c r="AD523" s="13">
        <f>IF(AE523=0, Model!$B$19, 0 )</f>
        <v>0</v>
      </c>
      <c r="AE523" s="51">
        <f>IF(AE522+AB522-AB523&lt;Model!$B$19*Model!$B$18, AE522+AB522-AB523,  0)</f>
        <v>217.27713139803078</v>
      </c>
      <c r="AF523" s="13">
        <f t="shared" si="170"/>
        <v>26.050000000000235</v>
      </c>
      <c r="AG523" s="50">
        <f t="shared" si="171"/>
        <v>0.97719739115354809</v>
      </c>
    </row>
    <row r="524" spans="2:33" x14ac:dyDescent="0.25">
      <c r="B524" s="15">
        <f t="shared" si="172"/>
        <v>26.100000000000236</v>
      </c>
      <c r="C524" s="15">
        <f>B524+Model!$B$4</f>
        <v>28.100000000000236</v>
      </c>
      <c r="D524" s="15">
        <f t="shared" si="173"/>
        <v>2</v>
      </c>
      <c r="E524" s="15">
        <f t="shared" si="159"/>
        <v>4.1000000000002359</v>
      </c>
      <c r="F524" s="16">
        <f>IF(AB524&gt;0, VLOOKUP(B524,Model!$A$40:$B$60, 2), 0)</f>
        <v>300</v>
      </c>
      <c r="G524" s="15">
        <f>IF(AB524&gt;0, VLOOKUP(B524,Model!$A$39:$C$58, 3), 0)</f>
        <v>1</v>
      </c>
      <c r="H524" s="15">
        <f t="shared" si="160"/>
        <v>97</v>
      </c>
      <c r="I524" s="45">
        <f>Model!$B$21*EXP((-0.029*9.81*F524)/(8.31*(273+J524)))</f>
        <v>100357.4491247143</v>
      </c>
      <c r="J524" s="15">
        <f>IF(Model!$B$31="Summer",  IF(F524&lt;=2000,  Model!$B$20-Model!$B$35*F524/1000,  IF(F524&lt;Model!$B$36,  Model!$B$33-6.5*F524/1000,  Model!$B$38)),     IF(F524&lt;=2000,  Model!$B$20-Model!$B$35*F524/1000,  IF(F524&lt;Model!$B$36,  Model!$B$33-5.4*F524/1000,   Model!$B$38)))</f>
        <v>-19.088750000000001</v>
      </c>
      <c r="K524" s="15">
        <f t="shared" si="161"/>
        <v>253.91125</v>
      </c>
      <c r="L524" s="45">
        <f>IF(AB523-AA523*(B524-B523)&gt;0, L523-Y523*(B524-B523)*3600-AD524*Model!$B$16, 0)</f>
        <v>646.11632617812984</v>
      </c>
      <c r="M524" s="56">
        <f t="shared" si="162"/>
        <v>15.134666136173621</v>
      </c>
      <c r="N524" s="56">
        <f>Model!$B$13*I524*K524/(Model!$B$13*I524-L524*287*K524)</f>
        <v>288.13466613617362</v>
      </c>
      <c r="O524" s="56">
        <f t="shared" si="163"/>
        <v>271.02295806808684</v>
      </c>
      <c r="P524" s="56">
        <f t="shared" si="164"/>
        <v>-1.9767602417723449</v>
      </c>
      <c r="Q524" s="62">
        <f t="shared" si="165"/>
        <v>2.3859630022834165E-2</v>
      </c>
      <c r="R524" s="33">
        <f t="shared" si="157"/>
        <v>1.3394387639081029E-5</v>
      </c>
      <c r="S524" s="45">
        <f>0.37*Model!$B$10*(Q524^2*(N524-K524)*I524/(R524*O524^2))^0.33333*(N524-K524)</f>
        <v>192375.34513313507</v>
      </c>
      <c r="T524" s="50">
        <f>Model!$B$32+(90-Model!$B$6)*SIN(RADIANS(-15*(E524+6)))</f>
        <v>-23.571291670068728</v>
      </c>
      <c r="U524" s="45">
        <f t="shared" si="166"/>
        <v>0</v>
      </c>
      <c r="V524" s="50">
        <f t="shared" si="167"/>
        <v>99999</v>
      </c>
      <c r="W524" s="45">
        <f t="shared" si="168"/>
        <v>4.2253521126760563E-2</v>
      </c>
      <c r="X524" s="45">
        <f>0.3*W524*Model!$B$9</f>
        <v>3.8275201289827652</v>
      </c>
      <c r="Y524" s="33">
        <f>(S524-X524)/Model!$B$11</f>
        <v>4.1268157806072315E-3</v>
      </c>
      <c r="Z524" s="45">
        <f t="shared" si="169"/>
        <v>1.9896105326459041E-3</v>
      </c>
      <c r="AA524" s="56">
        <f>Y524/Model!$B$12*3600</f>
        <v>26.719188544015168</v>
      </c>
      <c r="AB524" s="50">
        <f t="shared" si="174"/>
        <v>225.01924585788018</v>
      </c>
      <c r="AC524" s="50">
        <f t="shared" si="158"/>
        <v>1574.9807541421198</v>
      </c>
      <c r="AD524" s="15">
        <f>IF(AE524=0, Model!$B$19, 0 )</f>
        <v>0</v>
      </c>
      <c r="AE524" s="50">
        <f>IF(AE523+AB523-AB524&lt;Model!$B$19*Model!$B$18, AE523+AB523-AB524,  0)</f>
        <v>218.61532784823336</v>
      </c>
      <c r="AF524" s="15">
        <f t="shared" si="170"/>
        <v>26.100000000000236</v>
      </c>
      <c r="AG524" s="50">
        <f t="shared" si="171"/>
        <v>0.98838012088617244</v>
      </c>
    </row>
    <row r="525" spans="2:33" x14ac:dyDescent="0.25">
      <c r="B525" s="13">
        <f t="shared" si="172"/>
        <v>26.150000000000237</v>
      </c>
      <c r="C525" s="13">
        <f>B525+Model!$B$4</f>
        <v>28.150000000000237</v>
      </c>
      <c r="D525" s="13">
        <f t="shared" si="173"/>
        <v>2</v>
      </c>
      <c r="E525" s="13">
        <f t="shared" si="159"/>
        <v>4.1500000000002366</v>
      </c>
      <c r="F525" s="14">
        <f>IF(AB525&gt;0, VLOOKUP(B525,Model!$A$40:$B$60, 2), 0)</f>
        <v>300</v>
      </c>
      <c r="G525" s="13">
        <f>IF(AB525&gt;0, VLOOKUP(B525,Model!$A$39:$C$58, 3), 0)</f>
        <v>1</v>
      </c>
      <c r="H525" s="13">
        <f t="shared" si="160"/>
        <v>97</v>
      </c>
      <c r="I525" s="46">
        <f>Model!$B$21*EXP((-0.029*9.81*F525)/(8.31*(273+J525)))</f>
        <v>100357.4491247143</v>
      </c>
      <c r="J525" s="13">
        <f>IF(Model!$B$31="Summer",  IF(F525&lt;=2000,  Model!$B$20-Model!$B$35*F525/1000,  IF(F525&lt;Model!$B$36,  Model!$B$33-6.5*F525/1000,  Model!$B$38)),     IF(F525&lt;=2000,  Model!$B$20-Model!$B$35*F525/1000,  IF(F525&lt;Model!$B$36,  Model!$B$33-5.4*F525/1000,   Model!$B$38)))</f>
        <v>-19.088750000000001</v>
      </c>
      <c r="K525" s="13">
        <f t="shared" si="161"/>
        <v>253.91125</v>
      </c>
      <c r="L525" s="46">
        <f>IF(AB524-AA524*(B525-B524)&gt;0, L524-Y524*(B525-B524)*3600-AD525*Model!$B$16, 0)</f>
        <v>645.3734993376205</v>
      </c>
      <c r="M525" s="57">
        <f t="shared" si="162"/>
        <v>15.090023841814173</v>
      </c>
      <c r="N525" s="57">
        <f>Model!$B$13*I525*K525/(Model!$B$13*I525-L525*287*K525)</f>
        <v>288.09002384181417</v>
      </c>
      <c r="O525" s="57">
        <f t="shared" si="163"/>
        <v>271.00063692090708</v>
      </c>
      <c r="P525" s="57">
        <f t="shared" si="164"/>
        <v>-1.9990813889520691</v>
      </c>
      <c r="Q525" s="63">
        <f t="shared" si="165"/>
        <v>2.3858045221384405E-2</v>
      </c>
      <c r="R525" s="17">
        <f t="shared" si="157"/>
        <v>1.3392066239774336E-5</v>
      </c>
      <c r="S525" s="46">
        <f>0.37*Model!$B$10*(Q525^2*(N525-K525)*I525/(R525*O525^2))^0.33333*(N525-K525)</f>
        <v>192053.96609587932</v>
      </c>
      <c r="T525" s="51">
        <f>Model!$B$32+(90-Model!$B$6)*SIN(RADIANS(-15*(E525+6)))</f>
        <v>-23.167243272361304</v>
      </c>
      <c r="U525" s="46">
        <f t="shared" si="166"/>
        <v>0</v>
      </c>
      <c r="V525" s="51">
        <f t="shared" si="167"/>
        <v>99999</v>
      </c>
      <c r="W525" s="46">
        <f t="shared" si="168"/>
        <v>4.2253521126760563E-2</v>
      </c>
      <c r="X525" s="46">
        <f>0.3*W525*Model!$B$9</f>
        <v>3.8275201289827652</v>
      </c>
      <c r="Y525" s="17">
        <f>(S525-X525)/Model!$B$11</f>
        <v>4.1199214539472343E-3</v>
      </c>
      <c r="Z525" s="46">
        <f t="shared" si="169"/>
        <v>1.9929399047515363E-3</v>
      </c>
      <c r="AA525" s="57">
        <f>Y525/Model!$B$12*3600</f>
        <v>26.674551025961144</v>
      </c>
      <c r="AB525" s="51">
        <f t="shared" si="174"/>
        <v>223.6832864306794</v>
      </c>
      <c r="AC525" s="51">
        <f t="shared" si="158"/>
        <v>1576.3167135693207</v>
      </c>
      <c r="AD525" s="13">
        <f>IF(AE525=0, Model!$B$19, 0 )</f>
        <v>0</v>
      </c>
      <c r="AE525" s="51">
        <f>IF(AE524+AB524-AB525&lt;Model!$B$19*Model!$B$18, AE524+AB524-AB525,  0)</f>
        <v>219.95128727543414</v>
      </c>
      <c r="AF525" s="13">
        <f t="shared" si="170"/>
        <v>26.150000000000237</v>
      </c>
      <c r="AG525" s="50">
        <f t="shared" si="171"/>
        <v>0.99954069447603455</v>
      </c>
    </row>
    <row r="526" spans="2:33" x14ac:dyDescent="0.25">
      <c r="B526" s="15">
        <f t="shared" si="172"/>
        <v>26.200000000000237</v>
      </c>
      <c r="C526" s="15">
        <f>B526+Model!$B$4</f>
        <v>28.200000000000237</v>
      </c>
      <c r="D526" s="15">
        <f t="shared" si="173"/>
        <v>2</v>
      </c>
      <c r="E526" s="15">
        <f t="shared" si="159"/>
        <v>4.2000000000002373</v>
      </c>
      <c r="F526" s="16">
        <f>IF(AB526&gt;0, VLOOKUP(B526,Model!$A$40:$B$60, 2), 0)</f>
        <v>300</v>
      </c>
      <c r="G526" s="15">
        <f>IF(AB526&gt;0, VLOOKUP(B526,Model!$A$39:$C$58, 3), 0)</f>
        <v>1</v>
      </c>
      <c r="H526" s="15">
        <f t="shared" si="160"/>
        <v>97</v>
      </c>
      <c r="I526" s="45">
        <f>Model!$B$21*EXP((-0.029*9.81*F526)/(8.31*(273+J526)))</f>
        <v>100357.4491247143</v>
      </c>
      <c r="J526" s="15">
        <f>IF(Model!$B$31="Summer",  IF(F526&lt;=2000,  Model!$B$20-Model!$B$35*F526/1000,  IF(F526&lt;Model!$B$36,  Model!$B$33-6.5*F526/1000,  Model!$B$38)),     IF(F526&lt;=2000,  Model!$B$20-Model!$B$35*F526/1000,  IF(F526&lt;Model!$B$36,  Model!$B$33-5.4*F526/1000,   Model!$B$38)))</f>
        <v>-19.088750000000001</v>
      </c>
      <c r="K526" s="15">
        <f t="shared" si="161"/>
        <v>253.91125</v>
      </c>
      <c r="L526" s="45">
        <f>IF(AB525-AA525*(B526-B525)&gt;0, L525-Y525*(B526-B525)*3600-AD526*Model!$B$16, 0)</f>
        <v>644.63191347590998</v>
      </c>
      <c r="M526" s="56">
        <f t="shared" si="162"/>
        <v>15.045469924183692</v>
      </c>
      <c r="N526" s="56">
        <f>Model!$B$13*I526*K526/(Model!$B$13*I526-L526*287*K526)</f>
        <v>288.04546992418369</v>
      </c>
      <c r="O526" s="56">
        <f t="shared" si="163"/>
        <v>270.97835996209187</v>
      </c>
      <c r="P526" s="56">
        <f t="shared" si="164"/>
        <v>-2.0213583477673094</v>
      </c>
      <c r="Q526" s="62">
        <f t="shared" si="165"/>
        <v>2.3856463557308524E-2</v>
      </c>
      <c r="R526" s="33">
        <f t="shared" si="157"/>
        <v>1.3389749436057554E-5</v>
      </c>
      <c r="S526" s="45">
        <f>0.37*Model!$B$10*(Q526^2*(N526-K526)*I526/(R526*O526^2))^0.33333*(N526-K526)</f>
        <v>191733.32596048355</v>
      </c>
      <c r="T526" s="50">
        <f>Model!$B$32+(90-Model!$B$6)*SIN(RADIANS(-15*(E526+6)))</f>
        <v>-22.760402551866527</v>
      </c>
      <c r="U526" s="45">
        <f t="shared" si="166"/>
        <v>0</v>
      </c>
      <c r="V526" s="50">
        <f t="shared" si="167"/>
        <v>99999</v>
      </c>
      <c r="W526" s="45">
        <f t="shared" si="168"/>
        <v>4.2253521126760563E-2</v>
      </c>
      <c r="X526" s="45">
        <f>0.3*W526*Model!$B$9</f>
        <v>3.8275201289827652</v>
      </c>
      <c r="Y526" s="33">
        <f>(S526-X526)/Model!$B$11</f>
        <v>4.1130429784480222E-3</v>
      </c>
      <c r="Z526" s="45">
        <f t="shared" si="169"/>
        <v>1.9962727448704569E-3</v>
      </c>
      <c r="AA526" s="56">
        <f>Y526/Model!$B$12*3600</f>
        <v>26.630016136707663</v>
      </c>
      <c r="AB526" s="50">
        <f t="shared" si="174"/>
        <v>222.34955887938133</v>
      </c>
      <c r="AC526" s="50">
        <f t="shared" si="158"/>
        <v>1577.6504411206188</v>
      </c>
      <c r="AD526" s="15">
        <f>IF(AE526=0, Model!$B$19, 0 )</f>
        <v>0</v>
      </c>
      <c r="AE526" s="50">
        <f>IF(AE525+AB525-AB526&lt;Model!$B$19*Model!$B$18, AE525+AB525-AB526,  0)</f>
        <v>221.28501482673221</v>
      </c>
      <c r="AF526" s="15">
        <f t="shared" si="170"/>
        <v>26.200000000000237</v>
      </c>
      <c r="AG526" s="50">
        <f t="shared" si="171"/>
        <v>0.99</v>
      </c>
    </row>
    <row r="527" spans="2:33" x14ac:dyDescent="0.25">
      <c r="B527" s="13">
        <f t="shared" si="172"/>
        <v>26.250000000000238</v>
      </c>
      <c r="C527" s="13">
        <f>B527+Model!$B$4</f>
        <v>28.250000000000238</v>
      </c>
      <c r="D527" s="13">
        <f t="shared" si="173"/>
        <v>2</v>
      </c>
      <c r="E527" s="13">
        <f t="shared" si="159"/>
        <v>4.250000000000238</v>
      </c>
      <c r="F527" s="14">
        <f>IF(AB527&gt;0, VLOOKUP(B527,Model!$A$40:$B$60, 2), 0)</f>
        <v>300</v>
      </c>
      <c r="G527" s="13">
        <f>IF(AB527&gt;0, VLOOKUP(B527,Model!$A$39:$C$58, 3), 0)</f>
        <v>1</v>
      </c>
      <c r="H527" s="13">
        <f t="shared" si="160"/>
        <v>97</v>
      </c>
      <c r="I527" s="46">
        <f>Model!$B$21*EXP((-0.029*9.81*F527)/(8.31*(273+J527)))</f>
        <v>100357.4491247143</v>
      </c>
      <c r="J527" s="13">
        <f>IF(Model!$B$31="Summer",  IF(F527&lt;=2000,  Model!$B$20-Model!$B$35*F527/1000,  IF(F527&lt;Model!$B$36,  Model!$B$33-6.5*F527/1000,  Model!$B$38)),     IF(F527&lt;=2000,  Model!$B$20-Model!$B$35*F527/1000,  IF(F527&lt;Model!$B$36,  Model!$B$33-5.4*F527/1000,   Model!$B$38)))</f>
        <v>-19.088750000000001</v>
      </c>
      <c r="K527" s="13">
        <f t="shared" si="161"/>
        <v>253.91125</v>
      </c>
      <c r="L527" s="46">
        <f>IF(AB526-AA526*(B527-B526)&gt;0, L526-Y526*(B527-B526)*3600-AD527*Model!$B$16, 0)</f>
        <v>643.89156573978937</v>
      </c>
      <c r="M527" s="57">
        <f t="shared" si="162"/>
        <v>15.00100413636028</v>
      </c>
      <c r="N527" s="57">
        <f>Model!$B$13*I527*K527/(Model!$B$13*I527-L527*287*K527)</f>
        <v>288.00100413636028</v>
      </c>
      <c r="O527" s="57">
        <f t="shared" si="163"/>
        <v>270.95612706818014</v>
      </c>
      <c r="P527" s="57">
        <f t="shared" si="164"/>
        <v>-2.0435912416790156</v>
      </c>
      <c r="Q527" s="63">
        <f t="shared" si="165"/>
        <v>2.3854885021840789E-2</v>
      </c>
      <c r="R527" s="17">
        <f t="shared" si="157"/>
        <v>1.3387437215090735E-5</v>
      </c>
      <c r="S527" s="46">
        <f>0.37*Model!$B$10*(Q527^2*(N527-K527)*I527/(R527*O527^2))^0.33333*(N527-K527)</f>
        <v>191413.42248087085</v>
      </c>
      <c r="T527" s="51">
        <f>Model!$B$32+(90-Model!$B$6)*SIN(RADIANS(-15*(E527+6)))</f>
        <v>-22.350839218647401</v>
      </c>
      <c r="U527" s="46">
        <f t="shared" si="166"/>
        <v>0</v>
      </c>
      <c r="V527" s="51">
        <f t="shared" si="167"/>
        <v>99999</v>
      </c>
      <c r="W527" s="46">
        <f t="shared" si="168"/>
        <v>4.2253521126760563E-2</v>
      </c>
      <c r="X527" s="46">
        <f>0.3*W527*Model!$B$9</f>
        <v>3.8275201289827652</v>
      </c>
      <c r="Y527" s="17">
        <f>(S527-X527)/Model!$B$11</f>
        <v>4.1061803059260294E-3</v>
      </c>
      <c r="Z527" s="46">
        <f t="shared" si="169"/>
        <v>1.9996090552977146E-3</v>
      </c>
      <c r="AA527" s="57">
        <f>Y527/Model!$B$12*3600</f>
        <v>26.585583564288847</v>
      </c>
      <c r="AB527" s="51">
        <f t="shared" si="174"/>
        <v>221.01805807254593</v>
      </c>
      <c r="AC527" s="51">
        <f t="shared" si="158"/>
        <v>1578.981941927454</v>
      </c>
      <c r="AD527" s="13">
        <f>IF(AE527=0, Model!$B$19, 0 )</f>
        <v>0</v>
      </c>
      <c r="AE527" s="51">
        <f>IF(AE526+AB526-AB527&lt;Model!$B$19*Model!$B$18, AE526+AB526-AB527,  0)</f>
        <v>222.61651563356762</v>
      </c>
      <c r="AF527" s="13">
        <f t="shared" si="170"/>
        <v>26.250000000000238</v>
      </c>
      <c r="AG527" s="50">
        <f t="shared" si="171"/>
        <v>0.99</v>
      </c>
    </row>
    <row r="528" spans="2:33" x14ac:dyDescent="0.25">
      <c r="B528" s="15">
        <f t="shared" si="172"/>
        <v>26.300000000000239</v>
      </c>
      <c r="C528" s="15">
        <f>B528+Model!$B$4</f>
        <v>28.300000000000239</v>
      </c>
      <c r="D528" s="15">
        <f t="shared" si="173"/>
        <v>2</v>
      </c>
      <c r="E528" s="15">
        <f t="shared" si="159"/>
        <v>4.3000000000002387</v>
      </c>
      <c r="F528" s="16">
        <f>IF(AB528&gt;0, VLOOKUP(B528,Model!$A$40:$B$60, 2), 0)</f>
        <v>300</v>
      </c>
      <c r="G528" s="15">
        <f>IF(AB528&gt;0, VLOOKUP(B528,Model!$A$39:$C$58, 3), 0)</f>
        <v>1</v>
      </c>
      <c r="H528" s="15">
        <f t="shared" si="160"/>
        <v>97</v>
      </c>
      <c r="I528" s="45">
        <f>Model!$B$21*EXP((-0.029*9.81*F528)/(8.31*(273+J528)))</f>
        <v>100357.4491247143</v>
      </c>
      <c r="J528" s="15">
        <f>IF(Model!$B$31="Summer",  IF(F528&lt;=2000,  Model!$B$20-Model!$B$35*F528/1000,  IF(F528&lt;Model!$B$36,  Model!$B$33-6.5*F528/1000,  Model!$B$38)),     IF(F528&lt;=2000,  Model!$B$20-Model!$B$35*F528/1000,  IF(F528&lt;Model!$B$36,  Model!$B$33-5.4*F528/1000,   Model!$B$38)))</f>
        <v>-19.088750000000001</v>
      </c>
      <c r="K528" s="15">
        <f t="shared" si="161"/>
        <v>253.91125</v>
      </c>
      <c r="L528" s="45">
        <f>IF(AB527-AA527*(B528-B527)&gt;0, L527-Y527*(B528-B527)*3600-AD528*Model!$B$16, 0)</f>
        <v>643.1524532847227</v>
      </c>
      <c r="M528" s="56">
        <f t="shared" si="162"/>
        <v>14.956626232337442</v>
      </c>
      <c r="N528" s="56">
        <f>Model!$B$13*I528*K528/(Model!$B$13*I528-L528*287*K528)</f>
        <v>287.95662623233744</v>
      </c>
      <c r="O528" s="56">
        <f t="shared" si="163"/>
        <v>270.93393811616875</v>
      </c>
      <c r="P528" s="56">
        <f t="shared" si="164"/>
        <v>-2.0657801936904345</v>
      </c>
      <c r="Q528" s="62">
        <f t="shared" si="165"/>
        <v>2.3853309606247982E-2</v>
      </c>
      <c r="R528" s="33">
        <f t="shared" si="157"/>
        <v>1.3385129564081548E-5</v>
      </c>
      <c r="S528" s="45">
        <f>0.37*Model!$B$10*(Q528^2*(N528-K528)*I528/(R528*O528^2))^0.33333*(N528-K528)</f>
        <v>191094.25341967039</v>
      </c>
      <c r="T528" s="50">
        <f>Model!$B$32+(90-Model!$B$6)*SIN(RADIANS(-15*(E528+6)))</f>
        <v>-21.938623449272676</v>
      </c>
      <c r="U528" s="45">
        <f t="shared" si="166"/>
        <v>0</v>
      </c>
      <c r="V528" s="50">
        <f t="shared" si="167"/>
        <v>99999</v>
      </c>
      <c r="W528" s="45">
        <f t="shared" si="168"/>
        <v>4.2253521126760563E-2</v>
      </c>
      <c r="X528" s="45">
        <f>0.3*W528*Model!$B$9</f>
        <v>3.8275201289827652</v>
      </c>
      <c r="Y528" s="33">
        <f>(S528-X528)/Model!$B$11</f>
        <v>4.0993333883844558E-3</v>
      </c>
      <c r="Z528" s="45">
        <f t="shared" si="169"/>
        <v>2.0029488383290009E-3</v>
      </c>
      <c r="AA528" s="56">
        <f>Y528/Model!$B$12*3600</f>
        <v>26.541252997948011</v>
      </c>
      <c r="AB528" s="50">
        <f t="shared" si="174"/>
        <v>219.68877889433148</v>
      </c>
      <c r="AC528" s="50">
        <f t="shared" si="158"/>
        <v>1580.3112211056684</v>
      </c>
      <c r="AD528" s="15">
        <f>IF(AE528=0, Model!$B$19, 0 )</f>
        <v>0</v>
      </c>
      <c r="AE528" s="50">
        <f>IF(AE527+AB527-AB528&lt;Model!$B$19*Model!$B$18, AE527+AB527-AB528,  0)</f>
        <v>223.94579481178206</v>
      </c>
      <c r="AF528" s="15">
        <f t="shared" si="170"/>
        <v>26.300000000000239</v>
      </c>
      <c r="AG528" s="50">
        <f t="shared" si="171"/>
        <v>0.99</v>
      </c>
    </row>
    <row r="529" spans="2:33" x14ac:dyDescent="0.25">
      <c r="B529" s="13">
        <f t="shared" si="172"/>
        <v>26.350000000000239</v>
      </c>
      <c r="C529" s="13">
        <f>B529+Model!$B$4</f>
        <v>28.350000000000239</v>
      </c>
      <c r="D529" s="13">
        <f t="shared" si="173"/>
        <v>2</v>
      </c>
      <c r="E529" s="13">
        <f t="shared" si="159"/>
        <v>4.3500000000002395</v>
      </c>
      <c r="F529" s="14">
        <f>IF(AB529&gt;0, VLOOKUP(B529,Model!$A$40:$B$60, 2), 0)</f>
        <v>300</v>
      </c>
      <c r="G529" s="13">
        <f>IF(AB529&gt;0, VLOOKUP(B529,Model!$A$39:$C$58, 3), 0)</f>
        <v>1</v>
      </c>
      <c r="H529" s="13">
        <f t="shared" si="160"/>
        <v>97</v>
      </c>
      <c r="I529" s="46">
        <f>Model!$B$21*EXP((-0.029*9.81*F529)/(8.31*(273+J529)))</f>
        <v>100357.4491247143</v>
      </c>
      <c r="J529" s="13">
        <f>IF(Model!$B$31="Summer",  IF(F529&lt;=2000,  Model!$B$20-Model!$B$35*F529/1000,  IF(F529&lt;Model!$B$36,  Model!$B$33-6.5*F529/1000,  Model!$B$38)),     IF(F529&lt;=2000,  Model!$B$20-Model!$B$35*F529/1000,  IF(F529&lt;Model!$B$36,  Model!$B$33-5.4*F529/1000,   Model!$B$38)))</f>
        <v>-19.088750000000001</v>
      </c>
      <c r="K529" s="13">
        <f t="shared" si="161"/>
        <v>253.91125</v>
      </c>
      <c r="L529" s="46">
        <f>IF(AB528-AA528*(B529-B528)&gt;0, L528-Y528*(B529-B528)*3600-AD529*Model!$B$16, 0)</f>
        <v>642.41457327481351</v>
      </c>
      <c r="M529" s="57">
        <f t="shared" si="162"/>
        <v>14.912335967020226</v>
      </c>
      <c r="N529" s="57">
        <f>Model!$B$13*I529*K529/(Model!$B$13*I529-L529*287*K529)</f>
        <v>287.91233596702023</v>
      </c>
      <c r="O529" s="57">
        <f t="shared" si="163"/>
        <v>270.91179298351011</v>
      </c>
      <c r="P529" s="57">
        <f t="shared" si="164"/>
        <v>-2.0879253263490423</v>
      </c>
      <c r="Q529" s="63">
        <f t="shared" si="165"/>
        <v>2.3851737301829219E-2</v>
      </c>
      <c r="R529" s="17">
        <f t="shared" si="157"/>
        <v>1.3382826470285052E-5</v>
      </c>
      <c r="S529" s="46">
        <f>0.37*Model!$B$10*(Q529^2*(N529-K529)*I529/(R529*O529^2))^0.33333*(N529-K529)</f>
        <v>190775.81654817917</v>
      </c>
      <c r="T529" s="51">
        <f>Model!$B$32+(90-Model!$B$6)*SIN(RADIANS(-15*(E529+6)))</f>
        <v>-21.523825874792326</v>
      </c>
      <c r="U529" s="46">
        <f t="shared" si="166"/>
        <v>0</v>
      </c>
      <c r="V529" s="51">
        <f t="shared" si="167"/>
        <v>99999</v>
      </c>
      <c r="W529" s="46">
        <f t="shared" si="168"/>
        <v>4.2253521126760563E-2</v>
      </c>
      <c r="X529" s="46">
        <f>0.3*W529*Model!$B$9</f>
        <v>3.8275201289827652</v>
      </c>
      <c r="Y529" s="17">
        <f>(S529-X529)/Model!$B$11</f>
        <v>4.0925021780124464E-3</v>
      </c>
      <c r="Z529" s="46">
        <f t="shared" si="169"/>
        <v>2.006292096260613E-3</v>
      </c>
      <c r="AA529" s="57">
        <f>Y529/Model!$B$12*3600</f>
        <v>26.497024128132381</v>
      </c>
      <c r="AB529" s="51">
        <f t="shared" si="174"/>
        <v>218.36171624443406</v>
      </c>
      <c r="AC529" s="51">
        <f t="shared" si="158"/>
        <v>1581.6382837555659</v>
      </c>
      <c r="AD529" s="13">
        <f>IF(AE529=0, Model!$B$19, 0 )</f>
        <v>0</v>
      </c>
      <c r="AE529" s="51">
        <f>IF(AE528+AB528-AB529&lt;Model!$B$19*Model!$B$18, AE528+AB528-AB529,  0)</f>
        <v>225.27285746167948</v>
      </c>
      <c r="AF529" s="13">
        <f t="shared" si="170"/>
        <v>26.350000000000239</v>
      </c>
      <c r="AG529" s="50">
        <f t="shared" si="171"/>
        <v>0.99</v>
      </c>
    </row>
    <row r="530" spans="2:33" x14ac:dyDescent="0.25">
      <c r="B530" s="15">
        <f t="shared" si="172"/>
        <v>26.40000000000024</v>
      </c>
      <c r="C530" s="15">
        <f>B530+Model!$B$4</f>
        <v>28.40000000000024</v>
      </c>
      <c r="D530" s="15">
        <f t="shared" si="173"/>
        <v>2</v>
      </c>
      <c r="E530" s="15">
        <f t="shared" si="159"/>
        <v>4.4000000000002402</v>
      </c>
      <c r="F530" s="16">
        <f>IF(AB530&gt;0, VLOOKUP(B530,Model!$A$40:$B$60, 2), 0)</f>
        <v>300</v>
      </c>
      <c r="G530" s="15">
        <f>IF(AB530&gt;0, VLOOKUP(B530,Model!$A$39:$C$58, 3), 0)</f>
        <v>1</v>
      </c>
      <c r="H530" s="15">
        <f t="shared" si="160"/>
        <v>97</v>
      </c>
      <c r="I530" s="45">
        <f>Model!$B$21*EXP((-0.029*9.81*F530)/(8.31*(273+J530)))</f>
        <v>100357.4491247143</v>
      </c>
      <c r="J530" s="15">
        <f>IF(Model!$B$31="Summer",  IF(F530&lt;=2000,  Model!$B$20-Model!$B$35*F530/1000,  IF(F530&lt;Model!$B$36,  Model!$B$33-6.5*F530/1000,  Model!$B$38)),     IF(F530&lt;=2000,  Model!$B$20-Model!$B$35*F530/1000,  IF(F530&lt;Model!$B$36,  Model!$B$33-5.4*F530/1000,   Model!$B$38)))</f>
        <v>-19.088750000000001</v>
      </c>
      <c r="K530" s="15">
        <f t="shared" si="161"/>
        <v>253.91125</v>
      </c>
      <c r="L530" s="45">
        <f>IF(AB529-AA529*(B530-B529)&gt;0, L529-Y529*(B530-B529)*3600-AD530*Model!$B$16, 0)</f>
        <v>641.67792288277121</v>
      </c>
      <c r="M530" s="56">
        <f t="shared" si="162"/>
        <v>14.868133096220618</v>
      </c>
      <c r="N530" s="56">
        <f>Model!$B$13*I530*K530/(Model!$B$13*I530-L530*287*K530)</f>
        <v>287.86813309622062</v>
      </c>
      <c r="O530" s="56">
        <f t="shared" si="163"/>
        <v>270.88969154811031</v>
      </c>
      <c r="P530" s="56">
        <f t="shared" si="164"/>
        <v>-2.1100267617488466</v>
      </c>
      <c r="Q530" s="62">
        <f t="shared" si="165"/>
        <v>2.3850168099915831E-2</v>
      </c>
      <c r="R530" s="33">
        <f t="shared" si="157"/>
        <v>1.3380527921003471E-5</v>
      </c>
      <c r="S530" s="45">
        <f>0.37*Model!$B$10*(Q530^2*(N530-K530)*I530/(R530*O530^2))^0.33333*(N530-K530)</f>
        <v>190458.10964631799</v>
      </c>
      <c r="T530" s="50">
        <f>Model!$B$32+(90-Model!$B$6)*SIN(RADIANS(-15*(E530+6)))</f>
        <v>-21.106517568635322</v>
      </c>
      <c r="U530" s="45">
        <f t="shared" si="166"/>
        <v>0</v>
      </c>
      <c r="V530" s="50">
        <f t="shared" si="167"/>
        <v>99999</v>
      </c>
      <c r="W530" s="45">
        <f t="shared" si="168"/>
        <v>4.2253521126760563E-2</v>
      </c>
      <c r="X530" s="45">
        <f>0.3*W530*Model!$B$9</f>
        <v>3.8275201289827652</v>
      </c>
      <c r="Y530" s="33">
        <f>(S530-X530)/Model!$B$11</f>
        <v>4.0856866271841465E-3</v>
      </c>
      <c r="Z530" s="45">
        <f t="shared" si="169"/>
        <v>2.0096388313894831E-3</v>
      </c>
      <c r="AA530" s="56">
        <f>Y530/Model!$B$12*3600</f>
        <v>26.452896646486987</v>
      </c>
      <c r="AB530" s="50">
        <f t="shared" si="174"/>
        <v>217.03686503802743</v>
      </c>
      <c r="AC530" s="50">
        <f t="shared" si="158"/>
        <v>1582.9631349619726</v>
      </c>
      <c r="AD530" s="15">
        <f>IF(AE530=0, Model!$B$19, 0 )</f>
        <v>0</v>
      </c>
      <c r="AE530" s="50">
        <f>IF(AE529+AB529-AB530&lt;Model!$B$19*Model!$B$18, AE529+AB529-AB530,  0)</f>
        <v>226.59770866808611</v>
      </c>
      <c r="AF530" s="15">
        <f t="shared" si="170"/>
        <v>26.40000000000024</v>
      </c>
      <c r="AG530" s="50">
        <f t="shared" si="171"/>
        <v>0.99</v>
      </c>
    </row>
    <row r="531" spans="2:33" x14ac:dyDescent="0.25">
      <c r="B531" s="13">
        <f t="shared" si="172"/>
        <v>26.450000000000241</v>
      </c>
      <c r="C531" s="13">
        <f>B531+Model!$B$4</f>
        <v>28.450000000000241</v>
      </c>
      <c r="D531" s="13">
        <f t="shared" si="173"/>
        <v>2</v>
      </c>
      <c r="E531" s="13">
        <f t="shared" si="159"/>
        <v>4.4500000000002409</v>
      </c>
      <c r="F531" s="14">
        <f>IF(AB531&gt;0, VLOOKUP(B531,Model!$A$40:$B$60, 2), 0)</f>
        <v>300</v>
      </c>
      <c r="G531" s="13">
        <f>IF(AB531&gt;0, VLOOKUP(B531,Model!$A$39:$C$58, 3), 0)</f>
        <v>1</v>
      </c>
      <c r="H531" s="13">
        <f t="shared" si="160"/>
        <v>97</v>
      </c>
      <c r="I531" s="46">
        <f>Model!$B$21*EXP((-0.029*9.81*F531)/(8.31*(273+J531)))</f>
        <v>100357.4491247143</v>
      </c>
      <c r="J531" s="13">
        <f>IF(Model!$B$31="Summer",  IF(F531&lt;=2000,  Model!$B$20-Model!$B$35*F531/1000,  IF(F531&lt;Model!$B$36,  Model!$B$33-6.5*F531/1000,  Model!$B$38)),     IF(F531&lt;=2000,  Model!$B$20-Model!$B$35*F531/1000,  IF(F531&lt;Model!$B$36,  Model!$B$33-5.4*F531/1000,   Model!$B$38)))</f>
        <v>-19.088750000000001</v>
      </c>
      <c r="K531" s="13">
        <f t="shared" si="161"/>
        <v>253.91125</v>
      </c>
      <c r="L531" s="46">
        <f>IF(AB530-AA530*(B531-B530)&gt;0, L530-Y530*(B531-B530)*3600-AD531*Model!$B$16, 0)</f>
        <v>640.94249928987801</v>
      </c>
      <c r="M531" s="57">
        <f t="shared" si="162"/>
        <v>14.824017376653671</v>
      </c>
      <c r="N531" s="57">
        <f>Model!$B$13*I531*K531/(Model!$B$13*I531-L531*287*K531)</f>
        <v>287.82401737665367</v>
      </c>
      <c r="O531" s="57">
        <f t="shared" si="163"/>
        <v>270.8676336883268</v>
      </c>
      <c r="P531" s="57">
        <f t="shared" si="164"/>
        <v>-2.1320846215323197</v>
      </c>
      <c r="Q531" s="63">
        <f t="shared" si="165"/>
        <v>2.3848601991871204E-2</v>
      </c>
      <c r="R531" s="17">
        <f t="shared" si="157"/>
        <v>1.3378233903585987E-5</v>
      </c>
      <c r="S531" s="46">
        <f>0.37*Model!$B$10*(Q531^2*(N531-K531)*I531/(R531*O531^2))^0.33333*(N531-K531)</f>
        <v>190141.13050259289</v>
      </c>
      <c r="T531" s="51">
        <f>Model!$B$32+(90-Model!$B$6)*SIN(RADIANS(-15*(E531+6)))</f>
        <v>-20.686770034431653</v>
      </c>
      <c r="U531" s="46">
        <f t="shared" si="166"/>
        <v>0</v>
      </c>
      <c r="V531" s="51">
        <f t="shared" si="167"/>
        <v>99999</v>
      </c>
      <c r="W531" s="46">
        <f t="shared" si="168"/>
        <v>4.2253521126760563E-2</v>
      </c>
      <c r="X531" s="46">
        <f>0.3*W531*Model!$B$9</f>
        <v>3.8275201289827652</v>
      </c>
      <c r="Y531" s="17">
        <f>(S531-X531)/Model!$B$11</f>
        <v>4.0788866884578761E-3</v>
      </c>
      <c r="Z531" s="46">
        <f t="shared" si="169"/>
        <v>2.0129890460131509E-3</v>
      </c>
      <c r="AA531" s="57">
        <f>Y531/Model!$B$12*3600</f>
        <v>26.408870245849293</v>
      </c>
      <c r="AB531" s="51">
        <f t="shared" si="174"/>
        <v>215.71422020570307</v>
      </c>
      <c r="AC531" s="51">
        <f t="shared" si="158"/>
        <v>1584.285779794297</v>
      </c>
      <c r="AD531" s="13">
        <f>IF(AE531=0, Model!$B$19, 0 )</f>
        <v>0</v>
      </c>
      <c r="AE531" s="51">
        <f>IF(AE530+AB530-AB531&lt;Model!$B$19*Model!$B$18, AE530+AB530-AB531,  0)</f>
        <v>227.92035350041047</v>
      </c>
      <c r="AF531" s="13">
        <f t="shared" si="170"/>
        <v>26.450000000000241</v>
      </c>
      <c r="AG531" s="50">
        <f t="shared" si="171"/>
        <v>0.99</v>
      </c>
    </row>
    <row r="532" spans="2:33" x14ac:dyDescent="0.25">
      <c r="B532" s="15">
        <f t="shared" si="172"/>
        <v>26.500000000000242</v>
      </c>
      <c r="C532" s="15">
        <f>B532+Model!$B$4</f>
        <v>28.500000000000242</v>
      </c>
      <c r="D532" s="15">
        <f t="shared" si="173"/>
        <v>2</v>
      </c>
      <c r="E532" s="15">
        <f t="shared" si="159"/>
        <v>4.5000000000002416</v>
      </c>
      <c r="F532" s="16">
        <f>IF(AB532&gt;0, VLOOKUP(B532,Model!$A$40:$B$60, 2), 0)</f>
        <v>300</v>
      </c>
      <c r="G532" s="15">
        <f>IF(AB532&gt;0, VLOOKUP(B532,Model!$A$39:$C$58, 3), 0)</f>
        <v>1</v>
      </c>
      <c r="H532" s="15">
        <f t="shared" si="160"/>
        <v>97</v>
      </c>
      <c r="I532" s="45">
        <f>Model!$B$21*EXP((-0.029*9.81*F532)/(8.31*(273+J532)))</f>
        <v>100357.4491247143</v>
      </c>
      <c r="J532" s="15">
        <f>IF(Model!$B$31="Summer",  IF(F532&lt;=2000,  Model!$B$20-Model!$B$35*F532/1000,  IF(F532&lt;Model!$B$36,  Model!$B$33-6.5*F532/1000,  Model!$B$38)),     IF(F532&lt;=2000,  Model!$B$20-Model!$B$35*F532/1000,  IF(F532&lt;Model!$B$36,  Model!$B$33-5.4*F532/1000,   Model!$B$38)))</f>
        <v>-19.088750000000001</v>
      </c>
      <c r="K532" s="15">
        <f t="shared" si="161"/>
        <v>253.91125</v>
      </c>
      <c r="L532" s="45">
        <f>IF(AB531-AA531*(B532-B531)&gt;0, L531-Y531*(B532-B531)*3600-AD532*Model!$B$16, 0)</f>
        <v>640.20829968595558</v>
      </c>
      <c r="M532" s="56">
        <f t="shared" si="162"/>
        <v>14.77998856593274</v>
      </c>
      <c r="N532" s="56">
        <f>Model!$B$13*I532*K532/(Model!$B$13*I532-L532*287*K532)</f>
        <v>287.77998856593274</v>
      </c>
      <c r="O532" s="56">
        <f t="shared" si="163"/>
        <v>270.84561928296637</v>
      </c>
      <c r="P532" s="56">
        <f t="shared" si="164"/>
        <v>-2.1540990268927853</v>
      </c>
      <c r="Q532" s="62">
        <f t="shared" si="165"/>
        <v>2.3847038969090614E-2</v>
      </c>
      <c r="R532" s="33">
        <f t="shared" si="157"/>
        <v>1.3375944405428501E-5</v>
      </c>
      <c r="S532" s="45">
        <f>0.37*Model!$B$10*(Q532^2*(N532-K532)*I532/(R532*O532^2))^0.33333*(N532-K532)</f>
        <v>189824.87691405011</v>
      </c>
      <c r="T532" s="50">
        <f>Model!$B$32+(90-Model!$B$6)*SIN(RADIANS(-15*(E532+6)))</f>
        <v>-20.264655193760415</v>
      </c>
      <c r="U532" s="45">
        <f t="shared" si="166"/>
        <v>0</v>
      </c>
      <c r="V532" s="50">
        <f t="shared" si="167"/>
        <v>99999</v>
      </c>
      <c r="W532" s="45">
        <f t="shared" si="168"/>
        <v>4.2253521126760563E-2</v>
      </c>
      <c r="X532" s="45">
        <f>0.3*W532*Model!$B$9</f>
        <v>3.8275201289827652</v>
      </c>
      <c r="Y532" s="33">
        <f>(S532-X532)/Model!$B$11</f>
        <v>4.0721023145751612E-3</v>
      </c>
      <c r="Z532" s="45">
        <f t="shared" si="169"/>
        <v>2.0163427424298077E-3</v>
      </c>
      <c r="AA532" s="56">
        <f>Y532/Model!$B$12*3600</f>
        <v>26.364944620242941</v>
      </c>
      <c r="AB532" s="50">
        <f t="shared" si="174"/>
        <v>214.39377669341059</v>
      </c>
      <c r="AC532" s="50">
        <f t="shared" si="158"/>
        <v>1585.6062233065895</v>
      </c>
      <c r="AD532" s="15">
        <f>IF(AE532=0, Model!$B$19, 0 )</f>
        <v>0</v>
      </c>
      <c r="AE532" s="50">
        <f>IF(AE531+AB531-AB532&lt;Model!$B$19*Model!$B$18, AE531+AB531-AB532,  0)</f>
        <v>229.24079701270296</v>
      </c>
      <c r="AF532" s="15">
        <f t="shared" si="170"/>
        <v>26.500000000000242</v>
      </c>
      <c r="AG532" s="50">
        <f t="shared" si="171"/>
        <v>0.99</v>
      </c>
    </row>
    <row r="533" spans="2:33" x14ac:dyDescent="0.25">
      <c r="B533" s="13">
        <f t="shared" si="172"/>
        <v>26.550000000000242</v>
      </c>
      <c r="C533" s="13">
        <f>B533+Model!$B$4</f>
        <v>28.550000000000242</v>
      </c>
      <c r="D533" s="13">
        <f t="shared" si="173"/>
        <v>2</v>
      </c>
      <c r="E533" s="13">
        <f t="shared" si="159"/>
        <v>4.5500000000002423</v>
      </c>
      <c r="F533" s="14">
        <f>IF(AB533&gt;0, VLOOKUP(B533,Model!$A$40:$B$60, 2), 0)</f>
        <v>300</v>
      </c>
      <c r="G533" s="13">
        <f>IF(AB533&gt;0, VLOOKUP(B533,Model!$A$39:$C$58, 3), 0)</f>
        <v>1</v>
      </c>
      <c r="H533" s="13">
        <f t="shared" si="160"/>
        <v>97</v>
      </c>
      <c r="I533" s="46">
        <f>Model!$B$21*EXP((-0.029*9.81*F533)/(8.31*(273+J533)))</f>
        <v>100357.4491247143</v>
      </c>
      <c r="J533" s="13">
        <f>IF(Model!$B$31="Summer",  IF(F533&lt;=2000,  Model!$B$20-Model!$B$35*F533/1000,  IF(F533&lt;Model!$B$36,  Model!$B$33-6.5*F533/1000,  Model!$B$38)),     IF(F533&lt;=2000,  Model!$B$20-Model!$B$35*F533/1000,  IF(F533&lt;Model!$B$36,  Model!$B$33-5.4*F533/1000,   Model!$B$38)))</f>
        <v>-19.088750000000001</v>
      </c>
      <c r="K533" s="13">
        <f t="shared" si="161"/>
        <v>253.91125</v>
      </c>
      <c r="L533" s="46">
        <f>IF(AB532-AA532*(B533-B532)&gt;0, L532-Y532*(B533-B532)*3600-AD533*Model!$B$16, 0)</f>
        <v>639.47532126933208</v>
      </c>
      <c r="M533" s="57">
        <f t="shared" si="162"/>
        <v>14.736046422566062</v>
      </c>
      <c r="N533" s="57">
        <f>Model!$B$13*I533*K533/(Model!$B$13*I533-L533*287*K533)</f>
        <v>287.73604642256606</v>
      </c>
      <c r="O533" s="57">
        <f t="shared" si="163"/>
        <v>270.82364821128306</v>
      </c>
      <c r="P533" s="57">
        <f t="shared" si="164"/>
        <v>-2.1760700985761243</v>
      </c>
      <c r="Q533" s="63">
        <f t="shared" si="165"/>
        <v>2.3845479023001097E-2</v>
      </c>
      <c r="R533" s="17">
        <f t="shared" si="157"/>
        <v>1.3373659413973436E-5</v>
      </c>
      <c r="S533" s="46">
        <f>0.37*Model!$B$10*(Q533^2*(N533-K533)*I533/(R533*O533^2))^0.33333*(N533-K533)</f>
        <v>189509.3466862411</v>
      </c>
      <c r="T533" s="51">
        <f>Model!$B$32+(90-Model!$B$6)*SIN(RADIANS(-15*(E533+6)))</f>
        <v>-19.840245373826527</v>
      </c>
      <c r="U533" s="46">
        <f t="shared" si="166"/>
        <v>0</v>
      </c>
      <c r="V533" s="51">
        <f t="shared" si="167"/>
        <v>99999</v>
      </c>
      <c r="W533" s="46">
        <f t="shared" si="168"/>
        <v>4.2253521126760563E-2</v>
      </c>
      <c r="X533" s="46">
        <f>0.3*W533*Model!$B$9</f>
        <v>3.8275201289827652</v>
      </c>
      <c r="Y533" s="17">
        <f>(S533-X533)/Model!$B$11</f>
        <v>4.0653334584599835E-3</v>
      </c>
      <c r="Z533" s="46">
        <f t="shared" si="169"/>
        <v>2.0196999229382356E-3</v>
      </c>
      <c r="AA533" s="57">
        <f>Y533/Model!$B$12*3600</f>
        <v>26.321119464872876</v>
      </c>
      <c r="AB533" s="51">
        <f t="shared" si="174"/>
        <v>213.07552946239841</v>
      </c>
      <c r="AC533" s="51">
        <f t="shared" si="158"/>
        <v>1586.9244705376016</v>
      </c>
      <c r="AD533" s="13">
        <f>IF(AE533=0, Model!$B$19, 0 )</f>
        <v>0</v>
      </c>
      <c r="AE533" s="51">
        <f>IF(AE532+AB532-AB533&lt;Model!$B$19*Model!$B$18, AE532+AB532-AB533,  0)</f>
        <v>230.55904424371514</v>
      </c>
      <c r="AF533" s="13">
        <f t="shared" si="170"/>
        <v>26.550000000000242</v>
      </c>
      <c r="AG533" s="50">
        <f t="shared" si="171"/>
        <v>0.99</v>
      </c>
    </row>
    <row r="534" spans="2:33" x14ac:dyDescent="0.25">
      <c r="B534" s="15">
        <f t="shared" si="172"/>
        <v>26.600000000000243</v>
      </c>
      <c r="C534" s="15">
        <f>B534+Model!$B$4</f>
        <v>28.600000000000243</v>
      </c>
      <c r="D534" s="15">
        <f t="shared" si="173"/>
        <v>2</v>
      </c>
      <c r="E534" s="15">
        <f t="shared" si="159"/>
        <v>4.600000000000243</v>
      </c>
      <c r="F534" s="16">
        <f>IF(AB534&gt;0, VLOOKUP(B534,Model!$A$40:$B$60, 2), 0)</f>
        <v>300</v>
      </c>
      <c r="G534" s="15">
        <f>IF(AB534&gt;0, VLOOKUP(B534,Model!$A$39:$C$58, 3), 0)</f>
        <v>1</v>
      </c>
      <c r="H534" s="15">
        <f t="shared" si="160"/>
        <v>97</v>
      </c>
      <c r="I534" s="45">
        <f>Model!$B$21*EXP((-0.029*9.81*F534)/(8.31*(273+J534)))</f>
        <v>100357.4491247143</v>
      </c>
      <c r="J534" s="15">
        <f>IF(Model!$B$31="Summer",  IF(F534&lt;=2000,  Model!$B$20-Model!$B$35*F534/1000,  IF(F534&lt;Model!$B$36,  Model!$B$33-6.5*F534/1000,  Model!$B$38)),     IF(F534&lt;=2000,  Model!$B$20-Model!$B$35*F534/1000,  IF(F534&lt;Model!$B$36,  Model!$B$33-5.4*F534/1000,   Model!$B$38)))</f>
        <v>-19.088750000000001</v>
      </c>
      <c r="K534" s="15">
        <f t="shared" si="161"/>
        <v>253.91125</v>
      </c>
      <c r="L534" s="45">
        <f>IF(AB533-AA533*(B534-B533)&gt;0, L533-Y533*(B534-B533)*3600-AD534*Model!$B$16, 0)</f>
        <v>638.74356124680924</v>
      </c>
      <c r="M534" s="56">
        <f t="shared" si="162"/>
        <v>14.692190705951873</v>
      </c>
      <c r="N534" s="56">
        <f>Model!$B$13*I534*K534/(Model!$B$13*I534-L534*287*K534)</f>
        <v>287.69219070595187</v>
      </c>
      <c r="O534" s="56">
        <f t="shared" si="163"/>
        <v>270.80172035297596</v>
      </c>
      <c r="P534" s="56">
        <f t="shared" si="164"/>
        <v>-2.1979979568832189</v>
      </c>
      <c r="Q534" s="62">
        <f t="shared" si="165"/>
        <v>2.3843922145061293E-2</v>
      </c>
      <c r="R534" s="33">
        <f t="shared" si="157"/>
        <v>1.3371378916709498E-5</v>
      </c>
      <c r="S534" s="45">
        <f>0.37*Model!$B$10*(Q534^2*(N534-K534)*I534/(R534*O534^2))^0.33333*(N534-K534)</f>
        <v>189194.53763317678</v>
      </c>
      <c r="T534" s="50">
        <f>Model!$B$32+(90-Model!$B$6)*SIN(RADIANS(-15*(E534+6)))</f>
        <v>-19.413613295067755</v>
      </c>
      <c r="U534" s="45">
        <f t="shared" si="166"/>
        <v>0</v>
      </c>
      <c r="V534" s="50">
        <f t="shared" si="167"/>
        <v>99999</v>
      </c>
      <c r="W534" s="45">
        <f t="shared" si="168"/>
        <v>4.2253521126760563E-2</v>
      </c>
      <c r="X534" s="45">
        <f>0.3*W534*Model!$B$9</f>
        <v>3.8275201289827652</v>
      </c>
      <c r="Y534" s="33">
        <f>(S534-X534)/Model!$B$11</f>
        <v>4.0585800732178007E-3</v>
      </c>
      <c r="Z534" s="45">
        <f t="shared" si="169"/>
        <v>2.0230605898378636E-3</v>
      </c>
      <c r="AA534" s="56">
        <f>Y534/Model!$B$12*3600</f>
        <v>26.277394476119028</v>
      </c>
      <c r="AB534" s="50">
        <f t="shared" si="174"/>
        <v>211.75947348915474</v>
      </c>
      <c r="AC534" s="50">
        <f t="shared" si="158"/>
        <v>1588.2405265108453</v>
      </c>
      <c r="AD534" s="15">
        <f>IF(AE534=0, Model!$B$19, 0 )</f>
        <v>0</v>
      </c>
      <c r="AE534" s="50">
        <f>IF(AE533+AB533-AB534&lt;Model!$B$19*Model!$B$18, AE533+AB533-AB534,  0)</f>
        <v>231.8751002169588</v>
      </c>
      <c r="AF534" s="15">
        <f t="shared" si="170"/>
        <v>26.600000000000243</v>
      </c>
      <c r="AG534" s="50">
        <f t="shared" si="171"/>
        <v>0.99</v>
      </c>
    </row>
    <row r="535" spans="2:33" x14ac:dyDescent="0.25">
      <c r="B535" s="13">
        <f t="shared" si="172"/>
        <v>26.650000000000244</v>
      </c>
      <c r="C535" s="13">
        <f>B535+Model!$B$4</f>
        <v>28.650000000000244</v>
      </c>
      <c r="D535" s="13">
        <f t="shared" si="173"/>
        <v>2</v>
      </c>
      <c r="E535" s="13">
        <f t="shared" si="159"/>
        <v>4.6500000000002437</v>
      </c>
      <c r="F535" s="14">
        <f>IF(AB535&gt;0, VLOOKUP(B535,Model!$A$40:$B$60, 2), 0)</f>
        <v>300</v>
      </c>
      <c r="G535" s="13">
        <f>IF(AB535&gt;0, VLOOKUP(B535,Model!$A$39:$C$58, 3), 0)</f>
        <v>1</v>
      </c>
      <c r="H535" s="13">
        <f t="shared" si="160"/>
        <v>97</v>
      </c>
      <c r="I535" s="46">
        <f>Model!$B$21*EXP((-0.029*9.81*F535)/(8.31*(273+J535)))</f>
        <v>100357.4491247143</v>
      </c>
      <c r="J535" s="13">
        <f>IF(Model!$B$31="Summer",  IF(F535&lt;=2000,  Model!$B$20-Model!$B$35*F535/1000,  IF(F535&lt;Model!$B$36,  Model!$B$33-6.5*F535/1000,  Model!$B$38)),     IF(F535&lt;=2000,  Model!$B$20-Model!$B$35*F535/1000,  IF(F535&lt;Model!$B$36,  Model!$B$33-5.4*F535/1000,   Model!$B$38)))</f>
        <v>-19.088750000000001</v>
      </c>
      <c r="K535" s="13">
        <f t="shared" si="161"/>
        <v>253.91125</v>
      </c>
      <c r="L535" s="46">
        <f>IF(AB534-AA534*(B535-B534)&gt;0, L534-Y534*(B535-B534)*3600-AD535*Model!$B$16, 0)</f>
        <v>638.01301683362999</v>
      </c>
      <c r="M535" s="57">
        <f t="shared" si="162"/>
        <v>14.648421176374654</v>
      </c>
      <c r="N535" s="57">
        <f>Model!$B$13*I535*K535/(Model!$B$13*I535-L535*287*K535)</f>
        <v>287.64842117637465</v>
      </c>
      <c r="O535" s="57">
        <f t="shared" si="163"/>
        <v>270.77983558818732</v>
      </c>
      <c r="P535" s="57">
        <f t="shared" si="164"/>
        <v>-2.2198827216718282</v>
      </c>
      <c r="Q535" s="63">
        <f t="shared" si="165"/>
        <v>2.3842368326761301E-2</v>
      </c>
      <c r="R535" s="17">
        <f t="shared" si="157"/>
        <v>1.3369102901171481E-5</v>
      </c>
      <c r="S535" s="46">
        <f>0.37*Model!$B$10*(Q535^2*(N535-K535)*I535/(R535*O535^2))^0.33333*(N535-K535)</f>
        <v>188880.44757728995</v>
      </c>
      <c r="T535" s="51">
        <f>Model!$B$32+(90-Model!$B$6)*SIN(RADIANS(-15*(E535+6)))</f>
        <v>-18.984832058694472</v>
      </c>
      <c r="U535" s="46">
        <f t="shared" si="166"/>
        <v>0</v>
      </c>
      <c r="V535" s="51">
        <f t="shared" si="167"/>
        <v>99999</v>
      </c>
      <c r="W535" s="46">
        <f t="shared" si="168"/>
        <v>4.2253521126760563E-2</v>
      </c>
      <c r="X535" s="46">
        <f>0.3*W535*Model!$B$9</f>
        <v>3.8275201289827652</v>
      </c>
      <c r="Y535" s="17">
        <f>(S535-X535)/Model!$B$11</f>
        <v>4.0518421121347415E-3</v>
      </c>
      <c r="Z535" s="46">
        <f t="shared" si="169"/>
        <v>2.0264247454287415E-3</v>
      </c>
      <c r="AA535" s="57">
        <f>Y535/Model!$B$12*3600</f>
        <v>26.23376935153108</v>
      </c>
      <c r="AB535" s="51">
        <f t="shared" si="174"/>
        <v>210.44560376534878</v>
      </c>
      <c r="AC535" s="51">
        <f t="shared" si="158"/>
        <v>1589.5543962346512</v>
      </c>
      <c r="AD535" s="13">
        <f>IF(AE535=0, Model!$B$19, 0 )</f>
        <v>0</v>
      </c>
      <c r="AE535" s="51">
        <f>IF(AE534+AB534-AB535&lt;Model!$B$19*Model!$B$18, AE534+AB534-AB535,  0)</f>
        <v>233.18896994076476</v>
      </c>
      <c r="AF535" s="13">
        <f t="shared" si="170"/>
        <v>26.650000000000244</v>
      </c>
      <c r="AG535" s="50">
        <f t="shared" si="171"/>
        <v>0.99</v>
      </c>
    </row>
    <row r="536" spans="2:33" x14ac:dyDescent="0.25">
      <c r="B536" s="15">
        <f t="shared" si="172"/>
        <v>26.700000000000244</v>
      </c>
      <c r="C536" s="15">
        <f>B536+Model!$B$4</f>
        <v>28.700000000000244</v>
      </c>
      <c r="D536" s="15">
        <f t="shared" si="173"/>
        <v>2</v>
      </c>
      <c r="E536" s="15">
        <f t="shared" si="159"/>
        <v>4.7000000000002444</v>
      </c>
      <c r="F536" s="16">
        <f>IF(AB536&gt;0, VLOOKUP(B536,Model!$A$40:$B$60, 2), 0)</f>
        <v>300</v>
      </c>
      <c r="G536" s="15">
        <f>IF(AB536&gt;0, VLOOKUP(B536,Model!$A$39:$C$58, 3), 0)</f>
        <v>1</v>
      </c>
      <c r="H536" s="15">
        <f t="shared" si="160"/>
        <v>97</v>
      </c>
      <c r="I536" s="45">
        <f>Model!$B$21*EXP((-0.029*9.81*F536)/(8.31*(273+J536)))</f>
        <v>100357.4491247143</v>
      </c>
      <c r="J536" s="15">
        <f>IF(Model!$B$31="Summer",  IF(F536&lt;=2000,  Model!$B$20-Model!$B$35*F536/1000,  IF(F536&lt;Model!$B$36,  Model!$B$33-6.5*F536/1000,  Model!$B$38)),     IF(F536&lt;=2000,  Model!$B$20-Model!$B$35*F536/1000,  IF(F536&lt;Model!$B$36,  Model!$B$33-5.4*F536/1000,   Model!$B$38)))</f>
        <v>-19.088750000000001</v>
      </c>
      <c r="K536" s="15">
        <f t="shared" si="161"/>
        <v>253.91125</v>
      </c>
      <c r="L536" s="45">
        <f>IF(AB535-AA535*(B536-B535)&gt;0, L535-Y535*(B536-B535)*3600-AD536*Model!$B$16, 0)</f>
        <v>637.2836852534457</v>
      </c>
      <c r="M536" s="56">
        <f t="shared" si="162"/>
        <v>14.604737595001097</v>
      </c>
      <c r="N536" s="56">
        <f>Model!$B$13*I536*K536/(Model!$B$13*I536-L536*287*K536)</f>
        <v>287.6047375950011</v>
      </c>
      <c r="O536" s="56">
        <f t="shared" si="163"/>
        <v>270.75799379750055</v>
      </c>
      <c r="P536" s="56">
        <f t="shared" si="164"/>
        <v>-2.2417245123586067</v>
      </c>
      <c r="Q536" s="62">
        <f t="shared" si="165"/>
        <v>2.384081755962254E-2</v>
      </c>
      <c r="R536" s="33">
        <f t="shared" si="157"/>
        <v>1.3366831354940056E-5</v>
      </c>
      <c r="S536" s="45">
        <f>0.37*Model!$B$10*(Q536^2*(N536-K536)*I536/(R536*O536^2))^0.33333*(N536-K536)</f>
        <v>188567.07434939581</v>
      </c>
      <c r="T536" s="50">
        <f>Model!$B$32+(90-Model!$B$6)*SIN(RADIANS(-15*(E536+6)))</f>
        <v>-18.55397513416419</v>
      </c>
      <c r="U536" s="45">
        <f t="shared" si="166"/>
        <v>0</v>
      </c>
      <c r="V536" s="50">
        <f t="shared" si="167"/>
        <v>99999</v>
      </c>
      <c r="W536" s="45">
        <f t="shared" si="168"/>
        <v>4.2253521126760563E-2</v>
      </c>
      <c r="X536" s="45">
        <f>0.3*W536*Model!$B$9</f>
        <v>3.8275201289827652</v>
      </c>
      <c r="Y536" s="33">
        <f>(S536-X536)/Model!$B$11</f>
        <v>4.0451195286767532E-3</v>
      </c>
      <c r="Z536" s="45">
        <f t="shared" si="169"/>
        <v>2.0297923920115321E-3</v>
      </c>
      <c r="AA536" s="56">
        <f>Y536/Model!$B$12*3600</f>
        <v>26.190243789822961</v>
      </c>
      <c r="AB536" s="50">
        <f t="shared" si="174"/>
        <v>209.13391529777221</v>
      </c>
      <c r="AC536" s="50">
        <f t="shared" si="158"/>
        <v>1590.8660847022279</v>
      </c>
      <c r="AD536" s="15">
        <f>IF(AE536=0, Model!$B$19, 0 )</f>
        <v>0</v>
      </c>
      <c r="AE536" s="50">
        <f>IF(AE535+AB535-AB536&lt;Model!$B$19*Model!$B$18, AE535+AB535-AB536,  0)</f>
        <v>234.50065840834134</v>
      </c>
      <c r="AF536" s="15">
        <f t="shared" si="170"/>
        <v>26.700000000000244</v>
      </c>
      <c r="AG536" s="50">
        <f t="shared" si="171"/>
        <v>0.99</v>
      </c>
    </row>
    <row r="537" spans="2:33" x14ac:dyDescent="0.25">
      <c r="B537" s="13">
        <f t="shared" si="172"/>
        <v>26.750000000000245</v>
      </c>
      <c r="C537" s="13">
        <f>B537+Model!$B$4</f>
        <v>28.750000000000245</v>
      </c>
      <c r="D537" s="13">
        <f t="shared" si="173"/>
        <v>2</v>
      </c>
      <c r="E537" s="13">
        <f t="shared" si="159"/>
        <v>4.7500000000002451</v>
      </c>
      <c r="F537" s="14">
        <f>IF(AB537&gt;0, VLOOKUP(B537,Model!$A$40:$B$60, 2), 0)</f>
        <v>300</v>
      </c>
      <c r="G537" s="13">
        <f>IF(AB537&gt;0, VLOOKUP(B537,Model!$A$39:$C$58, 3), 0)</f>
        <v>1</v>
      </c>
      <c r="H537" s="13">
        <f t="shared" si="160"/>
        <v>97</v>
      </c>
      <c r="I537" s="46">
        <f>Model!$B$21*EXP((-0.029*9.81*F537)/(8.31*(273+J537)))</f>
        <v>100357.4491247143</v>
      </c>
      <c r="J537" s="13">
        <f>IF(Model!$B$31="Summer",  IF(F537&lt;=2000,  Model!$B$20-Model!$B$35*F537/1000,  IF(F537&lt;Model!$B$36,  Model!$B$33-6.5*F537/1000,  Model!$B$38)),     IF(F537&lt;=2000,  Model!$B$20-Model!$B$35*F537/1000,  IF(F537&lt;Model!$B$36,  Model!$B$33-5.4*F537/1000,   Model!$B$38)))</f>
        <v>-19.088750000000001</v>
      </c>
      <c r="K537" s="13">
        <f t="shared" si="161"/>
        <v>253.91125</v>
      </c>
      <c r="L537" s="46">
        <f>IF(AB536-AA536*(B537-B536)&gt;0, L536-Y536*(B537-B536)*3600-AD537*Model!$B$16, 0)</f>
        <v>636.55556373828392</v>
      </c>
      <c r="M537" s="57">
        <f t="shared" si="162"/>
        <v>14.561139723875499</v>
      </c>
      <c r="N537" s="57">
        <f>Model!$B$13*I537*K537/(Model!$B$13*I537-L537*287*K537)</f>
        <v>287.5611397238755</v>
      </c>
      <c r="O537" s="57">
        <f t="shared" si="163"/>
        <v>270.73619486193775</v>
      </c>
      <c r="P537" s="57">
        <f t="shared" si="164"/>
        <v>-2.2635234479214059</v>
      </c>
      <c r="Q537" s="63">
        <f t="shared" si="165"/>
        <v>2.3839269835197581E-2</v>
      </c>
      <c r="R537" s="17">
        <f t="shared" si="157"/>
        <v>1.3364564265641525E-5</v>
      </c>
      <c r="S537" s="46">
        <f>0.37*Model!$B$10*(Q537^2*(N537-K537)*I537/(R537*O537^2))^0.33333*(N537-K537)</f>
        <v>188254.41578864871</v>
      </c>
      <c r="T537" s="51">
        <f>Model!$B$32+(90-Model!$B$6)*SIN(RADIANS(-15*(E537+6)))</f>
        <v>-18.121116346592864</v>
      </c>
      <c r="U537" s="46">
        <f t="shared" si="166"/>
        <v>0</v>
      </c>
      <c r="V537" s="51">
        <f t="shared" si="167"/>
        <v>99999</v>
      </c>
      <c r="W537" s="46">
        <f t="shared" si="168"/>
        <v>4.2253521126760563E-2</v>
      </c>
      <c r="X537" s="46">
        <f>0.3*W537*Model!$B$9</f>
        <v>3.8275201289827652</v>
      </c>
      <c r="Y537" s="17">
        <f>(S537-X537)/Model!$B$11</f>
        <v>4.0384122764886782E-3</v>
      </c>
      <c r="Z537" s="46">
        <f t="shared" si="169"/>
        <v>2.0331635318875507E-3</v>
      </c>
      <c r="AA537" s="57">
        <f>Y537/Model!$B$12*3600</f>
        <v>26.146817490866852</v>
      </c>
      <c r="AB537" s="51">
        <f t="shared" si="174"/>
        <v>207.82440310828105</v>
      </c>
      <c r="AC537" s="51">
        <f t="shared" si="158"/>
        <v>1592.1755968917189</v>
      </c>
      <c r="AD537" s="13">
        <f>IF(AE537=0, Model!$B$19, 0 )</f>
        <v>0</v>
      </c>
      <c r="AE537" s="51">
        <f>IF(AE536+AB536-AB537&lt;Model!$B$19*Model!$B$18, AE536+AB536-AB537,  0)</f>
        <v>235.8101705978325</v>
      </c>
      <c r="AF537" s="13">
        <f t="shared" si="170"/>
        <v>26.750000000000245</v>
      </c>
      <c r="AG537" s="50">
        <f t="shared" si="171"/>
        <v>0.99</v>
      </c>
    </row>
    <row r="538" spans="2:33" x14ac:dyDescent="0.25">
      <c r="B538" s="15">
        <f t="shared" si="172"/>
        <v>26.800000000000246</v>
      </c>
      <c r="C538" s="15">
        <f>B538+Model!$B$4</f>
        <v>28.800000000000246</v>
      </c>
      <c r="D538" s="15">
        <f t="shared" si="173"/>
        <v>2</v>
      </c>
      <c r="E538" s="15">
        <f t="shared" si="159"/>
        <v>4.8000000000002458</v>
      </c>
      <c r="F538" s="16">
        <f>IF(AB538&gt;0, VLOOKUP(B538,Model!$A$40:$B$60, 2), 0)</f>
        <v>300</v>
      </c>
      <c r="G538" s="15">
        <f>IF(AB538&gt;0, VLOOKUP(B538,Model!$A$39:$C$58, 3), 0)</f>
        <v>1</v>
      </c>
      <c r="H538" s="15">
        <f t="shared" si="160"/>
        <v>97</v>
      </c>
      <c r="I538" s="45">
        <f>Model!$B$21*EXP((-0.029*9.81*F538)/(8.31*(273+J538)))</f>
        <v>100357.4491247143</v>
      </c>
      <c r="J538" s="15">
        <f>IF(Model!$B$31="Summer",  IF(F538&lt;=2000,  Model!$B$20-Model!$B$35*F538/1000,  IF(F538&lt;Model!$B$36,  Model!$B$33-6.5*F538/1000,  Model!$B$38)),     IF(F538&lt;=2000,  Model!$B$20-Model!$B$35*F538/1000,  IF(F538&lt;Model!$B$36,  Model!$B$33-5.4*F538/1000,   Model!$B$38)))</f>
        <v>-19.088750000000001</v>
      </c>
      <c r="K538" s="15">
        <f t="shared" si="161"/>
        <v>253.91125</v>
      </c>
      <c r="L538" s="45">
        <f>IF(AB537-AA537*(B538-B537)&gt;0, L537-Y537*(B538-B537)*3600-AD538*Model!$B$16, 0)</f>
        <v>635.82864952851594</v>
      </c>
      <c r="M538" s="56">
        <f t="shared" si="162"/>
        <v>14.517627325916465</v>
      </c>
      <c r="N538" s="56">
        <f>Model!$B$13*I538*K538/(Model!$B$13*I538-L538*287*K538)</f>
        <v>287.51762732591646</v>
      </c>
      <c r="O538" s="56">
        <f t="shared" si="163"/>
        <v>270.71443866295823</v>
      </c>
      <c r="P538" s="56">
        <f t="shared" si="164"/>
        <v>-2.2852796469009231</v>
      </c>
      <c r="Q538" s="62">
        <f t="shared" si="165"/>
        <v>2.3837725145070036E-2</v>
      </c>
      <c r="R538" s="33">
        <f t="shared" si="157"/>
        <v>1.3362301620947657E-5</v>
      </c>
      <c r="S538" s="45">
        <f>0.37*Model!$B$10*(Q538^2*(N538-K538)*I538/(R538*O538^2))^0.33333*(N538-K538)</f>
        <v>187942.46974250805</v>
      </c>
      <c r="T538" s="50">
        <f>Model!$B$32+(90-Model!$B$6)*SIN(RADIANS(-15*(E538+6)))</f>
        <v>-17.686329864105343</v>
      </c>
      <c r="U538" s="45">
        <f t="shared" si="166"/>
        <v>0</v>
      </c>
      <c r="V538" s="50">
        <f t="shared" si="167"/>
        <v>99999</v>
      </c>
      <c r="W538" s="45">
        <f t="shared" si="168"/>
        <v>4.2253521126760563E-2</v>
      </c>
      <c r="X538" s="45">
        <f>0.3*W538*Model!$B$9</f>
        <v>3.8275201289827652</v>
      </c>
      <c r="Y538" s="33">
        <f>(S538-X538)/Model!$B$11</f>
        <v>4.0317203093935229E-3</v>
      </c>
      <c r="Z538" s="45">
        <f t="shared" si="169"/>
        <v>2.0365381673587068E-3</v>
      </c>
      <c r="AA538" s="56">
        <f>Y538/Model!$B$12*3600</f>
        <v>26.103490155688469</v>
      </c>
      <c r="AB538" s="50">
        <f t="shared" si="174"/>
        <v>206.51706223373768</v>
      </c>
      <c r="AC538" s="50">
        <f t="shared" si="158"/>
        <v>1593.4829377662622</v>
      </c>
      <c r="AD538" s="15">
        <f>IF(AE538=0, Model!$B$19, 0 )</f>
        <v>0</v>
      </c>
      <c r="AE538" s="50">
        <f>IF(AE537+AB537-AB538&lt;Model!$B$19*Model!$B$18, AE537+AB537-AB538,  0)</f>
        <v>237.11751147237587</v>
      </c>
      <c r="AF538" s="15">
        <f t="shared" si="170"/>
        <v>26.800000000000246</v>
      </c>
      <c r="AG538" s="50">
        <f t="shared" si="171"/>
        <v>0.99</v>
      </c>
    </row>
    <row r="539" spans="2:33" x14ac:dyDescent="0.25">
      <c r="B539" s="13">
        <f t="shared" si="172"/>
        <v>26.850000000000247</v>
      </c>
      <c r="C539" s="13">
        <f>B539+Model!$B$4</f>
        <v>28.850000000000247</v>
      </c>
      <c r="D539" s="13">
        <f t="shared" si="173"/>
        <v>2</v>
      </c>
      <c r="E539" s="13">
        <f t="shared" si="159"/>
        <v>4.8500000000002466</v>
      </c>
      <c r="F539" s="14">
        <f>IF(AB539&gt;0, VLOOKUP(B539,Model!$A$40:$B$60, 2), 0)</f>
        <v>300</v>
      </c>
      <c r="G539" s="13">
        <f>IF(AB539&gt;0, VLOOKUP(B539,Model!$A$39:$C$58, 3), 0)</f>
        <v>1</v>
      </c>
      <c r="H539" s="13">
        <f t="shared" si="160"/>
        <v>97</v>
      </c>
      <c r="I539" s="46">
        <f>Model!$B$21*EXP((-0.029*9.81*F539)/(8.31*(273+J539)))</f>
        <v>100357.4491247143</v>
      </c>
      <c r="J539" s="13">
        <f>IF(Model!$B$31="Summer",  IF(F539&lt;=2000,  Model!$B$20-Model!$B$35*F539/1000,  IF(F539&lt;Model!$B$36,  Model!$B$33-6.5*F539/1000,  Model!$B$38)),     IF(F539&lt;=2000,  Model!$B$20-Model!$B$35*F539/1000,  IF(F539&lt;Model!$B$36,  Model!$B$33-5.4*F539/1000,   Model!$B$38)))</f>
        <v>-19.088750000000001</v>
      </c>
      <c r="K539" s="13">
        <f t="shared" si="161"/>
        <v>253.91125</v>
      </c>
      <c r="L539" s="46">
        <f>IF(AB538-AA538*(B539-B538)&gt;0, L538-Y538*(B539-B538)*3600-AD539*Model!$B$16, 0)</f>
        <v>635.10293987282512</v>
      </c>
      <c r="M539" s="57">
        <f t="shared" si="162"/>
        <v>14.474200164912077</v>
      </c>
      <c r="N539" s="57">
        <f>Model!$B$13*I539*K539/(Model!$B$13*I539-L539*287*K539)</f>
        <v>287.47420016491208</v>
      </c>
      <c r="O539" s="57">
        <f t="shared" si="163"/>
        <v>270.69272508245604</v>
      </c>
      <c r="P539" s="57">
        <f t="shared" si="164"/>
        <v>-2.3069932274031171</v>
      </c>
      <c r="Q539" s="63">
        <f t="shared" si="165"/>
        <v>2.3836183480854378E-2</v>
      </c>
      <c r="R539" s="17">
        <f t="shared" si="157"/>
        <v>1.3360043408575426E-5</v>
      </c>
      <c r="S539" s="46">
        <f>0.37*Model!$B$10*(Q539^2*(N539-K539)*I539/(R539*O539^2))^0.33333*(N539-K539)</f>
        <v>187631.23406669332</v>
      </c>
      <c r="T539" s="51">
        <f>Model!$B$32+(90-Model!$B$6)*SIN(RADIANS(-15*(E539+6)))</f>
        <v>-17.249690185127157</v>
      </c>
      <c r="U539" s="46">
        <f t="shared" si="166"/>
        <v>0</v>
      </c>
      <c r="V539" s="51">
        <f t="shared" si="167"/>
        <v>99999</v>
      </c>
      <c r="W539" s="46">
        <f t="shared" si="168"/>
        <v>4.2253521126760563E-2</v>
      </c>
      <c r="X539" s="46">
        <f>0.3*W539*Model!$B$9</f>
        <v>3.8275201289827652</v>
      </c>
      <c r="Y539" s="17">
        <f>(S539-X539)/Model!$B$11</f>
        <v>4.0250435813914904E-3</v>
      </c>
      <c r="Z539" s="46">
        <f t="shared" si="169"/>
        <v>2.0399163007275628E-3</v>
      </c>
      <c r="AA539" s="57">
        <f>Y539/Model!$B$12*3600</f>
        <v>26.060261486460799</v>
      </c>
      <c r="AB539" s="51">
        <f t="shared" si="174"/>
        <v>205.21188772595323</v>
      </c>
      <c r="AC539" s="51">
        <f t="shared" si="158"/>
        <v>1594.7881122740469</v>
      </c>
      <c r="AD539" s="13">
        <f>IF(AE539=0, Model!$B$19, 0 )</f>
        <v>0</v>
      </c>
      <c r="AE539" s="51">
        <f>IF(AE538+AB538-AB539&lt;Model!$B$19*Model!$B$18, AE538+AB538-AB539,  0)</f>
        <v>238.42268598016031</v>
      </c>
      <c r="AF539" s="13">
        <f t="shared" si="170"/>
        <v>26.850000000000247</v>
      </c>
      <c r="AG539" s="50">
        <f t="shared" si="171"/>
        <v>0.99</v>
      </c>
    </row>
    <row r="540" spans="2:33" x14ac:dyDescent="0.25">
      <c r="B540" s="15">
        <f t="shared" si="172"/>
        <v>26.900000000000247</v>
      </c>
      <c r="C540" s="15">
        <f>B540+Model!$B$4</f>
        <v>28.900000000000247</v>
      </c>
      <c r="D540" s="15">
        <f t="shared" si="173"/>
        <v>2</v>
      </c>
      <c r="E540" s="15">
        <f t="shared" si="159"/>
        <v>4.9000000000002473</v>
      </c>
      <c r="F540" s="16">
        <f>IF(AB540&gt;0, VLOOKUP(B540,Model!$A$40:$B$60, 2), 0)</f>
        <v>300</v>
      </c>
      <c r="G540" s="15">
        <f>IF(AB540&gt;0, VLOOKUP(B540,Model!$A$39:$C$58, 3), 0)</f>
        <v>1</v>
      </c>
      <c r="H540" s="15">
        <f t="shared" si="160"/>
        <v>97</v>
      </c>
      <c r="I540" s="45">
        <f>Model!$B$21*EXP((-0.029*9.81*F540)/(8.31*(273+J540)))</f>
        <v>100357.4491247143</v>
      </c>
      <c r="J540" s="15">
        <f>IF(Model!$B$31="Summer",  IF(F540&lt;=2000,  Model!$B$20-Model!$B$35*F540/1000,  IF(F540&lt;Model!$B$36,  Model!$B$33-6.5*F540/1000,  Model!$B$38)),     IF(F540&lt;=2000,  Model!$B$20-Model!$B$35*F540/1000,  IF(F540&lt;Model!$B$36,  Model!$B$33-5.4*F540/1000,   Model!$B$38)))</f>
        <v>-19.088750000000001</v>
      </c>
      <c r="K540" s="15">
        <f t="shared" si="161"/>
        <v>253.91125</v>
      </c>
      <c r="L540" s="45">
        <f>IF(AB539-AA539*(B540-B539)&gt;0, L539-Y539*(B540-B539)*3600-AD540*Model!$B$16, 0)</f>
        <v>634.37843202817464</v>
      </c>
      <c r="M540" s="56">
        <f t="shared" si="162"/>
        <v>14.43085800551637</v>
      </c>
      <c r="N540" s="56">
        <f>Model!$B$13*I540*K540/(Model!$B$13*I540-L540*287*K540)</f>
        <v>287.43085800551637</v>
      </c>
      <c r="O540" s="56">
        <f t="shared" si="163"/>
        <v>270.67105400275818</v>
      </c>
      <c r="P540" s="56">
        <f t="shared" si="164"/>
        <v>-2.3286643071009703</v>
      </c>
      <c r="Q540" s="62">
        <f t="shared" si="165"/>
        <v>2.3834644834195833E-2</v>
      </c>
      <c r="R540" s="33">
        <f t="shared" si="157"/>
        <v>1.335778961628685E-5</v>
      </c>
      <c r="S540" s="45">
        <f>0.37*Model!$B$10*(Q540^2*(N540-K540)*I540/(R540*O540^2))^0.33333*(N540-K540)</f>
        <v>187320.70662514854</v>
      </c>
      <c r="T540" s="50">
        <f>Model!$B$32+(90-Model!$B$6)*SIN(RADIANS(-15*(E540+6)))</f>
        <v>-16.811272125619453</v>
      </c>
      <c r="U540" s="45">
        <f t="shared" si="166"/>
        <v>0</v>
      </c>
      <c r="V540" s="50">
        <f t="shared" si="167"/>
        <v>99999</v>
      </c>
      <c r="W540" s="45">
        <f t="shared" si="168"/>
        <v>4.2253521126760563E-2</v>
      </c>
      <c r="X540" s="45">
        <f>0.3*W540*Model!$B$9</f>
        <v>3.8275201289827652</v>
      </c>
      <c r="Y540" s="33">
        <f>(S540-X540)/Model!$B$11</f>
        <v>4.0183820466592208E-3</v>
      </c>
      <c r="Z540" s="45">
        <f t="shared" si="169"/>
        <v>2.0432979342972996E-3</v>
      </c>
      <c r="AA540" s="56">
        <f>Y540/Model!$B$12*3600</f>
        <v>26.01713118649916</v>
      </c>
      <c r="AB540" s="50">
        <f t="shared" si="174"/>
        <v>203.90887465163019</v>
      </c>
      <c r="AC540" s="50">
        <f t="shared" si="158"/>
        <v>1596.0911253483698</v>
      </c>
      <c r="AD540" s="15">
        <f>IF(AE540=0, Model!$B$19, 0 )</f>
        <v>0</v>
      </c>
      <c r="AE540" s="50">
        <f>IF(AE539+AB539-AB540&lt;Model!$B$19*Model!$B$18, AE539+AB539-AB540,  0)</f>
        <v>239.72569905448336</v>
      </c>
      <c r="AF540" s="15">
        <f t="shared" si="170"/>
        <v>26.900000000000247</v>
      </c>
      <c r="AG540" s="50">
        <f t="shared" si="171"/>
        <v>0.99</v>
      </c>
    </row>
    <row r="541" spans="2:33" x14ac:dyDescent="0.25">
      <c r="B541" s="13">
        <f t="shared" si="172"/>
        <v>26.950000000000248</v>
      </c>
      <c r="C541" s="13">
        <f>B541+Model!$B$4</f>
        <v>28.950000000000248</v>
      </c>
      <c r="D541" s="13">
        <f t="shared" si="173"/>
        <v>2</v>
      </c>
      <c r="E541" s="13">
        <f t="shared" si="159"/>
        <v>4.950000000000248</v>
      </c>
      <c r="F541" s="14">
        <f>IF(AB541&gt;0, VLOOKUP(B541,Model!$A$40:$B$60, 2), 0)</f>
        <v>300</v>
      </c>
      <c r="G541" s="13">
        <f>IF(AB541&gt;0, VLOOKUP(B541,Model!$A$39:$C$58, 3), 0)</f>
        <v>1</v>
      </c>
      <c r="H541" s="13">
        <f t="shared" si="160"/>
        <v>97</v>
      </c>
      <c r="I541" s="46">
        <f>Model!$B$21*EXP((-0.029*9.81*F541)/(8.31*(273+J541)))</f>
        <v>100357.4491247143</v>
      </c>
      <c r="J541" s="13">
        <f>IF(Model!$B$31="Summer",  IF(F541&lt;=2000,  Model!$B$20-Model!$B$35*F541/1000,  IF(F541&lt;Model!$B$36,  Model!$B$33-6.5*F541/1000,  Model!$B$38)),     IF(F541&lt;=2000,  Model!$B$20-Model!$B$35*F541/1000,  IF(F541&lt;Model!$B$36,  Model!$B$33-5.4*F541/1000,   Model!$B$38)))</f>
        <v>-19.088750000000001</v>
      </c>
      <c r="K541" s="13">
        <f t="shared" si="161"/>
        <v>253.91125</v>
      </c>
      <c r="L541" s="46">
        <f>IF(AB540-AA540*(B541-B540)&gt;0, L540-Y540*(B541-B540)*3600-AD541*Model!$B$16, 0)</f>
        <v>633.65512325977602</v>
      </c>
      <c r="M541" s="57">
        <f t="shared" si="162"/>
        <v>14.387600613245354</v>
      </c>
      <c r="N541" s="57">
        <f>Model!$B$13*I541*K541/(Model!$B$13*I541-L541*287*K541)</f>
        <v>287.38760061324535</v>
      </c>
      <c r="O541" s="57">
        <f t="shared" si="163"/>
        <v>270.64942530662267</v>
      </c>
      <c r="P541" s="57">
        <f t="shared" si="164"/>
        <v>-2.3502930032364784</v>
      </c>
      <c r="Q541" s="63">
        <f t="shared" si="165"/>
        <v>2.3833109196770209E-2</v>
      </c>
      <c r="R541" s="17">
        <f t="shared" si="157"/>
        <v>1.3355540231888758E-5</v>
      </c>
      <c r="S541" s="46">
        <f>0.37*Model!$B$10*(Q541^2*(N541-K541)*I541/(R541*O541^2))^0.33333*(N541-K541)</f>
        <v>187010.88529000327</v>
      </c>
      <c r="T541" s="51">
        <f>Model!$B$32+(90-Model!$B$6)*SIN(RADIANS(-15*(E541+6)))</f>
        <v>-16.371150806259735</v>
      </c>
      <c r="U541" s="46">
        <f t="shared" si="166"/>
        <v>0</v>
      </c>
      <c r="V541" s="51">
        <f t="shared" si="167"/>
        <v>99999</v>
      </c>
      <c r="W541" s="46">
        <f t="shared" si="168"/>
        <v>4.2253521126760563E-2</v>
      </c>
      <c r="X541" s="46">
        <f>0.3*W541*Model!$B$9</f>
        <v>3.8275201289827652</v>
      </c>
      <c r="Y541" s="17">
        <f>(S541-X541)/Model!$B$11</f>
        <v>4.01173565954895E-3</v>
      </c>
      <c r="Z541" s="46">
        <f t="shared" si="169"/>
        <v>2.0466830703717151E-3</v>
      </c>
      <c r="AA541" s="57">
        <f>Y541/Model!$B$12*3600</f>
        <v>25.97409896025578</v>
      </c>
      <c r="AB541" s="51">
        <f t="shared" si="174"/>
        <v>202.6080180923052</v>
      </c>
      <c r="AC541" s="51">
        <f t="shared" si="158"/>
        <v>1597.3919819076948</v>
      </c>
      <c r="AD541" s="13">
        <f>IF(AE541=0, Model!$B$19, 0 )</f>
        <v>0</v>
      </c>
      <c r="AE541" s="51">
        <f>IF(AE540+AB540-AB541&lt;Model!$B$19*Model!$B$18, AE540+AB540-AB541,  0)</f>
        <v>241.02655561380834</v>
      </c>
      <c r="AF541" s="13">
        <f t="shared" si="170"/>
        <v>26.950000000000248</v>
      </c>
      <c r="AG541" s="50">
        <f t="shared" si="171"/>
        <v>0.99</v>
      </c>
    </row>
    <row r="542" spans="2:33" x14ac:dyDescent="0.25">
      <c r="B542" s="15">
        <f t="shared" si="172"/>
        <v>27.000000000000249</v>
      </c>
      <c r="C542" s="15">
        <f>B542+Model!$B$4</f>
        <v>29.000000000000249</v>
      </c>
      <c r="D542" s="15">
        <f t="shared" si="173"/>
        <v>2</v>
      </c>
      <c r="E542" s="15">
        <f t="shared" si="159"/>
        <v>5.0000000000002487</v>
      </c>
      <c r="F542" s="16">
        <f>IF(AB542&gt;0, VLOOKUP(B542,Model!$A$40:$B$60, 2), 0)</f>
        <v>300</v>
      </c>
      <c r="G542" s="15">
        <f>IF(AB542&gt;0, VLOOKUP(B542,Model!$A$39:$C$58, 3), 0)</f>
        <v>1</v>
      </c>
      <c r="H542" s="15">
        <f t="shared" si="160"/>
        <v>97</v>
      </c>
      <c r="I542" s="45">
        <f>Model!$B$21*EXP((-0.029*9.81*F542)/(8.31*(273+J542)))</f>
        <v>100357.4491247143</v>
      </c>
      <c r="J542" s="15">
        <f>IF(Model!$B$31="Summer",  IF(F542&lt;=2000,  Model!$B$20-Model!$B$35*F542/1000,  IF(F542&lt;Model!$B$36,  Model!$B$33-6.5*F542/1000,  Model!$B$38)),     IF(F542&lt;=2000,  Model!$B$20-Model!$B$35*F542/1000,  IF(F542&lt;Model!$B$36,  Model!$B$33-5.4*F542/1000,   Model!$B$38)))</f>
        <v>-19.088750000000001</v>
      </c>
      <c r="K542" s="15">
        <f t="shared" si="161"/>
        <v>253.91125</v>
      </c>
      <c r="L542" s="45">
        <f>IF(AB541-AA541*(B542-B541)&gt;0, L541-Y541*(B542-B541)*3600-AD542*Model!$B$16, 0)</f>
        <v>632.93301084105724</v>
      </c>
      <c r="M542" s="56">
        <f t="shared" si="162"/>
        <v>14.344427754472576</v>
      </c>
      <c r="N542" s="56">
        <f>Model!$B$13*I542*K542/(Model!$B$13*I542-L542*287*K542)</f>
        <v>287.34442775447258</v>
      </c>
      <c r="O542" s="56">
        <f t="shared" si="163"/>
        <v>270.62783887723629</v>
      </c>
      <c r="P542" s="56">
        <f t="shared" si="164"/>
        <v>-2.3718794326228672</v>
      </c>
      <c r="Q542" s="62">
        <f t="shared" si="165"/>
        <v>2.3831576560283778E-2</v>
      </c>
      <c r="R542" s="33">
        <f t="shared" si="157"/>
        <v>1.3353295243232573E-5</v>
      </c>
      <c r="S542" s="45">
        <f>0.37*Model!$B$10*(Q542^2*(N542-K542)*I542/(R542*O542^2))^0.33333*(N542-K542)</f>
        <v>186701.76794153117</v>
      </c>
      <c r="T542" s="50">
        <f>Model!$B$32+(90-Model!$B$6)*SIN(RADIANS(-15*(E542+6)))</f>
        <v>-15.929401639570351</v>
      </c>
      <c r="U542" s="45">
        <f t="shared" si="166"/>
        <v>0</v>
      </c>
      <c r="V542" s="50">
        <f t="shared" si="167"/>
        <v>99999</v>
      </c>
      <c r="W542" s="45">
        <f t="shared" si="168"/>
        <v>4.2253521126760563E-2</v>
      </c>
      <c r="X542" s="45">
        <f>0.3*W542*Model!$B$9</f>
        <v>3.8275201289827652</v>
      </c>
      <c r="Y542" s="33">
        <f>(S542-X542)/Model!$B$11</f>
        <v>4.0051043745876263E-3</v>
      </c>
      <c r="Z542" s="45">
        <f t="shared" si="169"/>
        <v>2.0500717112552562E-3</v>
      </c>
      <c r="AA542" s="56">
        <f>Y542/Model!$B$12*3600</f>
        <v>25.931164513314069</v>
      </c>
      <c r="AB542" s="50">
        <f t="shared" si="174"/>
        <v>201.30931314429239</v>
      </c>
      <c r="AC542" s="50">
        <f t="shared" si="158"/>
        <v>1598.6906868557076</v>
      </c>
      <c r="AD542" s="15">
        <f>IF(AE542=0, Model!$B$19, 0 )</f>
        <v>0</v>
      </c>
      <c r="AE542" s="50">
        <f>IF(AE541+AB541-AB542&lt;Model!$B$19*Model!$B$18, AE541+AB541-AB542,  0)</f>
        <v>242.32526056182115</v>
      </c>
      <c r="AF542" s="15">
        <f t="shared" si="170"/>
        <v>27.000000000000249</v>
      </c>
      <c r="AG542" s="50">
        <f t="shared" si="171"/>
        <v>0.99</v>
      </c>
    </row>
    <row r="543" spans="2:33" x14ac:dyDescent="0.25">
      <c r="B543" s="13">
        <f t="shared" si="172"/>
        <v>27.050000000000249</v>
      </c>
      <c r="C543" s="13">
        <f>B543+Model!$B$4</f>
        <v>29.050000000000249</v>
      </c>
      <c r="D543" s="13">
        <f t="shared" si="173"/>
        <v>2</v>
      </c>
      <c r="E543" s="13">
        <f t="shared" si="159"/>
        <v>5.0500000000002494</v>
      </c>
      <c r="F543" s="14">
        <f>IF(AB543&gt;0, VLOOKUP(B543,Model!$A$40:$B$60, 2), 0)</f>
        <v>300</v>
      </c>
      <c r="G543" s="13">
        <f>IF(AB543&gt;0, VLOOKUP(B543,Model!$A$39:$C$58, 3), 0)</f>
        <v>1</v>
      </c>
      <c r="H543" s="13">
        <f t="shared" si="160"/>
        <v>97</v>
      </c>
      <c r="I543" s="46">
        <f>Model!$B$21*EXP((-0.029*9.81*F543)/(8.31*(273+J543)))</f>
        <v>100357.4491247143</v>
      </c>
      <c r="J543" s="13">
        <f>IF(Model!$B$31="Summer",  IF(F543&lt;=2000,  Model!$B$20-Model!$B$35*F543/1000,  IF(F543&lt;Model!$B$36,  Model!$B$33-6.5*F543/1000,  Model!$B$38)),     IF(F543&lt;=2000,  Model!$B$20-Model!$B$35*F543/1000,  IF(F543&lt;Model!$B$36,  Model!$B$33-5.4*F543/1000,   Model!$B$38)))</f>
        <v>-19.088750000000001</v>
      </c>
      <c r="K543" s="13">
        <f t="shared" si="161"/>
        <v>253.91125</v>
      </c>
      <c r="L543" s="46">
        <f>IF(AB542-AA542*(B543-B542)&gt;0, L542-Y542*(B543-B542)*3600-AD543*Model!$B$16, 0)</f>
        <v>632.21209205363141</v>
      </c>
      <c r="M543" s="57">
        <f t="shared" si="162"/>
        <v>14.301339196425658</v>
      </c>
      <c r="N543" s="57">
        <f>Model!$B$13*I543*K543/(Model!$B$13*I543-L543*287*K543)</f>
        <v>287.30133919642566</v>
      </c>
      <c r="O543" s="57">
        <f t="shared" si="163"/>
        <v>270.6062945982128</v>
      </c>
      <c r="P543" s="57">
        <f t="shared" si="164"/>
        <v>-2.3934237116463262</v>
      </c>
      <c r="Q543" s="63">
        <f t="shared" si="165"/>
        <v>2.383004691647311E-2</v>
      </c>
      <c r="R543" s="17">
        <f t="shared" si="157"/>
        <v>1.3351054638214129E-5</v>
      </c>
      <c r="S543" s="46">
        <f>0.37*Model!$B$10*(Q543^2*(N543-K543)*I543/(R543*O543^2))^0.33333*(N543-K543)</f>
        <v>186393.3524681149</v>
      </c>
      <c r="T543" s="51">
        <f>Model!$B$32+(90-Model!$B$6)*SIN(RADIANS(-15*(E543+6)))</f>
        <v>-15.486100316996856</v>
      </c>
      <c r="U543" s="46">
        <f t="shared" si="166"/>
        <v>0</v>
      </c>
      <c r="V543" s="51">
        <f t="shared" si="167"/>
        <v>99999</v>
      </c>
      <c r="W543" s="46">
        <f t="shared" si="168"/>
        <v>4.2253521126760563E-2</v>
      </c>
      <c r="X543" s="46">
        <f>0.3*W543*Model!$B$9</f>
        <v>3.8275201289827652</v>
      </c>
      <c r="Y543" s="17">
        <f>(S543-X543)/Model!$B$11</f>
        <v>3.9984881464761538E-3</v>
      </c>
      <c r="Z543" s="46">
        <f t="shared" si="169"/>
        <v>2.0534638592529819E-3</v>
      </c>
      <c r="AA543" s="57">
        <f>Y543/Model!$B$12*3600</f>
        <v>25.888327552383711</v>
      </c>
      <c r="AB543" s="51">
        <f t="shared" si="174"/>
        <v>200.01275491862665</v>
      </c>
      <c r="AC543" s="51">
        <f t="shared" si="158"/>
        <v>1599.9872450813734</v>
      </c>
      <c r="AD543" s="13">
        <f>IF(AE543=0, Model!$B$19, 0 )</f>
        <v>0</v>
      </c>
      <c r="AE543" s="51">
        <f>IF(AE542+AB542-AB543&lt;Model!$B$19*Model!$B$18, AE542+AB542-AB543,  0)</f>
        <v>243.62181878748689</v>
      </c>
      <c r="AF543" s="13">
        <f t="shared" si="170"/>
        <v>27.050000000000249</v>
      </c>
      <c r="AG543" s="50">
        <f t="shared" si="171"/>
        <v>0.99</v>
      </c>
    </row>
    <row r="544" spans="2:33" x14ac:dyDescent="0.25">
      <c r="B544" s="15">
        <f t="shared" si="172"/>
        <v>27.10000000000025</v>
      </c>
      <c r="C544" s="15">
        <f>B544+Model!$B$4</f>
        <v>29.10000000000025</v>
      </c>
      <c r="D544" s="15">
        <f t="shared" si="173"/>
        <v>2</v>
      </c>
      <c r="E544" s="15">
        <f t="shared" si="159"/>
        <v>5.1000000000002501</v>
      </c>
      <c r="F544" s="16">
        <f>IF(AB544&gt;0, VLOOKUP(B544,Model!$A$40:$B$60, 2), 0)</f>
        <v>300</v>
      </c>
      <c r="G544" s="15">
        <f>IF(AB544&gt;0, VLOOKUP(B544,Model!$A$39:$C$58, 3), 0)</f>
        <v>1</v>
      </c>
      <c r="H544" s="15">
        <f t="shared" si="160"/>
        <v>97</v>
      </c>
      <c r="I544" s="45">
        <f>Model!$B$21*EXP((-0.029*9.81*F544)/(8.31*(273+J544)))</f>
        <v>100357.4491247143</v>
      </c>
      <c r="J544" s="15">
        <f>IF(Model!$B$31="Summer",  IF(F544&lt;=2000,  Model!$B$20-Model!$B$35*F544/1000,  IF(F544&lt;Model!$B$36,  Model!$B$33-6.5*F544/1000,  Model!$B$38)),     IF(F544&lt;=2000,  Model!$B$20-Model!$B$35*F544/1000,  IF(F544&lt;Model!$B$36,  Model!$B$33-5.4*F544/1000,   Model!$B$38)))</f>
        <v>-19.088750000000001</v>
      </c>
      <c r="K544" s="15">
        <f t="shared" si="161"/>
        <v>253.91125</v>
      </c>
      <c r="L544" s="45">
        <f>IF(AB543-AA543*(B544-B543)&gt;0, L543-Y543*(B544-B543)*3600-AD544*Model!$B$16, 0)</f>
        <v>631.49236418726571</v>
      </c>
      <c r="M544" s="56">
        <f t="shared" si="162"/>
        <v>14.258334707182087</v>
      </c>
      <c r="N544" s="56">
        <f>Model!$B$13*I544*K544/(Model!$B$13*I544-L544*287*K544)</f>
        <v>287.25833470718209</v>
      </c>
      <c r="O544" s="56">
        <f t="shared" si="163"/>
        <v>270.58479235359107</v>
      </c>
      <c r="P544" s="56">
        <f t="shared" si="164"/>
        <v>-2.414925956268112</v>
      </c>
      <c r="Q544" s="62">
        <f t="shared" si="165"/>
        <v>2.3828520257104968E-2</v>
      </c>
      <c r="R544" s="33">
        <f t="shared" ref="R544:R602" si="175">((O544-273)*0.104+13.6)*0.000001</f>
        <v>1.334881840477347E-5</v>
      </c>
      <c r="S544" s="45">
        <f>0.37*Model!$B$10*(Q544^2*(N544-K544)*I544/(R544*O544^2))^0.33333*(N544-K544)</f>
        <v>186085.63676620543</v>
      </c>
      <c r="T544" s="50">
        <f>Model!$B$32+(90-Model!$B$6)*SIN(RADIANS(-15*(E544+6)))</f>
        <v>-15.041322795938779</v>
      </c>
      <c r="U544" s="45">
        <f t="shared" si="166"/>
        <v>0</v>
      </c>
      <c r="V544" s="50">
        <f t="shared" si="167"/>
        <v>99999</v>
      </c>
      <c r="W544" s="45">
        <f t="shared" si="168"/>
        <v>4.2253521126760563E-2</v>
      </c>
      <c r="X544" s="45">
        <f>0.3*W544*Model!$B$9</f>
        <v>3.8275201289827652</v>
      </c>
      <c r="Y544" s="33">
        <f>(S544-X544)/Model!$B$11</f>
        <v>3.9918869300885219E-3</v>
      </c>
      <c r="Z544" s="45">
        <f t="shared" si="169"/>
        <v>2.0568595166705916E-3</v>
      </c>
      <c r="AA544" s="56">
        <f>Y544/Model!$B$12*3600</f>
        <v>25.845587785295049</v>
      </c>
      <c r="AB544" s="50">
        <f t="shared" si="174"/>
        <v>198.71833854100745</v>
      </c>
      <c r="AC544" s="50">
        <f t="shared" ref="AC544:AC602" si="176">AC543+AB543-AB544</f>
        <v>1601.2816614589926</v>
      </c>
      <c r="AD544" s="15">
        <f>IF(AE544=0, Model!$B$19, 0 )</f>
        <v>0</v>
      </c>
      <c r="AE544" s="50">
        <f>IF(AE543+AB543-AB544&lt;Model!$B$19*Model!$B$18, AE543+AB543-AB544,  0)</f>
        <v>244.91623516510609</v>
      </c>
      <c r="AF544" s="15">
        <f t="shared" si="170"/>
        <v>27.10000000000025</v>
      </c>
      <c r="AG544" s="50">
        <f t="shared" si="171"/>
        <v>0.99</v>
      </c>
    </row>
    <row r="545" spans="2:33" x14ac:dyDescent="0.25">
      <c r="B545" s="13">
        <f t="shared" si="172"/>
        <v>27.150000000000251</v>
      </c>
      <c r="C545" s="13">
        <f>B545+Model!$B$4</f>
        <v>29.150000000000251</v>
      </c>
      <c r="D545" s="13">
        <f t="shared" si="173"/>
        <v>2</v>
      </c>
      <c r="E545" s="13">
        <f t="shared" si="159"/>
        <v>5.1500000000002508</v>
      </c>
      <c r="F545" s="14">
        <f>IF(AB545&gt;0, VLOOKUP(B545,Model!$A$40:$B$60, 2), 0)</f>
        <v>300</v>
      </c>
      <c r="G545" s="13">
        <f>IF(AB545&gt;0, VLOOKUP(B545,Model!$A$39:$C$58, 3), 0)</f>
        <v>1</v>
      </c>
      <c r="H545" s="13">
        <f t="shared" si="160"/>
        <v>97</v>
      </c>
      <c r="I545" s="46">
        <f>Model!$B$21*EXP((-0.029*9.81*F545)/(8.31*(273+J545)))</f>
        <v>100357.4491247143</v>
      </c>
      <c r="J545" s="13">
        <f>IF(Model!$B$31="Summer",  IF(F545&lt;=2000,  Model!$B$20-Model!$B$35*F545/1000,  IF(F545&lt;Model!$B$36,  Model!$B$33-6.5*F545/1000,  Model!$B$38)),     IF(F545&lt;=2000,  Model!$B$20-Model!$B$35*F545/1000,  IF(F545&lt;Model!$B$36,  Model!$B$33-5.4*F545/1000,   Model!$B$38)))</f>
        <v>-19.088750000000001</v>
      </c>
      <c r="K545" s="13">
        <f t="shared" si="161"/>
        <v>253.91125</v>
      </c>
      <c r="L545" s="46">
        <f>IF(AB544-AA544*(B545-B544)&gt;0, L544-Y544*(B545-B544)*3600-AD545*Model!$B$16, 0)</f>
        <v>630.77382453984978</v>
      </c>
      <c r="M545" s="57">
        <f t="shared" si="162"/>
        <v>14.215414055665462</v>
      </c>
      <c r="N545" s="57">
        <f>Model!$B$13*I545*K545/(Model!$B$13*I545-L545*287*K545)</f>
        <v>287.21541405566546</v>
      </c>
      <c r="O545" s="57">
        <f t="shared" si="163"/>
        <v>270.56333202783276</v>
      </c>
      <c r="P545" s="57">
        <f t="shared" si="164"/>
        <v>-2.4363862820264242</v>
      </c>
      <c r="Q545" s="63">
        <f t="shared" si="165"/>
        <v>2.3826996573976127E-2</v>
      </c>
      <c r="R545" s="17">
        <f t="shared" si="175"/>
        <v>1.3346586530894607E-5</v>
      </c>
      <c r="S545" s="46">
        <f>0.37*Model!$B$10*(Q545^2*(N545-K545)*I545/(R545*O545^2))^0.33333*(N545-K545)</f>
        <v>185778.61874028598</v>
      </c>
      <c r="T545" s="51">
        <f>Model!$B$32+(90-Model!$B$6)*SIN(RADIANS(-15*(E545+6)))</f>
        <v>-14.595145286734635</v>
      </c>
      <c r="U545" s="46">
        <f t="shared" si="166"/>
        <v>0</v>
      </c>
      <c r="V545" s="51">
        <f t="shared" si="167"/>
        <v>99999</v>
      </c>
      <c r="W545" s="46">
        <f t="shared" si="168"/>
        <v>4.2253521126760563E-2</v>
      </c>
      <c r="X545" s="46">
        <f>0.3*W545*Model!$B$9</f>
        <v>3.8275201289827652</v>
      </c>
      <c r="Y545" s="17">
        <f>(S545-X545)/Model!$B$11</f>
        <v>3.9853006804710283E-3</v>
      </c>
      <c r="Z545" s="46">
        <f t="shared" si="169"/>
        <v>2.0602586858144024E-3</v>
      </c>
      <c r="AA545" s="57">
        <f>Y545/Model!$B$12*3600</f>
        <v>25.802944920994022</v>
      </c>
      <c r="AB545" s="51">
        <f t="shared" si="174"/>
        <v>197.42605915174269</v>
      </c>
      <c r="AC545" s="51">
        <f t="shared" si="176"/>
        <v>1602.5739408482573</v>
      </c>
      <c r="AD545" s="13">
        <f>IF(AE545=0, Model!$B$19, 0 )</f>
        <v>0</v>
      </c>
      <c r="AE545" s="51">
        <f>IF(AE544+AB544-AB545&lt;Model!$B$19*Model!$B$18, AE544+AB544-AB545,  0)</f>
        <v>246.20851455437085</v>
      </c>
      <c r="AF545" s="13">
        <f t="shared" si="170"/>
        <v>27.150000000000251</v>
      </c>
      <c r="AG545" s="50">
        <f t="shared" si="171"/>
        <v>0.99</v>
      </c>
    </row>
    <row r="546" spans="2:33" x14ac:dyDescent="0.25">
      <c r="B546" s="15">
        <f t="shared" si="172"/>
        <v>27.200000000000252</v>
      </c>
      <c r="C546" s="15">
        <f>B546+Model!$B$4</f>
        <v>29.200000000000252</v>
      </c>
      <c r="D546" s="15">
        <f t="shared" si="173"/>
        <v>2</v>
      </c>
      <c r="E546" s="15">
        <f t="shared" si="159"/>
        <v>5.2000000000002515</v>
      </c>
      <c r="F546" s="16">
        <f>IF(AB546&gt;0, VLOOKUP(B546,Model!$A$40:$B$60, 2), 0)</f>
        <v>300</v>
      </c>
      <c r="G546" s="15">
        <f>IF(AB546&gt;0, VLOOKUP(B546,Model!$A$39:$C$58, 3), 0)</f>
        <v>1</v>
      </c>
      <c r="H546" s="15">
        <f t="shared" si="160"/>
        <v>97</v>
      </c>
      <c r="I546" s="45">
        <f>Model!$B$21*EXP((-0.029*9.81*F546)/(8.31*(273+J546)))</f>
        <v>100357.4491247143</v>
      </c>
      <c r="J546" s="15">
        <f>IF(Model!$B$31="Summer",  IF(F546&lt;=2000,  Model!$B$20-Model!$B$35*F546/1000,  IF(F546&lt;Model!$B$36,  Model!$B$33-6.5*F546/1000,  Model!$B$38)),     IF(F546&lt;=2000,  Model!$B$20-Model!$B$35*F546/1000,  IF(F546&lt;Model!$B$36,  Model!$B$33-5.4*F546/1000,   Model!$B$38)))</f>
        <v>-19.088750000000001</v>
      </c>
      <c r="K546" s="15">
        <f t="shared" si="161"/>
        <v>253.91125</v>
      </c>
      <c r="L546" s="45">
        <f>IF(AB545-AA545*(B546-B545)&gt;0, L545-Y545*(B546-B545)*3600-AD546*Model!$B$16, 0)</f>
        <v>630.05647041736495</v>
      </c>
      <c r="M546" s="56">
        <f t="shared" si="162"/>
        <v>14.172577011641351</v>
      </c>
      <c r="N546" s="56">
        <f>Model!$B$13*I546*K546/(Model!$B$13*I546-L546*287*K546)</f>
        <v>287.17257701164135</v>
      </c>
      <c r="O546" s="56">
        <f t="shared" si="163"/>
        <v>270.54191350582067</v>
      </c>
      <c r="P546" s="56">
        <f t="shared" si="164"/>
        <v>-2.4578048040384797</v>
      </c>
      <c r="Q546" s="62">
        <f t="shared" si="165"/>
        <v>2.3825475858913269E-2</v>
      </c>
      <c r="R546" s="33">
        <f t="shared" si="175"/>
        <v>1.3344359004605349E-5</v>
      </c>
      <c r="S546" s="45">
        <f>0.37*Model!$B$10*(Q546^2*(N546-K546)*I546/(R546*O546^2))^0.33333*(N546-K546)</f>
        <v>185472.29630283191</v>
      </c>
      <c r="T546" s="50">
        <f>Model!$B$32+(90-Model!$B$6)*SIN(RADIANS(-15*(E546+6)))</f>
        <v>-14.147644239603649</v>
      </c>
      <c r="U546" s="45">
        <f t="shared" si="166"/>
        <v>0</v>
      </c>
      <c r="V546" s="50">
        <f t="shared" si="167"/>
        <v>99999</v>
      </c>
      <c r="W546" s="45">
        <f t="shared" si="168"/>
        <v>4.2253521126760563E-2</v>
      </c>
      <c r="X546" s="45">
        <f>0.3*W546*Model!$B$9</f>
        <v>3.8275201289827652</v>
      </c>
      <c r="Y546" s="33">
        <f>(S546-X546)/Model!$B$11</f>
        <v>3.978729352841423E-3</v>
      </c>
      <c r="Z546" s="45">
        <f t="shared" si="169"/>
        <v>2.0636613689913774E-3</v>
      </c>
      <c r="AA546" s="56">
        <f>Y546/Model!$B$12*3600</f>
        <v>25.760398669536663</v>
      </c>
      <c r="AB546" s="50">
        <f t="shared" si="174"/>
        <v>196.13591190569298</v>
      </c>
      <c r="AC546" s="50">
        <f t="shared" si="176"/>
        <v>1603.8640880943071</v>
      </c>
      <c r="AD546" s="15">
        <f>IF(AE546=0, Model!$B$19, 0 )</f>
        <v>0</v>
      </c>
      <c r="AE546" s="50">
        <f>IF(AE545+AB545-AB546&lt;Model!$B$19*Model!$B$18, AE545+AB545-AB546,  0)</f>
        <v>247.49866180042056</v>
      </c>
      <c r="AF546" s="15">
        <f t="shared" si="170"/>
        <v>27.200000000000252</v>
      </c>
      <c r="AG546" s="50">
        <f t="shared" si="171"/>
        <v>0.99</v>
      </c>
    </row>
    <row r="547" spans="2:33" x14ac:dyDescent="0.25">
      <c r="B547" s="13">
        <f t="shared" si="172"/>
        <v>27.250000000000252</v>
      </c>
      <c r="C547" s="13">
        <f>B547+Model!$B$4</f>
        <v>29.250000000000252</v>
      </c>
      <c r="D547" s="13">
        <f t="shared" si="173"/>
        <v>2</v>
      </c>
      <c r="E547" s="13">
        <f t="shared" ref="E547:E610" si="177">C547-24*(D547-1)</f>
        <v>5.2500000000002522</v>
      </c>
      <c r="F547" s="14">
        <f>IF(AB547&gt;0, VLOOKUP(B547,Model!$A$40:$B$60, 2), 0)</f>
        <v>300</v>
      </c>
      <c r="G547" s="13">
        <f>IF(AB547&gt;0, VLOOKUP(B547,Model!$A$39:$C$58, 3), 0)</f>
        <v>1</v>
      </c>
      <c r="H547" s="13">
        <f t="shared" si="160"/>
        <v>97</v>
      </c>
      <c r="I547" s="46">
        <f>Model!$B$21*EXP((-0.029*9.81*F547)/(8.31*(273+J547)))</f>
        <v>100357.4491247143</v>
      </c>
      <c r="J547" s="13">
        <f>IF(Model!$B$31="Summer",  IF(F547&lt;=2000,  Model!$B$20-Model!$B$35*F547/1000,  IF(F547&lt;Model!$B$36,  Model!$B$33-6.5*F547/1000,  Model!$B$38)),     IF(F547&lt;=2000,  Model!$B$20-Model!$B$35*F547/1000,  IF(F547&lt;Model!$B$36,  Model!$B$33-5.4*F547/1000,   Model!$B$38)))</f>
        <v>-19.088750000000001</v>
      </c>
      <c r="K547" s="13">
        <f t="shared" si="161"/>
        <v>253.91125</v>
      </c>
      <c r="L547" s="46">
        <f>IF(AB546-AA546*(B547-B546)&gt;0, L546-Y546*(B547-B546)*3600-AD547*Model!$B$16, 0)</f>
        <v>629.34029913385348</v>
      </c>
      <c r="M547" s="57">
        <f t="shared" si="162"/>
        <v>14.129823345713817</v>
      </c>
      <c r="N547" s="57">
        <f>Model!$B$13*I547*K547/(Model!$B$13*I547-L547*287*K547)</f>
        <v>287.12982334571382</v>
      </c>
      <c r="O547" s="57">
        <f t="shared" si="163"/>
        <v>270.52053667285691</v>
      </c>
      <c r="P547" s="57">
        <f t="shared" si="164"/>
        <v>-2.479181637002247</v>
      </c>
      <c r="Q547" s="63">
        <f t="shared" si="165"/>
        <v>2.382395810377284E-2</v>
      </c>
      <c r="R547" s="17">
        <f t="shared" si="175"/>
        <v>1.3342135813977117E-5</v>
      </c>
      <c r="S547" s="46">
        <f>0.37*Model!$B$10*(Q547^2*(N547-K547)*I547/(R547*O547^2))^0.33333*(N547-K547)</f>
        <v>185166.6673742758</v>
      </c>
      <c r="T547" s="51">
        <f>Model!$B$32+(90-Model!$B$6)*SIN(RADIANS(-15*(E547+6)))</f>
        <v>-13.698896331546553</v>
      </c>
      <c r="U547" s="46">
        <f t="shared" si="166"/>
        <v>0</v>
      </c>
      <c r="V547" s="51">
        <f t="shared" si="167"/>
        <v>99999</v>
      </c>
      <c r="W547" s="46">
        <f t="shared" si="168"/>
        <v>4.2253521126760563E-2</v>
      </c>
      <c r="X547" s="46">
        <f>0.3*W547*Model!$B$9</f>
        <v>3.8275201289827652</v>
      </c>
      <c r="Y547" s="17">
        <f>(S547-X547)/Model!$B$11</f>
        <v>3.9721729025881548E-3</v>
      </c>
      <c r="Z547" s="46">
        <f t="shared" si="169"/>
        <v>2.0670675685090941E-3</v>
      </c>
      <c r="AA547" s="57">
        <f>Y547/Model!$B$12*3600</f>
        <v>25.717948742084182</v>
      </c>
      <c r="AB547" s="51">
        <f t="shared" si="174"/>
        <v>194.84789197221613</v>
      </c>
      <c r="AC547" s="51">
        <f t="shared" si="176"/>
        <v>1605.1521080277839</v>
      </c>
      <c r="AD547" s="13">
        <f>IF(AE547=0, Model!$B$19, 0 )</f>
        <v>0</v>
      </c>
      <c r="AE547" s="51">
        <f>IF(AE546+AB546-AB547&lt;Model!$B$19*Model!$B$18, AE546+AB546-AB547,  0)</f>
        <v>248.78668173389741</v>
      </c>
      <c r="AF547" s="13">
        <f t="shared" si="170"/>
        <v>27.250000000000252</v>
      </c>
      <c r="AG547" s="50">
        <f t="shared" si="171"/>
        <v>0.99</v>
      </c>
    </row>
    <row r="548" spans="2:33" x14ac:dyDescent="0.25">
      <c r="B548" s="15">
        <f t="shared" si="172"/>
        <v>27.300000000000253</v>
      </c>
      <c r="C548" s="15">
        <f>B548+Model!$B$4</f>
        <v>29.300000000000253</v>
      </c>
      <c r="D548" s="15">
        <f t="shared" si="173"/>
        <v>2</v>
      </c>
      <c r="E548" s="15">
        <f t="shared" si="177"/>
        <v>5.300000000000253</v>
      </c>
      <c r="F548" s="16">
        <f>IF(AB548&gt;0, VLOOKUP(B548,Model!$A$40:$B$60, 2), 0)</f>
        <v>300</v>
      </c>
      <c r="G548" s="15">
        <f>IF(AB548&gt;0, VLOOKUP(B548,Model!$A$39:$C$58, 3), 0)</f>
        <v>1</v>
      </c>
      <c r="H548" s="15">
        <f t="shared" si="160"/>
        <v>97</v>
      </c>
      <c r="I548" s="45">
        <f>Model!$B$21*EXP((-0.029*9.81*F548)/(8.31*(273+J548)))</f>
        <v>100357.4491247143</v>
      </c>
      <c r="J548" s="15">
        <f>IF(Model!$B$31="Summer",  IF(F548&lt;=2000,  Model!$B$20-Model!$B$35*F548/1000,  IF(F548&lt;Model!$B$36,  Model!$B$33-6.5*F548/1000,  Model!$B$38)),     IF(F548&lt;=2000,  Model!$B$20-Model!$B$35*F548/1000,  IF(F548&lt;Model!$B$36,  Model!$B$33-5.4*F548/1000,   Model!$B$38)))</f>
        <v>-19.088750000000001</v>
      </c>
      <c r="K548" s="15">
        <f t="shared" si="161"/>
        <v>253.91125</v>
      </c>
      <c r="L548" s="45">
        <f>IF(AB547-AA547*(B548-B547)&gt;0, L547-Y547*(B548-B547)*3600-AD548*Model!$B$16, 0)</f>
        <v>628.62530801138757</v>
      </c>
      <c r="M548" s="56">
        <f t="shared" si="162"/>
        <v>14.087152829321212</v>
      </c>
      <c r="N548" s="56">
        <f>Model!$B$13*I548*K548/(Model!$B$13*I548-L548*287*K548)</f>
        <v>287.08715282932121</v>
      </c>
      <c r="O548" s="56">
        <f t="shared" si="163"/>
        <v>270.4992014146606</v>
      </c>
      <c r="P548" s="56">
        <f t="shared" si="164"/>
        <v>-2.5005168951985492</v>
      </c>
      <c r="Q548" s="62">
        <f t="shared" si="165"/>
        <v>2.3822443300440903E-2</v>
      </c>
      <c r="R548" s="33">
        <f t="shared" si="175"/>
        <v>1.3339916947124702E-5</v>
      </c>
      <c r="S548" s="45">
        <f>0.37*Model!$B$10*(Q548^2*(N548-K548)*I548/(R548*O548^2))^0.33333*(N548-K548)</f>
        <v>184861.72988296804</v>
      </c>
      <c r="T548" s="50">
        <f>Model!$B$32+(90-Model!$B$6)*SIN(RADIANS(-15*(E548+6)))</f>
        <v>-13.248978453207201</v>
      </c>
      <c r="U548" s="45">
        <f t="shared" si="166"/>
        <v>0</v>
      </c>
      <c r="V548" s="50">
        <f t="shared" si="167"/>
        <v>99999</v>
      </c>
      <c r="W548" s="45">
        <f t="shared" si="168"/>
        <v>4.2253521126760563E-2</v>
      </c>
      <c r="X548" s="45">
        <f>0.3*W548*Model!$B$9</f>
        <v>3.8275201289827652</v>
      </c>
      <c r="Y548" s="33">
        <f>(S548-X548)/Model!$B$11</f>
        <v>3.9656312852695283E-3</v>
      </c>
      <c r="Z548" s="45">
        <f t="shared" si="169"/>
        <v>2.0704772866757684E-3</v>
      </c>
      <c r="AA548" s="56">
        <f>Y548/Model!$B$12*3600</f>
        <v>25.675594850897536</v>
      </c>
      <c r="AB548" s="50">
        <f t="shared" si="174"/>
        <v>193.56199453511189</v>
      </c>
      <c r="AC548" s="50">
        <f t="shared" si="176"/>
        <v>1606.4380054648882</v>
      </c>
      <c r="AD548" s="15">
        <f>IF(AE548=0, Model!$B$19, 0 )</f>
        <v>0</v>
      </c>
      <c r="AE548" s="50">
        <f>IF(AE547+AB547-AB548&lt;Model!$B$19*Model!$B$18, AE547+AB547-AB548,  0)</f>
        <v>250.07257917100165</v>
      </c>
      <c r="AF548" s="15">
        <f t="shared" si="170"/>
        <v>27.300000000000253</v>
      </c>
      <c r="AG548" s="50">
        <f t="shared" si="171"/>
        <v>0.99</v>
      </c>
    </row>
    <row r="549" spans="2:33" x14ac:dyDescent="0.25">
      <c r="B549" s="13">
        <f t="shared" si="172"/>
        <v>27.350000000000254</v>
      </c>
      <c r="C549" s="13">
        <f>B549+Model!$B$4</f>
        <v>29.350000000000254</v>
      </c>
      <c r="D549" s="13">
        <f t="shared" si="173"/>
        <v>2</v>
      </c>
      <c r="E549" s="13">
        <f t="shared" si="177"/>
        <v>5.3500000000002537</v>
      </c>
      <c r="F549" s="14">
        <f>IF(AB549&gt;0, VLOOKUP(B549,Model!$A$40:$B$60, 2), 0)</f>
        <v>300</v>
      </c>
      <c r="G549" s="13">
        <f>IF(AB549&gt;0, VLOOKUP(B549,Model!$A$39:$C$58, 3), 0)</f>
        <v>1</v>
      </c>
      <c r="H549" s="13">
        <f t="shared" si="160"/>
        <v>97</v>
      </c>
      <c r="I549" s="46">
        <f>Model!$B$21*EXP((-0.029*9.81*F549)/(8.31*(273+J549)))</f>
        <v>100357.4491247143</v>
      </c>
      <c r="J549" s="13">
        <f>IF(Model!$B$31="Summer",  IF(F549&lt;=2000,  Model!$B$20-Model!$B$35*F549/1000,  IF(F549&lt;Model!$B$36,  Model!$B$33-6.5*F549/1000,  Model!$B$38)),     IF(F549&lt;=2000,  Model!$B$20-Model!$B$35*F549/1000,  IF(F549&lt;Model!$B$36,  Model!$B$33-5.4*F549/1000,   Model!$B$38)))</f>
        <v>-19.088750000000001</v>
      </c>
      <c r="K549" s="13">
        <f t="shared" si="161"/>
        <v>253.91125</v>
      </c>
      <c r="L549" s="46">
        <f>IF(AB548-AA548*(B549-B548)&gt;0, L548-Y548*(B549-B548)*3600-AD549*Model!$B$16, 0)</f>
        <v>627.91149438003902</v>
      </c>
      <c r="M549" s="57">
        <f t="shared" si="162"/>
        <v>14.044565234732374</v>
      </c>
      <c r="N549" s="57">
        <f>Model!$B$13*I549*K549/(Model!$B$13*I549-L549*287*K549)</f>
        <v>287.04456523473237</v>
      </c>
      <c r="O549" s="57">
        <f t="shared" si="163"/>
        <v>270.47790761736621</v>
      </c>
      <c r="P549" s="57">
        <f t="shared" si="164"/>
        <v>-2.5218106924929682</v>
      </c>
      <c r="Q549" s="63">
        <f t="shared" si="165"/>
        <v>2.3820931440833002E-2</v>
      </c>
      <c r="R549" s="17">
        <f t="shared" si="175"/>
        <v>1.3337702392206085E-5</v>
      </c>
      <c r="S549" s="46">
        <f>0.37*Model!$B$10*(Q549^2*(N549-K549)*I549/(R549*O549^2))^0.33333*(N549-K549)</f>
        <v>184557.4817651393</v>
      </c>
      <c r="T549" s="51">
        <f>Model!$B$32+(90-Model!$B$6)*SIN(RADIANS(-15*(E549+6)))</f>
        <v>-12.797967695697892</v>
      </c>
      <c r="U549" s="46">
        <f t="shared" si="166"/>
        <v>0</v>
      </c>
      <c r="V549" s="51">
        <f t="shared" si="167"/>
        <v>99999</v>
      </c>
      <c r="W549" s="46">
        <f t="shared" si="168"/>
        <v>4.2253521126760563E-2</v>
      </c>
      <c r="X549" s="46">
        <f>0.3*W549*Model!$B$9</f>
        <v>3.8275201289827652</v>
      </c>
      <c r="Y549" s="17">
        <f>(S549-X549)/Model!$B$11</f>
        <v>3.9591044566129E-3</v>
      </c>
      <c r="Z549" s="46">
        <f t="shared" si="169"/>
        <v>2.0738905258002593E-3</v>
      </c>
      <c r="AA549" s="57">
        <f>Y549/Model!$B$12*3600</f>
        <v>25.633336709332205</v>
      </c>
      <c r="AB549" s="51">
        <f t="shared" si="174"/>
        <v>192.27821479256698</v>
      </c>
      <c r="AC549" s="51">
        <f t="shared" si="176"/>
        <v>1607.721785207433</v>
      </c>
      <c r="AD549" s="13">
        <f>IF(AE549=0, Model!$B$19, 0 )</f>
        <v>0</v>
      </c>
      <c r="AE549" s="51">
        <f>IF(AE548+AB548-AB549&lt;Model!$B$19*Model!$B$18, AE548+AB548-AB549,  0)</f>
        <v>251.35635891354656</v>
      </c>
      <c r="AF549" s="13">
        <f t="shared" si="170"/>
        <v>27.350000000000254</v>
      </c>
      <c r="AG549" s="50">
        <f t="shared" si="171"/>
        <v>0.99</v>
      </c>
    </row>
    <row r="550" spans="2:33" x14ac:dyDescent="0.25">
      <c r="B550" s="15">
        <f t="shared" si="172"/>
        <v>27.400000000000254</v>
      </c>
      <c r="C550" s="15">
        <f>B550+Model!$B$4</f>
        <v>29.400000000000254</v>
      </c>
      <c r="D550" s="15">
        <f t="shared" si="173"/>
        <v>2</v>
      </c>
      <c r="E550" s="15">
        <f t="shared" si="177"/>
        <v>5.4000000000002544</v>
      </c>
      <c r="F550" s="16">
        <f>IF(AB550&gt;0, VLOOKUP(B550,Model!$A$40:$B$60, 2), 0)</f>
        <v>300</v>
      </c>
      <c r="G550" s="15">
        <f>IF(AB550&gt;0, VLOOKUP(B550,Model!$A$39:$C$58, 3), 0)</f>
        <v>1</v>
      </c>
      <c r="H550" s="15">
        <f t="shared" si="160"/>
        <v>97</v>
      </c>
      <c r="I550" s="45">
        <f>Model!$B$21*EXP((-0.029*9.81*F550)/(8.31*(273+J550)))</f>
        <v>100357.4491247143</v>
      </c>
      <c r="J550" s="15">
        <f>IF(Model!$B$31="Summer",  IF(F550&lt;=2000,  Model!$B$20-Model!$B$35*F550/1000,  IF(F550&lt;Model!$B$36,  Model!$B$33-6.5*F550/1000,  Model!$B$38)),     IF(F550&lt;=2000,  Model!$B$20-Model!$B$35*F550/1000,  IF(F550&lt;Model!$B$36,  Model!$B$33-5.4*F550/1000,   Model!$B$38)))</f>
        <v>-19.088750000000001</v>
      </c>
      <c r="K550" s="15">
        <f t="shared" si="161"/>
        <v>253.91125</v>
      </c>
      <c r="L550" s="45">
        <f>IF(AB549-AA549*(B550-B549)&gt;0, L549-Y549*(B550-B549)*3600-AD550*Model!$B$16, 0)</f>
        <v>627.19885557784869</v>
      </c>
      <c r="M550" s="56">
        <f t="shared" si="162"/>
        <v>14.002060335043211</v>
      </c>
      <c r="N550" s="56">
        <f>Model!$B$13*I550*K550/(Model!$B$13*I550-L550*287*K550)</f>
        <v>287.00206033504321</v>
      </c>
      <c r="O550" s="56">
        <f t="shared" si="163"/>
        <v>270.4566551675216</v>
      </c>
      <c r="P550" s="56">
        <f t="shared" si="164"/>
        <v>-2.5430631423375498</v>
      </c>
      <c r="Q550" s="62">
        <f t="shared" si="165"/>
        <v>2.3819422516894034E-2</v>
      </c>
      <c r="R550" s="33">
        <f t="shared" si="175"/>
        <v>1.3335492137422245E-5</v>
      </c>
      <c r="S550" s="45">
        <f>0.37*Model!$B$10*(Q550^2*(N550-K550)*I550/(R550*O550^2))^0.33333*(N550-K550)</f>
        <v>184253.92096486664</v>
      </c>
      <c r="T550" s="50">
        <f>Model!$B$32+(90-Model!$B$6)*SIN(RADIANS(-15*(E550+6)))</f>
        <v>-12.345941337390105</v>
      </c>
      <c r="U550" s="45">
        <f t="shared" si="166"/>
        <v>0</v>
      </c>
      <c r="V550" s="50">
        <f t="shared" si="167"/>
        <v>99999</v>
      </c>
      <c r="W550" s="45">
        <f t="shared" si="168"/>
        <v>4.2253521126760563E-2</v>
      </c>
      <c r="X550" s="45">
        <f>0.3*W550*Model!$B$9</f>
        <v>3.8275201289827652</v>
      </c>
      <c r="Y550" s="33">
        <f>(S550-X550)/Model!$B$11</f>
        <v>3.9525923725139472E-3</v>
      </c>
      <c r="Z550" s="45">
        <f t="shared" si="169"/>
        <v>2.0773072881920341E-3</v>
      </c>
      <c r="AA550" s="56">
        <f>Y550/Model!$B$12*3600</f>
        <v>25.591174031833479</v>
      </c>
      <c r="AB550" s="50">
        <f t="shared" si="174"/>
        <v>190.99654795710035</v>
      </c>
      <c r="AC550" s="50">
        <f t="shared" si="176"/>
        <v>1609.0034520428997</v>
      </c>
      <c r="AD550" s="15">
        <f>IF(AE550=0, Model!$B$19, 0 )</f>
        <v>0</v>
      </c>
      <c r="AE550" s="50">
        <f>IF(AE549+AB549-AB550&lt;Model!$B$19*Model!$B$18, AE549+AB549-AB550,  0)</f>
        <v>252.6380257490132</v>
      </c>
      <c r="AF550" s="15">
        <f t="shared" si="170"/>
        <v>27.400000000000254</v>
      </c>
      <c r="AG550" s="50">
        <f t="shared" si="171"/>
        <v>0.99</v>
      </c>
    </row>
    <row r="551" spans="2:33" x14ac:dyDescent="0.25">
      <c r="B551" s="13">
        <f t="shared" si="172"/>
        <v>27.450000000000255</v>
      </c>
      <c r="C551" s="13">
        <f>B551+Model!$B$4</f>
        <v>29.450000000000255</v>
      </c>
      <c r="D551" s="13">
        <f t="shared" si="173"/>
        <v>2</v>
      </c>
      <c r="E551" s="13">
        <f t="shared" si="177"/>
        <v>5.4500000000002551</v>
      </c>
      <c r="F551" s="14">
        <f>IF(AB551&gt;0, VLOOKUP(B551,Model!$A$40:$B$60, 2), 0)</f>
        <v>300</v>
      </c>
      <c r="G551" s="13">
        <f>IF(AB551&gt;0, VLOOKUP(B551,Model!$A$39:$C$58, 3), 0)</f>
        <v>1</v>
      </c>
      <c r="H551" s="13">
        <f t="shared" si="160"/>
        <v>97</v>
      </c>
      <c r="I551" s="46">
        <f>Model!$B$21*EXP((-0.029*9.81*F551)/(8.31*(273+J551)))</f>
        <v>100357.4491247143</v>
      </c>
      <c r="J551" s="13">
        <f>IF(Model!$B$31="Summer",  IF(F551&lt;=2000,  Model!$B$20-Model!$B$35*F551/1000,  IF(F551&lt;Model!$B$36,  Model!$B$33-6.5*F551/1000,  Model!$B$38)),     IF(F551&lt;=2000,  Model!$B$20-Model!$B$35*F551/1000,  IF(F551&lt;Model!$B$36,  Model!$B$33-5.4*F551/1000,   Model!$B$38)))</f>
        <v>-19.088750000000001</v>
      </c>
      <c r="K551" s="13">
        <f t="shared" si="161"/>
        <v>253.91125</v>
      </c>
      <c r="L551" s="46">
        <f>IF(AB550-AA550*(B551-B550)&gt;0, L550-Y550*(B551-B550)*3600-AD551*Model!$B$16, 0)</f>
        <v>626.48738895079612</v>
      </c>
      <c r="M551" s="57">
        <f t="shared" si="162"/>
        <v>13.959637904172382</v>
      </c>
      <c r="N551" s="57">
        <f>Model!$B$13*I551*K551/(Model!$B$13*I551-L551*287*K551)</f>
        <v>286.95963790417238</v>
      </c>
      <c r="O551" s="57">
        <f t="shared" si="163"/>
        <v>270.43544395208619</v>
      </c>
      <c r="P551" s="57">
        <f t="shared" si="164"/>
        <v>-2.5642743577729643</v>
      </c>
      <c r="Q551" s="63">
        <f t="shared" si="165"/>
        <v>2.3817916520598122E-2</v>
      </c>
      <c r="R551" s="17">
        <f t="shared" si="175"/>
        <v>1.3333286171016963E-5</v>
      </c>
      <c r="S551" s="46">
        <f>0.37*Model!$B$10*(Q551^2*(N551-K551)*I551/(R551*O551^2))^0.33333*(N551-K551)</f>
        <v>183951.04543403309</v>
      </c>
      <c r="T551" s="51">
        <f>Model!$B$32+(90-Model!$B$6)*SIN(RADIANS(-15*(E551+6)))</f>
        <v>-11.892976830673277</v>
      </c>
      <c r="U551" s="46">
        <f t="shared" si="166"/>
        <v>0</v>
      </c>
      <c r="V551" s="51">
        <f t="shared" si="167"/>
        <v>99999</v>
      </c>
      <c r="W551" s="46">
        <f t="shared" si="168"/>
        <v>4.2253521126760563E-2</v>
      </c>
      <c r="X551" s="46">
        <f>0.3*W551*Model!$B$9</f>
        <v>3.8275201289827652</v>
      </c>
      <c r="Y551" s="17">
        <f>(S551-X551)/Model!$B$11</f>
        <v>3.9460949890358062E-3</v>
      </c>
      <c r="Z551" s="46">
        <f t="shared" si="169"/>
        <v>2.0807275761612113E-3</v>
      </c>
      <c r="AA551" s="57">
        <f>Y551/Model!$B$12*3600</f>
        <v>25.549106533930853</v>
      </c>
      <c r="AB551" s="51">
        <f t="shared" si="174"/>
        <v>189.71698925550865</v>
      </c>
      <c r="AC551" s="51">
        <f t="shared" si="176"/>
        <v>1610.2830107444913</v>
      </c>
      <c r="AD551" s="13">
        <f>IF(AE551=0, Model!$B$19, 0 )</f>
        <v>0</v>
      </c>
      <c r="AE551" s="51">
        <f>IF(AE550+AB550-AB551&lt;Model!$B$19*Model!$B$18, AE550+AB550-AB551,  0)</f>
        <v>253.91758445060489</v>
      </c>
      <c r="AF551" s="13">
        <f t="shared" si="170"/>
        <v>27.450000000000255</v>
      </c>
      <c r="AG551" s="50">
        <f t="shared" si="171"/>
        <v>0.99</v>
      </c>
    </row>
    <row r="552" spans="2:33" x14ac:dyDescent="0.25">
      <c r="B552" s="15">
        <f t="shared" si="172"/>
        <v>27.500000000000256</v>
      </c>
      <c r="C552" s="15">
        <f>B552+Model!$B$4</f>
        <v>29.500000000000256</v>
      </c>
      <c r="D552" s="15">
        <f t="shared" si="173"/>
        <v>2</v>
      </c>
      <c r="E552" s="15">
        <f t="shared" si="177"/>
        <v>5.5000000000002558</v>
      </c>
      <c r="F552" s="16">
        <f>IF(AB552&gt;0, VLOOKUP(B552,Model!$A$40:$B$60, 2), 0)</f>
        <v>300</v>
      </c>
      <c r="G552" s="15">
        <f>IF(AB552&gt;0, VLOOKUP(B552,Model!$A$39:$C$58, 3), 0)</f>
        <v>1</v>
      </c>
      <c r="H552" s="15">
        <f t="shared" si="160"/>
        <v>97</v>
      </c>
      <c r="I552" s="45">
        <f>Model!$B$21*EXP((-0.029*9.81*F552)/(8.31*(273+J552)))</f>
        <v>100357.4491247143</v>
      </c>
      <c r="J552" s="15">
        <f>IF(Model!$B$31="Summer",  IF(F552&lt;=2000,  Model!$B$20-Model!$B$35*F552/1000,  IF(F552&lt;Model!$B$36,  Model!$B$33-6.5*F552/1000,  Model!$B$38)),     IF(F552&lt;=2000,  Model!$B$20-Model!$B$35*F552/1000,  IF(F552&lt;Model!$B$36,  Model!$B$33-5.4*F552/1000,   Model!$B$38)))</f>
        <v>-19.088750000000001</v>
      </c>
      <c r="K552" s="15">
        <f t="shared" si="161"/>
        <v>253.91125</v>
      </c>
      <c r="L552" s="45">
        <f>IF(AB551-AA551*(B552-B551)&gt;0, L551-Y551*(B552-B551)*3600-AD552*Model!$B$16, 0)</f>
        <v>625.77709185276967</v>
      </c>
      <c r="M552" s="56">
        <f t="shared" si="162"/>
        <v>13.917297716858002</v>
      </c>
      <c r="N552" s="56">
        <f>Model!$B$13*I552*K552/(Model!$B$13*I552-L552*287*K552)</f>
        <v>286.917297716858</v>
      </c>
      <c r="O552" s="56">
        <f t="shared" si="163"/>
        <v>270.414273858429</v>
      </c>
      <c r="P552" s="56">
        <f t="shared" si="164"/>
        <v>-2.5854444514301544</v>
      </c>
      <c r="Q552" s="62">
        <f t="shared" si="165"/>
        <v>2.3816413443948459E-2</v>
      </c>
      <c r="R552" s="33">
        <f t="shared" si="175"/>
        <v>1.3331084481276616E-5</v>
      </c>
      <c r="S552" s="45">
        <f>0.37*Model!$B$10*(Q552^2*(N552-K552)*I552/(R552*O552^2))^0.33333*(N552-K552)</f>
        <v>183648.85313229376</v>
      </c>
      <c r="T552" s="50">
        <f>Model!$B$32+(90-Model!$B$6)*SIN(RADIANS(-15*(E552+6)))</f>
        <v>-11.439151788683802</v>
      </c>
      <c r="U552" s="45">
        <f t="shared" si="166"/>
        <v>0</v>
      </c>
      <c r="V552" s="50">
        <f t="shared" si="167"/>
        <v>99999</v>
      </c>
      <c r="W552" s="45">
        <f t="shared" si="168"/>
        <v>4.2253521126760563E-2</v>
      </c>
      <c r="X552" s="45">
        <f>0.3*W552*Model!$B$9</f>
        <v>3.8275201289827652</v>
      </c>
      <c r="Y552" s="33">
        <f>(S552-X552)/Model!$B$11</f>
        <v>3.9396122624083402E-3</v>
      </c>
      <c r="Z552" s="45">
        <f t="shared" si="169"/>
        <v>2.0841513920185294E-3</v>
      </c>
      <c r="AA552" s="56">
        <f>Y552/Model!$B$12*3600</f>
        <v>25.507133932233309</v>
      </c>
      <c r="AB552" s="50">
        <f t="shared" si="174"/>
        <v>188.4395339288121</v>
      </c>
      <c r="AC552" s="50">
        <f t="shared" si="176"/>
        <v>1611.5604660711879</v>
      </c>
      <c r="AD552" s="15">
        <f>IF(AE552=0, Model!$B$19, 0 )</f>
        <v>0</v>
      </c>
      <c r="AE552" s="50">
        <f>IF(AE551+AB551-AB552&lt;Model!$B$19*Model!$B$18, AE551+AB551-AB552,  0)</f>
        <v>255.19503977730145</v>
      </c>
      <c r="AF552" s="15">
        <f t="shared" si="170"/>
        <v>27.500000000000256</v>
      </c>
      <c r="AG552" s="50">
        <f t="shared" si="171"/>
        <v>0.99</v>
      </c>
    </row>
    <row r="553" spans="2:33" x14ac:dyDescent="0.25">
      <c r="B553" s="13">
        <f t="shared" si="172"/>
        <v>27.550000000000257</v>
      </c>
      <c r="C553" s="13">
        <f>B553+Model!$B$4</f>
        <v>29.550000000000257</v>
      </c>
      <c r="D553" s="13">
        <f t="shared" si="173"/>
        <v>2</v>
      </c>
      <c r="E553" s="13">
        <f t="shared" si="177"/>
        <v>5.5500000000002565</v>
      </c>
      <c r="F553" s="14">
        <f>IF(AB553&gt;0, VLOOKUP(B553,Model!$A$40:$B$60, 2), 0)</f>
        <v>300</v>
      </c>
      <c r="G553" s="13">
        <f>IF(AB553&gt;0, VLOOKUP(B553,Model!$A$39:$C$58, 3), 0)</f>
        <v>1</v>
      </c>
      <c r="H553" s="13">
        <f t="shared" si="160"/>
        <v>97</v>
      </c>
      <c r="I553" s="46">
        <f>Model!$B$21*EXP((-0.029*9.81*F553)/(8.31*(273+J553)))</f>
        <v>100357.4491247143</v>
      </c>
      <c r="J553" s="13">
        <f>IF(Model!$B$31="Summer",  IF(F553&lt;=2000,  Model!$B$20-Model!$B$35*F553/1000,  IF(F553&lt;Model!$B$36,  Model!$B$33-6.5*F553/1000,  Model!$B$38)),     IF(F553&lt;=2000,  Model!$B$20-Model!$B$35*F553/1000,  IF(F553&lt;Model!$B$36,  Model!$B$33-5.4*F553/1000,   Model!$B$38)))</f>
        <v>-19.088750000000001</v>
      </c>
      <c r="K553" s="13">
        <f t="shared" si="161"/>
        <v>253.91125</v>
      </c>
      <c r="L553" s="46">
        <f>IF(AB552-AA552*(B553-B552)&gt;0, L552-Y552*(B553-B552)*3600-AD553*Model!$B$16, 0)</f>
        <v>625.06796164553612</v>
      </c>
      <c r="M553" s="57">
        <f t="shared" si="162"/>
        <v>13.87503954865349</v>
      </c>
      <c r="N553" s="57">
        <f>Model!$B$13*I553*K553/(Model!$B$13*I553-L553*287*K553)</f>
        <v>286.87503954865349</v>
      </c>
      <c r="O553" s="57">
        <f t="shared" si="163"/>
        <v>270.39314477432674</v>
      </c>
      <c r="P553" s="57">
        <f t="shared" si="164"/>
        <v>-2.6065735355324104</v>
      </c>
      <c r="Q553" s="63">
        <f t="shared" si="165"/>
        <v>2.3814913278977199E-2</v>
      </c>
      <c r="R553" s="17">
        <f t="shared" si="175"/>
        <v>1.3328887056529979E-5</v>
      </c>
      <c r="S553" s="46">
        <f>0.37*Model!$B$10*(Q553^2*(N553-K553)*I553/(R553*O553^2))^0.33333*(N553-K553)</f>
        <v>183347.34202703749</v>
      </c>
      <c r="T553" s="51">
        <f>Model!$B$32+(90-Model!$B$6)*SIN(RADIANS(-15*(E553+6)))</f>
        <v>-10.984543972006321</v>
      </c>
      <c r="U553" s="46">
        <f t="shared" si="166"/>
        <v>0</v>
      </c>
      <c r="V553" s="51">
        <f t="shared" si="167"/>
        <v>99999</v>
      </c>
      <c r="W553" s="46">
        <f t="shared" si="168"/>
        <v>4.2253521126760563E-2</v>
      </c>
      <c r="X553" s="46">
        <f>0.3*W553*Model!$B$9</f>
        <v>3.8275201289827652</v>
      </c>
      <c r="Y553" s="17">
        <f>(S553-X553)/Model!$B$11</f>
        <v>3.9331441490273195E-3</v>
      </c>
      <c r="Z553" s="46">
        <f t="shared" si="169"/>
        <v>2.0875787380753717E-3</v>
      </c>
      <c r="AA553" s="57">
        <f>Y553/Model!$B$12*3600</f>
        <v>25.465255944423994</v>
      </c>
      <c r="AB553" s="51">
        <f t="shared" si="174"/>
        <v>187.16417723220042</v>
      </c>
      <c r="AC553" s="51">
        <f t="shared" si="176"/>
        <v>1612.8358227677995</v>
      </c>
      <c r="AD553" s="13">
        <f>IF(AE553=0, Model!$B$19, 0 )</f>
        <v>0</v>
      </c>
      <c r="AE553" s="51">
        <f>IF(AE552+AB552-AB553&lt;Model!$B$19*Model!$B$18, AE552+AB552-AB553,  0)</f>
        <v>256.47039647391313</v>
      </c>
      <c r="AF553" s="13">
        <f t="shared" si="170"/>
        <v>27.550000000000257</v>
      </c>
      <c r="AG553" s="50">
        <f t="shared" si="171"/>
        <v>0.99</v>
      </c>
    </row>
    <row r="554" spans="2:33" x14ac:dyDescent="0.25">
      <c r="B554" s="15">
        <f t="shared" si="172"/>
        <v>27.600000000000257</v>
      </c>
      <c r="C554" s="15">
        <f>B554+Model!$B$4</f>
        <v>29.600000000000257</v>
      </c>
      <c r="D554" s="15">
        <f t="shared" si="173"/>
        <v>2</v>
      </c>
      <c r="E554" s="15">
        <f t="shared" si="177"/>
        <v>5.6000000000002572</v>
      </c>
      <c r="F554" s="16">
        <f>IF(AB554&gt;0, VLOOKUP(B554,Model!$A$40:$B$60, 2), 0)</f>
        <v>300</v>
      </c>
      <c r="G554" s="15">
        <f>IF(AB554&gt;0, VLOOKUP(B554,Model!$A$39:$C$58, 3), 0)</f>
        <v>1</v>
      </c>
      <c r="H554" s="15">
        <f t="shared" si="160"/>
        <v>97</v>
      </c>
      <c r="I554" s="45">
        <f>Model!$B$21*EXP((-0.029*9.81*F554)/(8.31*(273+J554)))</f>
        <v>100357.4491247143</v>
      </c>
      <c r="J554" s="15">
        <f>IF(Model!$B$31="Summer",  IF(F554&lt;=2000,  Model!$B$20-Model!$B$35*F554/1000,  IF(F554&lt;Model!$B$36,  Model!$B$33-6.5*F554/1000,  Model!$B$38)),     IF(F554&lt;=2000,  Model!$B$20-Model!$B$35*F554/1000,  IF(F554&lt;Model!$B$36,  Model!$B$33-5.4*F554/1000,   Model!$B$38)))</f>
        <v>-19.088750000000001</v>
      </c>
      <c r="K554" s="15">
        <f t="shared" si="161"/>
        <v>253.91125</v>
      </c>
      <c r="L554" s="45">
        <f>IF(AB553-AA553*(B554-B553)&gt;0, L553-Y553*(B554-B553)*3600-AD554*Model!$B$16, 0)</f>
        <v>624.35999569871115</v>
      </c>
      <c r="M554" s="56">
        <f t="shared" si="162"/>
        <v>13.832863175924103</v>
      </c>
      <c r="N554" s="56">
        <f>Model!$B$13*I554*K554/(Model!$B$13*I554-L554*287*K554)</f>
        <v>286.8328631759241</v>
      </c>
      <c r="O554" s="56">
        <f t="shared" si="163"/>
        <v>270.37205658796205</v>
      </c>
      <c r="P554" s="56">
        <f t="shared" si="164"/>
        <v>-2.6276617218971037</v>
      </c>
      <c r="Q554" s="62">
        <f t="shared" si="165"/>
        <v>2.3813416017745306E-2</v>
      </c>
      <c r="R554" s="33">
        <f t="shared" si="175"/>
        <v>1.3326693885148052E-5</v>
      </c>
      <c r="S554" s="45">
        <f>0.37*Model!$B$10*(Q554^2*(N554-K554)*I554/(R554*O554^2))^0.33333*(N554-K554)</f>
        <v>183046.51009335174</v>
      </c>
      <c r="T554" s="50">
        <f>Model!$B$32+(90-Model!$B$6)*SIN(RADIANS(-15*(E554+6)))</f>
        <v>-10.529231275349854</v>
      </c>
      <c r="U554" s="45">
        <f t="shared" si="166"/>
        <v>0</v>
      </c>
      <c r="V554" s="50">
        <f t="shared" si="167"/>
        <v>99999</v>
      </c>
      <c r="W554" s="45">
        <f t="shared" si="168"/>
        <v>4.2253521126760563E-2</v>
      </c>
      <c r="X554" s="45">
        <f>0.3*W554*Model!$B$9</f>
        <v>3.8275201289827652</v>
      </c>
      <c r="Y554" s="33">
        <f>(S554-X554)/Model!$B$11</f>
        <v>3.9266906054536681E-3</v>
      </c>
      <c r="Z554" s="45">
        <f t="shared" si="169"/>
        <v>2.0910096166437543E-3</v>
      </c>
      <c r="AA554" s="56">
        <f>Y554/Model!$B$12*3600</f>
        <v>25.423472289255347</v>
      </c>
      <c r="AB554" s="50">
        <f t="shared" si="174"/>
        <v>185.89091443497921</v>
      </c>
      <c r="AC554" s="50">
        <f t="shared" si="176"/>
        <v>1614.1090855650209</v>
      </c>
      <c r="AD554" s="15">
        <f>IF(AE554=0, Model!$B$19, 0 )</f>
        <v>0</v>
      </c>
      <c r="AE554" s="50">
        <f>IF(AE553+AB553-AB554&lt;Model!$B$19*Model!$B$18, AE553+AB553-AB554,  0)</f>
        <v>257.74365927113433</v>
      </c>
      <c r="AF554" s="15">
        <f t="shared" si="170"/>
        <v>27.600000000000257</v>
      </c>
      <c r="AG554" s="50">
        <f t="shared" si="171"/>
        <v>0.99</v>
      </c>
    </row>
    <row r="555" spans="2:33" x14ac:dyDescent="0.25">
      <c r="B555" s="13">
        <f t="shared" si="172"/>
        <v>27.650000000000258</v>
      </c>
      <c r="C555" s="13">
        <f>B555+Model!$B$4</f>
        <v>29.650000000000258</v>
      </c>
      <c r="D555" s="13">
        <f t="shared" si="173"/>
        <v>2</v>
      </c>
      <c r="E555" s="13">
        <f t="shared" si="177"/>
        <v>5.6500000000002579</v>
      </c>
      <c r="F555" s="14">
        <f>IF(AB555&gt;0, VLOOKUP(B555,Model!$A$40:$B$60, 2), 0)</f>
        <v>300</v>
      </c>
      <c r="G555" s="13">
        <f>IF(AB555&gt;0, VLOOKUP(B555,Model!$A$39:$C$58, 3), 0)</f>
        <v>1</v>
      </c>
      <c r="H555" s="13">
        <f t="shared" si="160"/>
        <v>97</v>
      </c>
      <c r="I555" s="46">
        <f>Model!$B$21*EXP((-0.029*9.81*F555)/(8.31*(273+J555)))</f>
        <v>100357.4491247143</v>
      </c>
      <c r="J555" s="13">
        <f>IF(Model!$B$31="Summer",  IF(F555&lt;=2000,  Model!$B$20-Model!$B$35*F555/1000,  IF(F555&lt;Model!$B$36,  Model!$B$33-6.5*F555/1000,  Model!$B$38)),     IF(F555&lt;=2000,  Model!$B$20-Model!$B$35*F555/1000,  IF(F555&lt;Model!$B$36,  Model!$B$33-5.4*F555/1000,   Model!$B$38)))</f>
        <v>-19.088750000000001</v>
      </c>
      <c r="K555" s="13">
        <f t="shared" si="161"/>
        <v>253.91125</v>
      </c>
      <c r="L555" s="46">
        <f>IF(AB554-AA554*(B555-B554)&gt;0, L554-Y554*(B555-B554)*3600-AD555*Model!$B$16, 0)</f>
        <v>623.6531913897295</v>
      </c>
      <c r="M555" s="57">
        <f t="shared" si="162"/>
        <v>13.7907683758433</v>
      </c>
      <c r="N555" s="57">
        <f>Model!$B$13*I555*K555/(Model!$B$13*I555-L555*287*K555)</f>
        <v>286.7907683758433</v>
      </c>
      <c r="O555" s="57">
        <f t="shared" si="163"/>
        <v>270.35100918792165</v>
      </c>
      <c r="P555" s="57">
        <f t="shared" si="164"/>
        <v>-2.6487091219375056</v>
      </c>
      <c r="Q555" s="63">
        <f t="shared" si="165"/>
        <v>2.3811921652342437E-2</v>
      </c>
      <c r="R555" s="17">
        <f t="shared" si="175"/>
        <v>1.3324504955543851E-5</v>
      </c>
      <c r="S555" s="46">
        <f>0.37*Model!$B$10*(Q555^2*(N555-K555)*I555/(R555*O555^2))^0.33333*(N555-K555)</f>
        <v>182746.35531398759</v>
      </c>
      <c r="T555" s="51">
        <f>Model!$B$32+(90-Model!$B$6)*SIN(RADIANS(-15*(E555+6)))</f>
        <v>-10.073291714201062</v>
      </c>
      <c r="U555" s="46">
        <f t="shared" si="166"/>
        <v>0</v>
      </c>
      <c r="V555" s="51">
        <f t="shared" si="167"/>
        <v>99999</v>
      </c>
      <c r="W555" s="46">
        <f t="shared" si="168"/>
        <v>4.2253521126760563E-2</v>
      </c>
      <c r="X555" s="46">
        <f>0.3*W555*Model!$B$9</f>
        <v>3.8275201289827652</v>
      </c>
      <c r="Y555" s="17">
        <f>(S555-X555)/Model!$B$11</f>
        <v>3.9202515884127131E-3</v>
      </c>
      <c r="Z555" s="46">
        <f t="shared" si="169"/>
        <v>2.094444030036315E-3</v>
      </c>
      <c r="AA555" s="57">
        <f>Y555/Model!$B$12*3600</f>
        <v>25.381782686544252</v>
      </c>
      <c r="AB555" s="51">
        <f t="shared" si="174"/>
        <v>184.61974082051643</v>
      </c>
      <c r="AC555" s="51">
        <f t="shared" si="176"/>
        <v>1615.3802591794836</v>
      </c>
      <c r="AD555" s="13">
        <f>IF(AE555=0, Model!$B$19, 0 )</f>
        <v>0</v>
      </c>
      <c r="AE555" s="51">
        <f>IF(AE554+AB554-AB555&lt;Model!$B$19*Model!$B$18, AE554+AB554-AB555,  0)</f>
        <v>259.01483288559712</v>
      </c>
      <c r="AF555" s="13">
        <f t="shared" si="170"/>
        <v>27.650000000000258</v>
      </c>
      <c r="AG555" s="50">
        <f t="shared" si="171"/>
        <v>0.99</v>
      </c>
    </row>
    <row r="556" spans="2:33" x14ac:dyDescent="0.25">
      <c r="B556" s="15">
        <f t="shared" si="172"/>
        <v>27.700000000000259</v>
      </c>
      <c r="C556" s="15">
        <f>B556+Model!$B$4</f>
        <v>29.700000000000259</v>
      </c>
      <c r="D556" s="15">
        <f t="shared" si="173"/>
        <v>2</v>
      </c>
      <c r="E556" s="15">
        <f t="shared" si="177"/>
        <v>5.7000000000002586</v>
      </c>
      <c r="F556" s="16">
        <f>IF(AB556&gt;0, VLOOKUP(B556,Model!$A$40:$B$60, 2), 0)</f>
        <v>300</v>
      </c>
      <c r="G556" s="15">
        <f>IF(AB556&gt;0, VLOOKUP(B556,Model!$A$39:$C$58, 3), 0)</f>
        <v>1</v>
      </c>
      <c r="H556" s="15">
        <f t="shared" si="160"/>
        <v>97</v>
      </c>
      <c r="I556" s="45">
        <f>Model!$B$21*EXP((-0.029*9.81*F556)/(8.31*(273+J556)))</f>
        <v>100357.4491247143</v>
      </c>
      <c r="J556" s="15">
        <f>IF(Model!$B$31="Summer",  IF(F556&lt;=2000,  Model!$B$20-Model!$B$35*F556/1000,  IF(F556&lt;Model!$B$36,  Model!$B$33-6.5*F556/1000,  Model!$B$38)),     IF(F556&lt;=2000,  Model!$B$20-Model!$B$35*F556/1000,  IF(F556&lt;Model!$B$36,  Model!$B$33-5.4*F556/1000,   Model!$B$38)))</f>
        <v>-19.088750000000001</v>
      </c>
      <c r="K556" s="15">
        <f t="shared" si="161"/>
        <v>253.91125</v>
      </c>
      <c r="L556" s="45">
        <f>IF(AB555-AA555*(B556-B555)&gt;0, L555-Y555*(B556-B555)*3600-AD556*Model!$B$16, 0)</f>
        <v>622.94754610381517</v>
      </c>
      <c r="M556" s="56">
        <f t="shared" si="162"/>
        <v>13.748754926388813</v>
      </c>
      <c r="N556" s="56">
        <f>Model!$B$13*I556*K556/(Model!$B$13*I556-L556*287*K556)</f>
        <v>286.74875492638881</v>
      </c>
      <c r="O556" s="56">
        <f t="shared" si="163"/>
        <v>270.33000246319443</v>
      </c>
      <c r="P556" s="56">
        <f t="shared" si="164"/>
        <v>-2.669715846664749</v>
      </c>
      <c r="Q556" s="62">
        <f t="shared" si="165"/>
        <v>2.3810430174886807E-2</v>
      </c>
      <c r="R556" s="33">
        <f t="shared" si="175"/>
        <v>1.3322320256172221E-5</v>
      </c>
      <c r="S556" s="45">
        <f>0.37*Model!$B$10*(Q556^2*(N556-K556)*I556/(R556*O556^2))^0.33333*(N556-K556)</f>
        <v>182446.87567932211</v>
      </c>
      <c r="T556" s="50">
        <f>Model!$B$32+(90-Model!$B$6)*SIN(RADIANS(-15*(E556+6)))</f>
        <v>-9.6168034114565444</v>
      </c>
      <c r="U556" s="45">
        <f t="shared" si="166"/>
        <v>0</v>
      </c>
      <c r="V556" s="50">
        <f t="shared" si="167"/>
        <v>99999</v>
      </c>
      <c r="W556" s="45">
        <f t="shared" si="168"/>
        <v>4.2253521126760563E-2</v>
      </c>
      <c r="X556" s="45">
        <f>0.3*W556*Model!$B$9</f>
        <v>3.8275201289827652</v>
      </c>
      <c r="Y556" s="33">
        <f>(S556-X556)/Model!$B$11</f>
        <v>3.9138270547933738E-3</v>
      </c>
      <c r="Z556" s="45">
        <f t="shared" si="169"/>
        <v>2.0978819805663371E-3</v>
      </c>
      <c r="AA556" s="56">
        <f>Y556/Model!$B$12*3600</f>
        <v>25.340186857166756</v>
      </c>
      <c r="AB556" s="50">
        <f t="shared" si="174"/>
        <v>183.3506516861892</v>
      </c>
      <c r="AC556" s="50">
        <f t="shared" si="176"/>
        <v>1616.6493483138108</v>
      </c>
      <c r="AD556" s="15">
        <f>IF(AE556=0, Model!$B$19, 0 )</f>
        <v>0</v>
      </c>
      <c r="AE556" s="50">
        <f>IF(AE555+AB555-AB556&lt;Model!$B$19*Model!$B$18, AE555+AB555-AB556,  0)</f>
        <v>260.28392201992438</v>
      </c>
      <c r="AF556" s="15">
        <f t="shared" si="170"/>
        <v>27.700000000000259</v>
      </c>
      <c r="AG556" s="50">
        <f t="shared" si="171"/>
        <v>0.99</v>
      </c>
    </row>
    <row r="557" spans="2:33" x14ac:dyDescent="0.25">
      <c r="B557" s="13">
        <f t="shared" si="172"/>
        <v>27.750000000000259</v>
      </c>
      <c r="C557" s="13">
        <f>B557+Model!$B$4</f>
        <v>29.750000000000259</v>
      </c>
      <c r="D557" s="13">
        <f t="shared" si="173"/>
        <v>2</v>
      </c>
      <c r="E557" s="13">
        <f t="shared" si="177"/>
        <v>5.7500000000002593</v>
      </c>
      <c r="F557" s="14">
        <f>IF(AB557&gt;0, VLOOKUP(B557,Model!$A$40:$B$60, 2), 0)</f>
        <v>300</v>
      </c>
      <c r="G557" s="13">
        <f>IF(AB557&gt;0, VLOOKUP(B557,Model!$A$39:$C$58, 3), 0)</f>
        <v>1</v>
      </c>
      <c r="H557" s="13">
        <f t="shared" si="160"/>
        <v>97</v>
      </c>
      <c r="I557" s="46">
        <f>Model!$B$21*EXP((-0.029*9.81*F557)/(8.31*(273+J557)))</f>
        <v>100357.4491247143</v>
      </c>
      <c r="J557" s="13">
        <f>IF(Model!$B$31="Summer",  IF(F557&lt;=2000,  Model!$B$20-Model!$B$35*F557/1000,  IF(F557&lt;Model!$B$36,  Model!$B$33-6.5*F557/1000,  Model!$B$38)),     IF(F557&lt;=2000,  Model!$B$20-Model!$B$35*F557/1000,  IF(F557&lt;Model!$B$36,  Model!$B$33-5.4*F557/1000,   Model!$B$38)))</f>
        <v>-19.088750000000001</v>
      </c>
      <c r="K557" s="13">
        <f t="shared" si="161"/>
        <v>253.91125</v>
      </c>
      <c r="L557" s="46">
        <f>IF(AB556-AA556*(B557-B556)&gt;0, L556-Y556*(B557-B556)*3600-AD557*Model!$B$16, 0)</f>
        <v>622.2430572339523</v>
      </c>
      <c r="M557" s="57">
        <f t="shared" si="162"/>
        <v>13.706822606339131</v>
      </c>
      <c r="N557" s="57">
        <f>Model!$B$13*I557*K557/(Model!$B$13*I557-L557*287*K557)</f>
        <v>286.70682260633913</v>
      </c>
      <c r="O557" s="57">
        <f t="shared" si="163"/>
        <v>270.30903630316959</v>
      </c>
      <c r="P557" s="57">
        <f t="shared" si="164"/>
        <v>-2.69068200668959</v>
      </c>
      <c r="Q557" s="63">
        <f t="shared" si="165"/>
        <v>2.3808941577525042E-2</v>
      </c>
      <c r="R557" s="17">
        <f t="shared" si="175"/>
        <v>1.3320139775529638E-5</v>
      </c>
      <c r="S557" s="46">
        <f>0.37*Model!$B$10*(Q557^2*(N557-K557)*I557/(R557*O557^2))^0.33333*(N557-K557)</f>
        <v>182148.06918732374</v>
      </c>
      <c r="T557" s="51">
        <f>Model!$B$32+(90-Model!$B$6)*SIN(RADIANS(-15*(E557+6)))</f>
        <v>-9.1598445840369589</v>
      </c>
      <c r="U557" s="46">
        <f t="shared" si="166"/>
        <v>0</v>
      </c>
      <c r="V557" s="51">
        <f t="shared" si="167"/>
        <v>99999</v>
      </c>
      <c r="W557" s="46">
        <f t="shared" si="168"/>
        <v>4.2253521126760563E-2</v>
      </c>
      <c r="X557" s="46">
        <f>0.3*W557*Model!$B$9</f>
        <v>3.8275201289827652</v>
      </c>
      <c r="Y557" s="17">
        <f>(S557-X557)/Model!$B$11</f>
        <v>3.9074169616474261E-3</v>
      </c>
      <c r="Z557" s="46">
        <f t="shared" si="169"/>
        <v>2.1013234705477375E-3</v>
      </c>
      <c r="AA557" s="57">
        <f>Y557/Model!$B$12*3600</f>
        <v>25.298684523053343</v>
      </c>
      <c r="AB557" s="51">
        <f t="shared" si="174"/>
        <v>182.08364234333084</v>
      </c>
      <c r="AC557" s="51">
        <f t="shared" si="176"/>
        <v>1617.9163576566691</v>
      </c>
      <c r="AD557" s="13">
        <f>IF(AE557=0, Model!$B$19, 0 )</f>
        <v>0</v>
      </c>
      <c r="AE557" s="51">
        <f>IF(AE556+AB556-AB557&lt;Model!$B$19*Model!$B$18, AE556+AB556-AB557,  0)</f>
        <v>261.55093136278271</v>
      </c>
      <c r="AF557" s="13">
        <f t="shared" si="170"/>
        <v>27.750000000000259</v>
      </c>
      <c r="AG557" s="50">
        <f t="shared" si="171"/>
        <v>0.99</v>
      </c>
    </row>
    <row r="558" spans="2:33" x14ac:dyDescent="0.25">
      <c r="B558" s="15">
        <f t="shared" si="172"/>
        <v>27.80000000000026</v>
      </c>
      <c r="C558" s="15">
        <f>B558+Model!$B$4</f>
        <v>29.80000000000026</v>
      </c>
      <c r="D558" s="15">
        <f t="shared" si="173"/>
        <v>2</v>
      </c>
      <c r="E558" s="15">
        <f t="shared" si="177"/>
        <v>5.8000000000002601</v>
      </c>
      <c r="F558" s="16">
        <f>IF(AB558&gt;0, VLOOKUP(B558,Model!$A$40:$B$60, 2), 0)</f>
        <v>300</v>
      </c>
      <c r="G558" s="15">
        <f>IF(AB558&gt;0, VLOOKUP(B558,Model!$A$39:$C$58, 3), 0)</f>
        <v>1</v>
      </c>
      <c r="H558" s="15">
        <f t="shared" si="160"/>
        <v>97</v>
      </c>
      <c r="I558" s="45">
        <f>Model!$B$21*EXP((-0.029*9.81*F558)/(8.31*(273+J558)))</f>
        <v>100357.4491247143</v>
      </c>
      <c r="J558" s="15">
        <f>IF(Model!$B$31="Summer",  IF(F558&lt;=2000,  Model!$B$20-Model!$B$35*F558/1000,  IF(F558&lt;Model!$B$36,  Model!$B$33-6.5*F558/1000,  Model!$B$38)),     IF(F558&lt;=2000,  Model!$B$20-Model!$B$35*F558/1000,  IF(F558&lt;Model!$B$36,  Model!$B$33-5.4*F558/1000,   Model!$B$38)))</f>
        <v>-19.088750000000001</v>
      </c>
      <c r="K558" s="15">
        <f t="shared" si="161"/>
        <v>253.91125</v>
      </c>
      <c r="L558" s="45">
        <f>IF(AB557-AA557*(B558-B557)&gt;0, L557-Y557*(B558-B557)*3600-AD558*Model!$B$16, 0)</f>
        <v>621.53972218085573</v>
      </c>
      <c r="M558" s="56">
        <f t="shared" si="162"/>
        <v>13.664971195269857</v>
      </c>
      <c r="N558" s="56">
        <f>Model!$B$13*I558*K558/(Model!$B$13*I558-L558*287*K558)</f>
        <v>286.66497119526986</v>
      </c>
      <c r="O558" s="56">
        <f t="shared" si="163"/>
        <v>270.28811059763495</v>
      </c>
      <c r="P558" s="56">
        <f t="shared" si="164"/>
        <v>-2.711607712224227</v>
      </c>
      <c r="Q558" s="62">
        <f t="shared" si="165"/>
        <v>2.3807455852432081E-2</v>
      </c>
      <c r="R558" s="33">
        <f t="shared" si="175"/>
        <v>1.3317963502154034E-5</v>
      </c>
      <c r="S558" s="45">
        <f>0.37*Model!$B$10*(Q558^2*(N558-K558)*I558/(R558*O558^2))^0.33333*(N558-K558)</f>
        <v>181849.93384351712</v>
      </c>
      <c r="T558" s="50">
        <f>Model!$B$32+(90-Model!$B$6)*SIN(RADIANS(-15*(E558+6)))</f>
        <v>-8.7024935294849808</v>
      </c>
      <c r="U558" s="45">
        <f t="shared" si="166"/>
        <v>0</v>
      </c>
      <c r="V558" s="50">
        <f t="shared" si="167"/>
        <v>99999</v>
      </c>
      <c r="W558" s="45">
        <f t="shared" si="168"/>
        <v>4.2253521126760563E-2</v>
      </c>
      <c r="X558" s="45">
        <f>0.3*W558*Model!$B$9</f>
        <v>3.8275201289827652</v>
      </c>
      <c r="Y558" s="33">
        <f>(S558-X558)/Model!$B$11</f>
        <v>3.9010212661887405E-3</v>
      </c>
      <c r="Z558" s="45">
        <f t="shared" si="169"/>
        <v>2.104768502295067E-3</v>
      </c>
      <c r="AA558" s="56">
        <f>Y558/Model!$B$12*3600</f>
        <v>25.257275407183968</v>
      </c>
      <c r="AB558" s="50">
        <f t="shared" si="174"/>
        <v>180.81870811717815</v>
      </c>
      <c r="AC558" s="50">
        <f t="shared" si="176"/>
        <v>1619.1812918828218</v>
      </c>
      <c r="AD558" s="15">
        <f>IF(AE558=0, Model!$B$19, 0 )</f>
        <v>0</v>
      </c>
      <c r="AE558" s="50">
        <f>IF(AE557+AB557-AB558&lt;Model!$B$19*Model!$B$18, AE557+AB557-AB558,  0)</f>
        <v>262.81586558893537</v>
      </c>
      <c r="AF558" s="15">
        <f t="shared" si="170"/>
        <v>27.80000000000026</v>
      </c>
      <c r="AG558" s="50">
        <f t="shared" si="171"/>
        <v>0.99</v>
      </c>
    </row>
    <row r="559" spans="2:33" x14ac:dyDescent="0.25">
      <c r="B559" s="13">
        <f t="shared" si="172"/>
        <v>27.850000000000261</v>
      </c>
      <c r="C559" s="13">
        <f>B559+Model!$B$4</f>
        <v>29.850000000000261</v>
      </c>
      <c r="D559" s="13">
        <f t="shared" si="173"/>
        <v>2</v>
      </c>
      <c r="E559" s="13">
        <f t="shared" si="177"/>
        <v>5.8500000000002608</v>
      </c>
      <c r="F559" s="14">
        <f>IF(AB559&gt;0, VLOOKUP(B559,Model!$A$40:$B$60, 2), 0)</f>
        <v>300</v>
      </c>
      <c r="G559" s="13">
        <f>IF(AB559&gt;0, VLOOKUP(B559,Model!$A$39:$C$58, 3), 0)</f>
        <v>1</v>
      </c>
      <c r="H559" s="13">
        <f t="shared" si="160"/>
        <v>97</v>
      </c>
      <c r="I559" s="46">
        <f>Model!$B$21*EXP((-0.029*9.81*F559)/(8.31*(273+J559)))</f>
        <v>100357.4491247143</v>
      </c>
      <c r="J559" s="13">
        <f>IF(Model!$B$31="Summer",  IF(F559&lt;=2000,  Model!$B$20-Model!$B$35*F559/1000,  IF(F559&lt;Model!$B$36,  Model!$B$33-6.5*F559/1000,  Model!$B$38)),     IF(F559&lt;=2000,  Model!$B$20-Model!$B$35*F559/1000,  IF(F559&lt;Model!$B$36,  Model!$B$33-5.4*F559/1000,   Model!$B$38)))</f>
        <v>-19.088750000000001</v>
      </c>
      <c r="K559" s="13">
        <f t="shared" si="161"/>
        <v>253.91125</v>
      </c>
      <c r="L559" s="46">
        <f>IF(AB558-AA558*(B559-B558)&gt;0, L558-Y558*(B559-B558)*3600-AD559*Model!$B$16, 0)</f>
        <v>620.83753835294181</v>
      </c>
      <c r="M559" s="57">
        <f t="shared" si="162"/>
        <v>13.623200473550071</v>
      </c>
      <c r="N559" s="57">
        <f>Model!$B$13*I559*K559/(Model!$B$13*I559-L559*287*K559)</f>
        <v>286.62320047355007</v>
      </c>
      <c r="O559" s="57">
        <f t="shared" si="163"/>
        <v>270.26722523677506</v>
      </c>
      <c r="P559" s="57">
        <f t="shared" si="164"/>
        <v>-2.7324930730841199</v>
      </c>
      <c r="Q559" s="63">
        <f t="shared" si="165"/>
        <v>2.3805972991811031E-2</v>
      </c>
      <c r="R559" s="17">
        <f t="shared" si="175"/>
        <v>1.3315791424624605E-5</v>
      </c>
      <c r="S559" s="46">
        <f>0.37*Model!$B$10*(Q559^2*(N559-K559)*I559/(R559*O559^2))^0.33333*(N559-K559)</f>
        <v>181552.46766094753</v>
      </c>
      <c r="T559" s="51">
        <f>Model!$B$32+(90-Model!$B$6)*SIN(RADIANS(-15*(E559+6)))</f>
        <v>-8.2448286125493286</v>
      </c>
      <c r="U559" s="46">
        <f t="shared" si="166"/>
        <v>0</v>
      </c>
      <c r="V559" s="51">
        <f t="shared" si="167"/>
        <v>99999</v>
      </c>
      <c r="W559" s="46">
        <f t="shared" si="168"/>
        <v>4.2253521126760563E-2</v>
      </c>
      <c r="X559" s="46">
        <f>0.3*W559*Model!$B$9</f>
        <v>3.8275201289827652</v>
      </c>
      <c r="Y559" s="17">
        <f>(S559-X559)/Model!$B$11</f>
        <v>3.8946399257925248E-3</v>
      </c>
      <c r="Z559" s="46">
        <f t="shared" si="169"/>
        <v>2.1082170781235136E-3</v>
      </c>
      <c r="AA559" s="57">
        <f>Y559/Model!$B$12*3600</f>
        <v>25.215959233583181</v>
      </c>
      <c r="AB559" s="51">
        <f t="shared" si="174"/>
        <v>179.55584434681893</v>
      </c>
      <c r="AC559" s="51">
        <f t="shared" si="176"/>
        <v>1620.444155653181</v>
      </c>
      <c r="AD559" s="13">
        <f>IF(AE559=0, Model!$B$19, 0 )</f>
        <v>0</v>
      </c>
      <c r="AE559" s="51">
        <f>IF(AE558+AB558-AB559&lt;Model!$B$19*Model!$B$18, AE558+AB558-AB559,  0)</f>
        <v>264.07872935929458</v>
      </c>
      <c r="AF559" s="13">
        <f t="shared" si="170"/>
        <v>27.850000000000261</v>
      </c>
      <c r="AG559" s="50">
        <f t="shared" si="171"/>
        <v>0.99</v>
      </c>
    </row>
    <row r="560" spans="2:33" x14ac:dyDescent="0.25">
      <c r="B560" s="15">
        <f t="shared" si="172"/>
        <v>27.900000000000261</v>
      </c>
      <c r="C560" s="15">
        <f>B560+Model!$B$4</f>
        <v>29.900000000000261</v>
      </c>
      <c r="D560" s="15">
        <f t="shared" si="173"/>
        <v>2</v>
      </c>
      <c r="E560" s="15">
        <f t="shared" si="177"/>
        <v>5.9000000000002615</v>
      </c>
      <c r="F560" s="16">
        <f>IF(AB560&gt;0, VLOOKUP(B560,Model!$A$40:$B$60, 2), 0)</f>
        <v>300</v>
      </c>
      <c r="G560" s="15">
        <f>IF(AB560&gt;0, VLOOKUP(B560,Model!$A$39:$C$58, 3), 0)</f>
        <v>1</v>
      </c>
      <c r="H560" s="15">
        <f t="shared" si="160"/>
        <v>97</v>
      </c>
      <c r="I560" s="45">
        <f>Model!$B$21*EXP((-0.029*9.81*F560)/(8.31*(273+J560)))</f>
        <v>100357.4491247143</v>
      </c>
      <c r="J560" s="15">
        <f>IF(Model!$B$31="Summer",  IF(F560&lt;=2000,  Model!$B$20-Model!$B$35*F560/1000,  IF(F560&lt;Model!$B$36,  Model!$B$33-6.5*F560/1000,  Model!$B$38)),     IF(F560&lt;=2000,  Model!$B$20-Model!$B$35*F560/1000,  IF(F560&lt;Model!$B$36,  Model!$B$33-5.4*F560/1000,   Model!$B$38)))</f>
        <v>-19.088750000000001</v>
      </c>
      <c r="K560" s="15">
        <f t="shared" si="161"/>
        <v>253.91125</v>
      </c>
      <c r="L560" s="45">
        <f>IF(AB559-AA559*(B560-B559)&gt;0, L559-Y559*(B560-B559)*3600-AD560*Model!$B$16, 0)</f>
        <v>620.13650316629912</v>
      </c>
      <c r="M560" s="56">
        <f t="shared" si="162"/>
        <v>13.581510222338807</v>
      </c>
      <c r="N560" s="56">
        <f>Model!$B$13*I560*K560/(Model!$B$13*I560-L560*287*K560)</f>
        <v>286.58151022233881</v>
      </c>
      <c r="O560" s="56">
        <f t="shared" si="163"/>
        <v>270.2463801111694</v>
      </c>
      <c r="P560" s="56">
        <f t="shared" si="164"/>
        <v>-2.753338198689752</v>
      </c>
      <c r="Q560" s="62">
        <f t="shared" si="165"/>
        <v>2.3804492987893028E-2</v>
      </c>
      <c r="R560" s="33">
        <f t="shared" si="175"/>
        <v>1.3313623531561617E-5</v>
      </c>
      <c r="S560" s="45">
        <f>0.37*Model!$B$10*(Q560^2*(N560-K560)*I560/(R560*O560^2))^0.33333*(N560-K560)</f>
        <v>181255.6686601468</v>
      </c>
      <c r="T560" s="50">
        <f>Model!$B$32+(90-Model!$B$6)*SIN(RADIANS(-15*(E560+6)))</f>
        <v>-7.7869282517574847</v>
      </c>
      <c r="U560" s="45">
        <f t="shared" si="166"/>
        <v>0</v>
      </c>
      <c r="V560" s="50">
        <f t="shared" si="167"/>
        <v>99999</v>
      </c>
      <c r="W560" s="45">
        <f t="shared" si="168"/>
        <v>4.2253521126760563E-2</v>
      </c>
      <c r="X560" s="45">
        <f>0.3*W560*Model!$B$9</f>
        <v>3.8275201289827652</v>
      </c>
      <c r="Y560" s="33">
        <f>(S560-X560)/Model!$B$11</f>
        <v>3.8882728979945901E-3</v>
      </c>
      <c r="Z560" s="45">
        <f t="shared" si="169"/>
        <v>2.1116692003488955E-3</v>
      </c>
      <c r="AA560" s="56">
        <f>Y560/Model!$B$12*3600</f>
        <v>25.174735727315362</v>
      </c>
      <c r="AB560" s="50">
        <f t="shared" si="174"/>
        <v>178.29504638513976</v>
      </c>
      <c r="AC560" s="50">
        <f t="shared" si="176"/>
        <v>1621.7049536148602</v>
      </c>
      <c r="AD560" s="15">
        <f>IF(AE560=0, Model!$B$19, 0 )</f>
        <v>0</v>
      </c>
      <c r="AE560" s="50">
        <f>IF(AE559+AB559-AB560&lt;Model!$B$19*Model!$B$18, AE559+AB559-AB560,  0)</f>
        <v>265.33952732097379</v>
      </c>
      <c r="AF560" s="15">
        <f t="shared" si="170"/>
        <v>27.900000000000261</v>
      </c>
      <c r="AG560" s="50">
        <f t="shared" si="171"/>
        <v>0.99</v>
      </c>
    </row>
    <row r="561" spans="2:33" x14ac:dyDescent="0.25">
      <c r="B561" s="13">
        <f t="shared" si="172"/>
        <v>27.950000000000262</v>
      </c>
      <c r="C561" s="13">
        <f>B561+Model!$B$4</f>
        <v>29.950000000000262</v>
      </c>
      <c r="D561" s="13">
        <f t="shared" si="173"/>
        <v>2</v>
      </c>
      <c r="E561" s="13">
        <f t="shared" si="177"/>
        <v>5.9500000000002622</v>
      </c>
      <c r="F561" s="14">
        <f>IF(AB561&gt;0, VLOOKUP(B561,Model!$A$40:$B$60, 2), 0)</f>
        <v>300</v>
      </c>
      <c r="G561" s="13">
        <f>IF(AB561&gt;0, VLOOKUP(B561,Model!$A$39:$C$58, 3), 0)</f>
        <v>1</v>
      </c>
      <c r="H561" s="13">
        <f t="shared" si="160"/>
        <v>97</v>
      </c>
      <c r="I561" s="46">
        <f>Model!$B$21*EXP((-0.029*9.81*F561)/(8.31*(273+J561)))</f>
        <v>100357.4491247143</v>
      </c>
      <c r="J561" s="13">
        <f>IF(Model!$B$31="Summer",  IF(F561&lt;=2000,  Model!$B$20-Model!$B$35*F561/1000,  IF(F561&lt;Model!$B$36,  Model!$B$33-6.5*F561/1000,  Model!$B$38)),     IF(F561&lt;=2000,  Model!$B$20-Model!$B$35*F561/1000,  IF(F561&lt;Model!$B$36,  Model!$B$33-5.4*F561/1000,   Model!$B$38)))</f>
        <v>-19.088750000000001</v>
      </c>
      <c r="K561" s="13">
        <f t="shared" si="161"/>
        <v>253.91125</v>
      </c>
      <c r="L561" s="46">
        <f>IF(AB560-AA560*(B561-B560)&gt;0, L560-Y560*(B561-B560)*3600-AD561*Model!$B$16, 0)</f>
        <v>619.43661404466013</v>
      </c>
      <c r="M561" s="57">
        <f t="shared" si="162"/>
        <v>13.539900223581242</v>
      </c>
      <c r="N561" s="57">
        <f>Model!$B$13*I561*K561/(Model!$B$13*I561-L561*287*K561)</f>
        <v>286.53990022358124</v>
      </c>
      <c r="O561" s="57">
        <f t="shared" si="163"/>
        <v>270.22557511179059</v>
      </c>
      <c r="P561" s="57">
        <f t="shared" si="164"/>
        <v>-2.7741431980685345</v>
      </c>
      <c r="Q561" s="63">
        <f t="shared" si="165"/>
        <v>2.3803015832937133E-2</v>
      </c>
      <c r="R561" s="17">
        <f t="shared" si="175"/>
        <v>1.331145981162622E-5</v>
      </c>
      <c r="S561" s="46">
        <f>0.37*Model!$B$10*(Q561^2*(N561-K561)*I561/(R561*O561^2))^0.33333*(N561-K561)</f>
        <v>180959.53486909679</v>
      </c>
      <c r="T561" s="51">
        <f>Model!$B$32+(90-Model!$B$6)*SIN(RADIANS(-15*(E561+6)))</f>
        <v>-7.3288709059789916</v>
      </c>
      <c r="U561" s="46">
        <f t="shared" si="166"/>
        <v>0</v>
      </c>
      <c r="V561" s="51">
        <f t="shared" si="167"/>
        <v>99999</v>
      </c>
      <c r="W561" s="46">
        <f t="shared" si="168"/>
        <v>4.2253521126760563E-2</v>
      </c>
      <c r="X561" s="46">
        <f>0.3*W561*Model!$B$9</f>
        <v>3.8275201289827652</v>
      </c>
      <c r="Y561" s="17">
        <f>(S561-X561)/Model!$B$11</f>
        <v>3.8819201404905676E-3</v>
      </c>
      <c r="Z561" s="46">
        <f t="shared" si="169"/>
        <v>2.1151248712876786E-3</v>
      </c>
      <c r="AA561" s="57">
        <f>Y561/Model!$B$12*3600</f>
        <v>25.133604614479644</v>
      </c>
      <c r="AB561" s="51">
        <f t="shared" si="174"/>
        <v>177.03630959877398</v>
      </c>
      <c r="AC561" s="51">
        <f t="shared" si="176"/>
        <v>1622.9636904012259</v>
      </c>
      <c r="AD561" s="13">
        <f>IF(AE561=0, Model!$B$19, 0 )</f>
        <v>0</v>
      </c>
      <c r="AE561" s="51">
        <f>IF(AE560+AB560-AB561&lt;Model!$B$19*Model!$B$18, AE560+AB560-AB561,  0)</f>
        <v>266.59826410733956</v>
      </c>
      <c r="AF561" s="13">
        <f t="shared" si="170"/>
        <v>27.950000000000262</v>
      </c>
      <c r="AG561" s="50">
        <f t="shared" si="171"/>
        <v>0.99</v>
      </c>
    </row>
    <row r="562" spans="2:33" x14ac:dyDescent="0.25">
      <c r="B562" s="15">
        <f t="shared" si="172"/>
        <v>28.000000000000263</v>
      </c>
      <c r="C562" s="15">
        <f>B562+Model!$B$4</f>
        <v>30.000000000000263</v>
      </c>
      <c r="D562" s="15">
        <f t="shared" si="173"/>
        <v>2</v>
      </c>
      <c r="E562" s="15">
        <f t="shared" si="177"/>
        <v>6.0000000000002629</v>
      </c>
      <c r="F562" s="16">
        <f>IF(AB562&gt;0, VLOOKUP(B562,Model!$A$40:$B$60, 2), 0)</f>
        <v>300</v>
      </c>
      <c r="G562" s="15">
        <f>IF(AB562&gt;0, VLOOKUP(B562,Model!$A$39:$C$58, 3), 0)</f>
        <v>1</v>
      </c>
      <c r="H562" s="15">
        <f t="shared" si="160"/>
        <v>97</v>
      </c>
      <c r="I562" s="45">
        <f>Model!$B$21*EXP((-0.029*9.81*F562)/(8.31*(273+J562)))</f>
        <v>100357.4491247143</v>
      </c>
      <c r="J562" s="15">
        <f>IF(Model!$B$31="Summer",  IF(F562&lt;=2000,  Model!$B$20-Model!$B$35*F562/1000,  IF(F562&lt;Model!$B$36,  Model!$B$33-6.5*F562/1000,  Model!$B$38)),     IF(F562&lt;=2000,  Model!$B$20-Model!$B$35*F562/1000,  IF(F562&lt;Model!$B$36,  Model!$B$33-5.4*F562/1000,   Model!$B$38)))</f>
        <v>-19.088750000000001</v>
      </c>
      <c r="K562" s="15">
        <f t="shared" si="161"/>
        <v>253.91125</v>
      </c>
      <c r="L562" s="45">
        <f>IF(AB561-AA561*(B562-B561)&gt;0, L561-Y561*(B562-B561)*3600-AD562*Model!$B$16, 0)</f>
        <v>618.73786841937181</v>
      </c>
      <c r="M562" s="56">
        <f t="shared" si="162"/>
        <v>13.498370260005402</v>
      </c>
      <c r="N562" s="56">
        <f>Model!$B$13*I562*K562/(Model!$B$13*I562-L562*287*K562)</f>
        <v>286.4983702600054</v>
      </c>
      <c r="O562" s="56">
        <f t="shared" si="163"/>
        <v>270.20481013000267</v>
      </c>
      <c r="P562" s="56">
        <f t="shared" si="164"/>
        <v>-2.7949081798564546</v>
      </c>
      <c r="Q562" s="62">
        <f t="shared" si="165"/>
        <v>2.3801541519230189E-2</v>
      </c>
      <c r="R562" s="33">
        <f t="shared" si="175"/>
        <v>1.3309300253520276E-5</v>
      </c>
      <c r="S562" s="45">
        <f>0.37*Model!$B$10*(Q562^2*(N562-K562)*I562/(R562*O562^2))^0.33333*(N562-K562)</f>
        <v>180664.06432319657</v>
      </c>
      <c r="T562" s="50">
        <f>Model!$B$32+(90-Model!$B$6)*SIN(RADIANS(-15*(E562+6)))</f>
        <v>-6.870735060981918</v>
      </c>
      <c r="U562" s="45">
        <f t="shared" si="166"/>
        <v>0</v>
      </c>
      <c r="V562" s="50">
        <f t="shared" si="167"/>
        <v>99999</v>
      </c>
      <c r="W562" s="45">
        <f t="shared" si="168"/>
        <v>4.2253521126760563E-2</v>
      </c>
      <c r="X562" s="45">
        <f>0.3*W562*Model!$B$9</f>
        <v>3.8275201289827652</v>
      </c>
      <c r="Y562" s="33">
        <f>(S562-X562)/Model!$B$11</f>
        <v>3.8755816111352053E-3</v>
      </c>
      <c r="Z562" s="45">
        <f t="shared" si="169"/>
        <v>2.1185840932569601E-3</v>
      </c>
      <c r="AA562" s="56">
        <f>Y562/Model!$B$12*3600</f>
        <v>25.092565622205367</v>
      </c>
      <c r="AB562" s="50">
        <f t="shared" si="174"/>
        <v>175.77962936805</v>
      </c>
      <c r="AC562" s="50">
        <f t="shared" si="176"/>
        <v>1624.2203706319501</v>
      </c>
      <c r="AD562" s="15">
        <f>IF(AE562=0, Model!$B$19, 0 )</f>
        <v>0</v>
      </c>
      <c r="AE562" s="50">
        <f>IF(AE561+AB561-AB562&lt;Model!$B$19*Model!$B$18, AE561+AB561-AB562,  0)</f>
        <v>267.85494433806355</v>
      </c>
      <c r="AF562" s="15">
        <f t="shared" si="170"/>
        <v>28.000000000000263</v>
      </c>
      <c r="AG562" s="50">
        <f t="shared" si="171"/>
        <v>0.99</v>
      </c>
    </row>
    <row r="563" spans="2:33" x14ac:dyDescent="0.25">
      <c r="B563" s="13">
        <f t="shared" si="172"/>
        <v>28.050000000000264</v>
      </c>
      <c r="C563" s="13">
        <f>B563+Model!$B$4</f>
        <v>30.050000000000264</v>
      </c>
      <c r="D563" s="13">
        <f t="shared" si="173"/>
        <v>2</v>
      </c>
      <c r="E563" s="13">
        <f t="shared" si="177"/>
        <v>6.0500000000002636</v>
      </c>
      <c r="F563" s="14">
        <f>IF(AB563&gt;0, VLOOKUP(B563,Model!$A$40:$B$60, 2), 0)</f>
        <v>300</v>
      </c>
      <c r="G563" s="13">
        <f>IF(AB563&gt;0, VLOOKUP(B563,Model!$A$39:$C$58, 3), 0)</f>
        <v>1</v>
      </c>
      <c r="H563" s="13">
        <f t="shared" si="160"/>
        <v>97</v>
      </c>
      <c r="I563" s="46">
        <f>Model!$B$21*EXP((-0.029*9.81*F563)/(8.31*(273+J563)))</f>
        <v>100357.4491247143</v>
      </c>
      <c r="J563" s="13">
        <f>IF(Model!$B$31="Summer",  IF(F563&lt;=2000,  Model!$B$20-Model!$B$35*F563/1000,  IF(F563&lt;Model!$B$36,  Model!$B$33-6.5*F563/1000,  Model!$B$38)),     IF(F563&lt;=2000,  Model!$B$20-Model!$B$35*F563/1000,  IF(F563&lt;Model!$B$36,  Model!$B$33-5.4*F563/1000,   Model!$B$38)))</f>
        <v>-19.088750000000001</v>
      </c>
      <c r="K563" s="13">
        <f t="shared" si="161"/>
        <v>253.91125</v>
      </c>
      <c r="L563" s="46">
        <f>IF(AB562-AA562*(B563-B562)&gt;0, L562-Y562*(B563-B562)*3600-AD563*Model!$B$16, 0)</f>
        <v>618.04026372936744</v>
      </c>
      <c r="M563" s="57">
        <f t="shared" si="162"/>
        <v>13.456920115118521</v>
      </c>
      <c r="N563" s="57">
        <f>Model!$B$13*I563*K563/(Model!$B$13*I563-L563*287*K563)</f>
        <v>286.45692011511852</v>
      </c>
      <c r="O563" s="57">
        <f t="shared" si="163"/>
        <v>270.18408505755929</v>
      </c>
      <c r="P563" s="57">
        <f t="shared" si="164"/>
        <v>-2.8156332522998948</v>
      </c>
      <c r="Q563" s="63">
        <f t="shared" si="165"/>
        <v>2.3800070039086709E-2</v>
      </c>
      <c r="R563" s="17">
        <f t="shared" si="175"/>
        <v>1.3307144845986166E-5</v>
      </c>
      <c r="S563" s="46">
        <f>0.37*Model!$B$10*(Q563^2*(N563-K563)*I563/(R563*O563^2))^0.33333*(N563-K563)</f>
        <v>180369.25506522786</v>
      </c>
      <c r="T563" s="51">
        <f>Model!$B$32+(90-Model!$B$6)*SIN(RADIANS(-15*(E563+6)))</f>
        <v>-6.4125992159848604</v>
      </c>
      <c r="U563" s="46">
        <f t="shared" si="166"/>
        <v>0</v>
      </c>
      <c r="V563" s="51">
        <f t="shared" si="167"/>
        <v>99999</v>
      </c>
      <c r="W563" s="46">
        <f t="shared" si="168"/>
        <v>4.2253521126760563E-2</v>
      </c>
      <c r="X563" s="46">
        <f>0.3*W563*Model!$B$9</f>
        <v>3.8275201289827652</v>
      </c>
      <c r="Y563" s="17">
        <f>(S563-X563)/Model!$B$11</f>
        <v>3.8692572679416256E-3</v>
      </c>
      <c r="Z563" s="46">
        <f t="shared" si="169"/>
        <v>2.1220468685744691E-3</v>
      </c>
      <c r="AA563" s="57">
        <f>Y563/Model!$B$12*3600</f>
        <v>25.051618478647278</v>
      </c>
      <c r="AB563" s="51">
        <f t="shared" si="174"/>
        <v>174.52500108693971</v>
      </c>
      <c r="AC563" s="51">
        <f t="shared" si="176"/>
        <v>1625.4749989130603</v>
      </c>
      <c r="AD563" s="13">
        <f>IF(AE563=0, Model!$B$19, 0 )</f>
        <v>0</v>
      </c>
      <c r="AE563" s="51">
        <f>IF(AE562+AB562-AB563&lt;Model!$B$19*Model!$B$18, AE562+AB562-AB563,  0)</f>
        <v>269.10957261917383</v>
      </c>
      <c r="AF563" s="13">
        <f t="shared" si="170"/>
        <v>28.050000000000264</v>
      </c>
      <c r="AG563" s="50">
        <f t="shared" si="171"/>
        <v>0.99</v>
      </c>
    </row>
    <row r="564" spans="2:33" x14ac:dyDescent="0.25">
      <c r="B564" s="15">
        <f t="shared" si="172"/>
        <v>28.100000000000264</v>
      </c>
      <c r="C564" s="15">
        <f>B564+Model!$B$4</f>
        <v>30.100000000000264</v>
      </c>
      <c r="D564" s="15">
        <f t="shared" si="173"/>
        <v>2</v>
      </c>
      <c r="E564" s="15">
        <f t="shared" si="177"/>
        <v>6.1000000000002643</v>
      </c>
      <c r="F564" s="16">
        <f>IF(AB564&gt;0, VLOOKUP(B564,Model!$A$40:$B$60, 2), 0)</f>
        <v>300</v>
      </c>
      <c r="G564" s="15">
        <f>IF(AB564&gt;0, VLOOKUP(B564,Model!$A$39:$C$58, 3), 0)</f>
        <v>1</v>
      </c>
      <c r="H564" s="15">
        <f t="shared" si="160"/>
        <v>97</v>
      </c>
      <c r="I564" s="45">
        <f>Model!$B$21*EXP((-0.029*9.81*F564)/(8.31*(273+J564)))</f>
        <v>100357.4491247143</v>
      </c>
      <c r="J564" s="15">
        <f>IF(Model!$B$31="Summer",  IF(F564&lt;=2000,  Model!$B$20-Model!$B$35*F564/1000,  IF(F564&lt;Model!$B$36,  Model!$B$33-6.5*F564/1000,  Model!$B$38)),     IF(F564&lt;=2000,  Model!$B$20-Model!$B$35*F564/1000,  IF(F564&lt;Model!$B$36,  Model!$B$33-5.4*F564/1000,   Model!$B$38)))</f>
        <v>-19.088750000000001</v>
      </c>
      <c r="K564" s="15">
        <f t="shared" si="161"/>
        <v>253.91125</v>
      </c>
      <c r="L564" s="45">
        <f>IF(AB563-AA563*(B564-B563)&gt;0, L563-Y563*(B564-B563)*3600-AD564*Model!$B$16, 0)</f>
        <v>617.34379742113799</v>
      </c>
      <c r="M564" s="56">
        <f t="shared" si="162"/>
        <v>13.415549573203407</v>
      </c>
      <c r="N564" s="56">
        <f>Model!$B$13*I564*K564/(Model!$B$13*I564-L564*287*K564)</f>
        <v>286.41554957320341</v>
      </c>
      <c r="O564" s="56">
        <f t="shared" si="163"/>
        <v>270.1633997866017</v>
      </c>
      <c r="P564" s="56">
        <f t="shared" si="164"/>
        <v>-2.8363185232574519</v>
      </c>
      <c r="Q564" s="62">
        <f t="shared" si="165"/>
        <v>2.3798601384848721E-2</v>
      </c>
      <c r="R564" s="33">
        <f t="shared" si="175"/>
        <v>1.3304993577806577E-5</v>
      </c>
      <c r="S564" s="45">
        <f>0.37*Model!$B$10*(Q564^2*(N564-K564)*I564/(R564*O564^2))^0.33333*(N564-K564)</f>
        <v>180075.10514531928</v>
      </c>
      <c r="T564" s="50">
        <f>Model!$B$32+(90-Model!$B$6)*SIN(RADIANS(-15*(E564+6)))</f>
        <v>-5.954541870206338</v>
      </c>
      <c r="U564" s="45">
        <f t="shared" si="166"/>
        <v>0</v>
      </c>
      <c r="V564" s="50">
        <f t="shared" si="167"/>
        <v>99999</v>
      </c>
      <c r="W564" s="45">
        <f t="shared" si="168"/>
        <v>4.2253521126760563E-2</v>
      </c>
      <c r="X564" s="45">
        <f>0.3*W564*Model!$B$9</f>
        <v>3.8275201289827652</v>
      </c>
      <c r="Y564" s="33">
        <f>(S564-X564)/Model!$B$11</f>
        <v>3.8629470690805597E-3</v>
      </c>
      <c r="Z564" s="45">
        <f t="shared" si="169"/>
        <v>2.125513199558587E-3</v>
      </c>
      <c r="AA564" s="56">
        <f>Y564/Model!$B$12*3600</f>
        <v>25.010762912980557</v>
      </c>
      <c r="AB564" s="50">
        <f t="shared" si="174"/>
        <v>173.27242016300733</v>
      </c>
      <c r="AC564" s="50">
        <f t="shared" si="176"/>
        <v>1626.7275798369926</v>
      </c>
      <c r="AD564" s="15">
        <f>IF(AE564=0, Model!$B$19, 0 )</f>
        <v>0</v>
      </c>
      <c r="AE564" s="50">
        <f>IF(AE563+AB563-AB564&lt;Model!$B$19*Model!$B$18, AE563+AB563-AB564,  0)</f>
        <v>270.36215354310622</v>
      </c>
      <c r="AF564" s="15">
        <f t="shared" si="170"/>
        <v>28.100000000000264</v>
      </c>
      <c r="AG564" s="50">
        <f t="shared" si="171"/>
        <v>0.99</v>
      </c>
    </row>
    <row r="565" spans="2:33" x14ac:dyDescent="0.25">
      <c r="B565" s="13">
        <f t="shared" si="172"/>
        <v>28.150000000000265</v>
      </c>
      <c r="C565" s="13">
        <f>B565+Model!$B$4</f>
        <v>30.150000000000265</v>
      </c>
      <c r="D565" s="13">
        <f t="shared" si="173"/>
        <v>2</v>
      </c>
      <c r="E565" s="13">
        <f t="shared" si="177"/>
        <v>6.150000000000265</v>
      </c>
      <c r="F565" s="14">
        <f>IF(AB565&gt;0, VLOOKUP(B565,Model!$A$40:$B$60, 2), 0)</f>
        <v>300</v>
      </c>
      <c r="G565" s="13">
        <f>IF(AB565&gt;0, VLOOKUP(B565,Model!$A$39:$C$58, 3), 0)</f>
        <v>1</v>
      </c>
      <c r="H565" s="13">
        <f t="shared" si="160"/>
        <v>97</v>
      </c>
      <c r="I565" s="46">
        <f>Model!$B$21*EXP((-0.029*9.81*F565)/(8.31*(273+J565)))</f>
        <v>100357.4491247143</v>
      </c>
      <c r="J565" s="13">
        <f>IF(Model!$B$31="Summer",  IF(F565&lt;=2000,  Model!$B$20-Model!$B$35*F565/1000,  IF(F565&lt;Model!$B$36,  Model!$B$33-6.5*F565/1000,  Model!$B$38)),     IF(F565&lt;=2000,  Model!$B$20-Model!$B$35*F565/1000,  IF(F565&lt;Model!$B$36,  Model!$B$33-5.4*F565/1000,   Model!$B$38)))</f>
        <v>-19.088750000000001</v>
      </c>
      <c r="K565" s="13">
        <f t="shared" si="161"/>
        <v>253.91125</v>
      </c>
      <c r="L565" s="46">
        <f>IF(AB564-AA564*(B565-B564)&gt;0, L564-Y564*(B565-B564)*3600-AD565*Model!$B$16, 0)</f>
        <v>616.64846694870346</v>
      </c>
      <c r="M565" s="57">
        <f t="shared" si="162"/>
        <v>13.374258419315197</v>
      </c>
      <c r="N565" s="57">
        <f>Model!$B$13*I565*K565/(Model!$B$13*I565-L565*287*K565)</f>
        <v>286.3742584193152</v>
      </c>
      <c r="O565" s="57">
        <f t="shared" si="163"/>
        <v>270.1427542096576</v>
      </c>
      <c r="P565" s="57">
        <f t="shared" si="164"/>
        <v>-2.8569641002015569</v>
      </c>
      <c r="Q565" s="63">
        <f t="shared" si="165"/>
        <v>2.3797135548885691E-2</v>
      </c>
      <c r="R565" s="17">
        <f t="shared" si="175"/>
        <v>1.3302846437804388E-5</v>
      </c>
      <c r="S565" s="46">
        <f>0.37*Model!$B$10*(Q565^2*(N565-K565)*I565/(R565*O565^2))^0.33333*(N565-K565)</f>
        <v>179781.61262091494</v>
      </c>
      <c r="T565" s="51">
        <f>Model!$B$32+(90-Model!$B$6)*SIN(RADIANS(-15*(E565+6)))</f>
        <v>-5.4966415094144958</v>
      </c>
      <c r="U565" s="46">
        <f t="shared" si="166"/>
        <v>0</v>
      </c>
      <c r="V565" s="51">
        <f t="shared" si="167"/>
        <v>99999</v>
      </c>
      <c r="W565" s="46">
        <f t="shared" si="168"/>
        <v>4.2253521126760563E-2</v>
      </c>
      <c r="X565" s="46">
        <f>0.3*W565*Model!$B$9</f>
        <v>3.8275201289827652</v>
      </c>
      <c r="Y565" s="17">
        <f>(S565-X565)/Model!$B$11</f>
        <v>3.8566509728796732E-3</v>
      </c>
      <c r="Z565" s="46">
        <f t="shared" si="169"/>
        <v>2.1289830885283145E-3</v>
      </c>
      <c r="AA565" s="57">
        <f>Y565/Model!$B$12*3600</f>
        <v>24.969998655396473</v>
      </c>
      <c r="AB565" s="51">
        <f t="shared" si="174"/>
        <v>172.02188201735828</v>
      </c>
      <c r="AC565" s="51">
        <f t="shared" si="176"/>
        <v>1627.9781179826418</v>
      </c>
      <c r="AD565" s="13">
        <f>IF(AE565=0, Model!$B$19, 0 )</f>
        <v>0</v>
      </c>
      <c r="AE565" s="51">
        <f>IF(AE564+AB564-AB565&lt;Model!$B$19*Model!$B$18, AE564+AB564-AB565,  0)</f>
        <v>271.61269168875526</v>
      </c>
      <c r="AF565" s="13">
        <f t="shared" si="170"/>
        <v>28.150000000000265</v>
      </c>
      <c r="AG565" s="50">
        <f t="shared" si="171"/>
        <v>0.99</v>
      </c>
    </row>
    <row r="566" spans="2:33" x14ac:dyDescent="0.25">
      <c r="B566" s="15">
        <f t="shared" si="172"/>
        <v>28.200000000000266</v>
      </c>
      <c r="C566" s="15">
        <f>B566+Model!$B$4</f>
        <v>30.200000000000266</v>
      </c>
      <c r="D566" s="15">
        <f t="shared" si="173"/>
        <v>2</v>
      </c>
      <c r="E566" s="15">
        <f t="shared" si="177"/>
        <v>6.2000000000002657</v>
      </c>
      <c r="F566" s="16">
        <f>IF(AB566&gt;0, VLOOKUP(B566,Model!$A$40:$B$60, 2), 0)</f>
        <v>300</v>
      </c>
      <c r="G566" s="15">
        <f>IF(AB566&gt;0, VLOOKUP(B566,Model!$A$39:$C$58, 3), 0)</f>
        <v>1</v>
      </c>
      <c r="H566" s="15">
        <f t="shared" si="160"/>
        <v>97</v>
      </c>
      <c r="I566" s="45">
        <f>Model!$B$21*EXP((-0.029*9.81*F566)/(8.31*(273+J566)))</f>
        <v>100357.4491247143</v>
      </c>
      <c r="J566" s="15">
        <f>IF(Model!$B$31="Summer",  IF(F566&lt;=2000,  Model!$B$20-Model!$B$35*F566/1000,  IF(F566&lt;Model!$B$36,  Model!$B$33-6.5*F566/1000,  Model!$B$38)),     IF(F566&lt;=2000,  Model!$B$20-Model!$B$35*F566/1000,  IF(F566&lt;Model!$B$36,  Model!$B$33-5.4*F566/1000,   Model!$B$38)))</f>
        <v>-19.088750000000001</v>
      </c>
      <c r="K566" s="15">
        <f t="shared" si="161"/>
        <v>253.91125</v>
      </c>
      <c r="L566" s="45">
        <f>IF(AB565-AA565*(B566-B565)&gt;0, L565-Y565*(B566-B565)*3600-AD566*Model!$B$16, 0)</f>
        <v>615.95426977358511</v>
      </c>
      <c r="M566" s="56">
        <f t="shared" si="162"/>
        <v>13.333046439277666</v>
      </c>
      <c r="N566" s="56">
        <f>Model!$B$13*I566*K566/(Model!$B$13*I566-L566*287*K566)</f>
        <v>286.33304643927767</v>
      </c>
      <c r="O566" s="56">
        <f t="shared" si="163"/>
        <v>270.1221482196388</v>
      </c>
      <c r="P566" s="56">
        <f t="shared" si="164"/>
        <v>-2.8775700902203223</v>
      </c>
      <c r="Q566" s="62">
        <f t="shared" si="165"/>
        <v>2.3795672523594356E-2</v>
      </c>
      <c r="R566" s="33">
        <f t="shared" si="175"/>
        <v>1.3300703414842434E-5</v>
      </c>
      <c r="S566" s="45">
        <f>0.37*Model!$B$10*(Q566^2*(N566-K566)*I566/(R566*O566^2))^0.33333*(N566-K566)</f>
        <v>179488.7755567384</v>
      </c>
      <c r="T566" s="50">
        <f>Model!$B$32+(90-Model!$B$6)*SIN(RADIANS(-15*(E566+6)))</f>
        <v>-5.0389765924788614</v>
      </c>
      <c r="U566" s="45">
        <f t="shared" si="166"/>
        <v>0</v>
      </c>
      <c r="V566" s="50">
        <f t="shared" si="167"/>
        <v>99999</v>
      </c>
      <c r="W566" s="45">
        <f t="shared" si="168"/>
        <v>4.2253521126760563E-2</v>
      </c>
      <c r="X566" s="45">
        <f>0.3*W566*Model!$B$9</f>
        <v>3.8275201289827652</v>
      </c>
      <c r="Y566" s="33">
        <f>(S566-X566)/Model!$B$11</f>
        <v>3.8503689378227915E-3</v>
      </c>
      <c r="Z566" s="45">
        <f t="shared" si="169"/>
        <v>2.1324565378033032E-3</v>
      </c>
      <c r="AA566" s="56">
        <f>Y566/Model!$B$12*3600</f>
        <v>24.92932543709734</v>
      </c>
      <c r="AB566" s="50">
        <f t="shared" si="174"/>
        <v>170.77338208458843</v>
      </c>
      <c r="AC566" s="50">
        <f t="shared" si="176"/>
        <v>1629.2266179154117</v>
      </c>
      <c r="AD566" s="15">
        <f>IF(AE566=0, Model!$B$19, 0 )</f>
        <v>0</v>
      </c>
      <c r="AE566" s="50">
        <f>IF(AE565+AB565-AB566&lt;Model!$B$19*Model!$B$18, AE565+AB565-AB566,  0)</f>
        <v>272.86119162152511</v>
      </c>
      <c r="AF566" s="15">
        <f t="shared" si="170"/>
        <v>28.200000000000266</v>
      </c>
      <c r="AG566" s="50">
        <f t="shared" si="171"/>
        <v>0.99</v>
      </c>
    </row>
    <row r="567" spans="2:33" x14ac:dyDescent="0.25">
      <c r="B567" s="13">
        <f t="shared" si="172"/>
        <v>28.250000000000266</v>
      </c>
      <c r="C567" s="13">
        <f>B567+Model!$B$4</f>
        <v>30.250000000000266</v>
      </c>
      <c r="D567" s="13">
        <f t="shared" si="173"/>
        <v>2</v>
      </c>
      <c r="E567" s="13">
        <f t="shared" si="177"/>
        <v>6.2500000000002665</v>
      </c>
      <c r="F567" s="14">
        <f>IF(AB567&gt;0, VLOOKUP(B567,Model!$A$40:$B$60, 2), 0)</f>
        <v>300</v>
      </c>
      <c r="G567" s="13">
        <f>IF(AB567&gt;0, VLOOKUP(B567,Model!$A$39:$C$58, 3), 0)</f>
        <v>1</v>
      </c>
      <c r="H567" s="13">
        <f t="shared" si="160"/>
        <v>97</v>
      </c>
      <c r="I567" s="46">
        <f>Model!$B$21*EXP((-0.029*9.81*F567)/(8.31*(273+J567)))</f>
        <v>100357.4491247143</v>
      </c>
      <c r="J567" s="13">
        <f>IF(Model!$B$31="Summer",  IF(F567&lt;=2000,  Model!$B$20-Model!$B$35*F567/1000,  IF(F567&lt;Model!$B$36,  Model!$B$33-6.5*F567/1000,  Model!$B$38)),     IF(F567&lt;=2000,  Model!$B$20-Model!$B$35*F567/1000,  IF(F567&lt;Model!$B$36,  Model!$B$33-5.4*F567/1000,   Model!$B$38)))</f>
        <v>-19.088750000000001</v>
      </c>
      <c r="K567" s="13">
        <f t="shared" si="161"/>
        <v>253.91125</v>
      </c>
      <c r="L567" s="46">
        <f>IF(AB566-AA566*(B567-B566)&gt;0, L566-Y566*(B567-B566)*3600-AD567*Model!$B$16, 0)</f>
        <v>615.26120336477697</v>
      </c>
      <c r="M567" s="57">
        <f t="shared" si="162"/>
        <v>13.291913419679645</v>
      </c>
      <c r="N567" s="57">
        <f>Model!$B$13*I567*K567/(Model!$B$13*I567-L567*287*K567)</f>
        <v>286.29191341967964</v>
      </c>
      <c r="O567" s="57">
        <f t="shared" si="163"/>
        <v>270.10158170983982</v>
      </c>
      <c r="P567" s="57">
        <f t="shared" si="164"/>
        <v>-2.8981366000193329</v>
      </c>
      <c r="Q567" s="63">
        <f t="shared" si="165"/>
        <v>2.3794212301398627E-2</v>
      </c>
      <c r="R567" s="17">
        <f t="shared" si="175"/>
        <v>1.329856449782334E-5</v>
      </c>
      <c r="S567" s="46">
        <f>0.37*Model!$B$10*(Q567^2*(N567-K567)*I567/(R567*O567^2))^0.33333*(N567-K567)</f>
        <v>179196.59202475919</v>
      </c>
      <c r="T567" s="51">
        <f>Model!$B$32+(90-Model!$B$6)*SIN(RADIANS(-15*(E567+6)))</f>
        <v>-4.5816255379268718</v>
      </c>
      <c r="U567" s="46">
        <f t="shared" si="166"/>
        <v>0</v>
      </c>
      <c r="V567" s="51">
        <f t="shared" si="167"/>
        <v>99999</v>
      </c>
      <c r="W567" s="46">
        <f t="shared" si="168"/>
        <v>4.2253521126760563E-2</v>
      </c>
      <c r="X567" s="46">
        <f>0.3*W567*Model!$B$9</f>
        <v>3.8275201289827652</v>
      </c>
      <c r="Y567" s="17">
        <f>(S567-X567)/Model!$B$11</f>
        <v>3.8441009225491838E-3</v>
      </c>
      <c r="Z567" s="46">
        <f t="shared" si="169"/>
        <v>2.1359335497038502E-3</v>
      </c>
      <c r="AA567" s="57">
        <f>Y567/Model!$B$12*3600</f>
        <v>24.888742990291913</v>
      </c>
      <c r="AB567" s="51">
        <f t="shared" si="174"/>
        <v>169.52691581273356</v>
      </c>
      <c r="AC567" s="51">
        <f t="shared" si="176"/>
        <v>1630.4730841872665</v>
      </c>
      <c r="AD567" s="13">
        <f>IF(AE567=0, Model!$B$19, 0 )</f>
        <v>0</v>
      </c>
      <c r="AE567" s="51">
        <f>IF(AE566+AB566-AB567&lt;Model!$B$19*Model!$B$18, AE566+AB566-AB567,  0)</f>
        <v>274.10765789337995</v>
      </c>
      <c r="AF567" s="13">
        <f t="shared" si="170"/>
        <v>28.250000000000266</v>
      </c>
      <c r="AG567" s="50">
        <f t="shared" si="171"/>
        <v>0.99</v>
      </c>
    </row>
    <row r="568" spans="2:33" x14ac:dyDescent="0.25">
      <c r="B568" s="15">
        <f t="shared" si="172"/>
        <v>28.300000000000267</v>
      </c>
      <c r="C568" s="15">
        <f>B568+Model!$B$4</f>
        <v>30.300000000000267</v>
      </c>
      <c r="D568" s="15">
        <f t="shared" si="173"/>
        <v>2</v>
      </c>
      <c r="E568" s="15">
        <f t="shared" si="177"/>
        <v>6.3000000000002672</v>
      </c>
      <c r="F568" s="16">
        <f>IF(AB568&gt;0, VLOOKUP(B568,Model!$A$40:$B$60, 2), 0)</f>
        <v>300</v>
      </c>
      <c r="G568" s="15">
        <f>IF(AB568&gt;0, VLOOKUP(B568,Model!$A$39:$C$58, 3), 0)</f>
        <v>1</v>
      </c>
      <c r="H568" s="15">
        <f t="shared" si="160"/>
        <v>97</v>
      </c>
      <c r="I568" s="45">
        <f>Model!$B$21*EXP((-0.029*9.81*F568)/(8.31*(273+J568)))</f>
        <v>100357.4491247143</v>
      </c>
      <c r="J568" s="15">
        <f>IF(Model!$B$31="Summer",  IF(F568&lt;=2000,  Model!$B$20-Model!$B$35*F568/1000,  IF(F568&lt;Model!$B$36,  Model!$B$33-6.5*F568/1000,  Model!$B$38)),     IF(F568&lt;=2000,  Model!$B$20-Model!$B$35*F568/1000,  IF(F568&lt;Model!$B$36,  Model!$B$33-5.4*F568/1000,   Model!$B$38)))</f>
        <v>-19.088750000000001</v>
      </c>
      <c r="K568" s="15">
        <f t="shared" si="161"/>
        <v>253.91125</v>
      </c>
      <c r="L568" s="45">
        <f>IF(AB567-AA567*(B568-B567)&gt;0, L567-Y567*(B568-B567)*3600-AD568*Model!$B$16, 0)</f>
        <v>614.56926519871809</v>
      </c>
      <c r="M568" s="56">
        <f t="shared" si="162"/>
        <v>13.250859147872063</v>
      </c>
      <c r="N568" s="56">
        <f>Model!$B$13*I568*K568/(Model!$B$13*I568-L568*287*K568)</f>
        <v>286.25085914787206</v>
      </c>
      <c r="O568" s="56">
        <f t="shared" si="163"/>
        <v>270.08105457393606</v>
      </c>
      <c r="P568" s="56">
        <f t="shared" si="164"/>
        <v>-2.9186637359231238</v>
      </c>
      <c r="Q568" s="62">
        <f t="shared" si="165"/>
        <v>2.379275487474946E-2</v>
      </c>
      <c r="R568" s="33">
        <f t="shared" si="175"/>
        <v>1.3296429675689349E-5</v>
      </c>
      <c r="S568" s="45">
        <f>0.37*Model!$B$10*(Q568^2*(N568-K568)*I568/(R568*O568^2))^0.33333*(N568-K568)</f>
        <v>178905.06010416179</v>
      </c>
      <c r="T568" s="50">
        <f>Model!$B$32+(90-Model!$B$6)*SIN(RADIANS(-15*(E568+6)))</f>
        <v>-4.1246667105073067</v>
      </c>
      <c r="U568" s="45">
        <f t="shared" si="166"/>
        <v>0</v>
      </c>
      <c r="V568" s="50">
        <f t="shared" si="167"/>
        <v>99999</v>
      </c>
      <c r="W568" s="45">
        <f t="shared" si="168"/>
        <v>4.2253521126760563E-2</v>
      </c>
      <c r="X568" s="45">
        <f>0.3*W568*Model!$B$9</f>
        <v>3.8275201289827652</v>
      </c>
      <c r="Y568" s="33">
        <f>(S568-X568)/Model!$B$11</f>
        <v>3.8378468858528973E-3</v>
      </c>
      <c r="Z568" s="45">
        <f t="shared" si="169"/>
        <v>2.1394141265508719E-3</v>
      </c>
      <c r="AA568" s="56">
        <f>Y568/Model!$B$12*3600</f>
        <v>24.848251048191052</v>
      </c>
      <c r="AB568" s="50">
        <f t="shared" si="174"/>
        <v>168.28247866321894</v>
      </c>
      <c r="AC568" s="50">
        <f t="shared" si="176"/>
        <v>1631.7175213367811</v>
      </c>
      <c r="AD568" s="15">
        <f>IF(AE568=0, Model!$B$19, 0 )</f>
        <v>0</v>
      </c>
      <c r="AE568" s="50">
        <f>IF(AE567+AB567-AB568&lt;Model!$B$19*Model!$B$18, AE567+AB567-AB568,  0)</f>
        <v>275.35209504289458</v>
      </c>
      <c r="AF568" s="15">
        <f t="shared" si="170"/>
        <v>28.300000000000267</v>
      </c>
      <c r="AG568" s="50">
        <f t="shared" si="171"/>
        <v>0.99</v>
      </c>
    </row>
    <row r="569" spans="2:33" x14ac:dyDescent="0.25">
      <c r="B569" s="13">
        <f t="shared" si="172"/>
        <v>28.350000000000268</v>
      </c>
      <c r="C569" s="13">
        <f>B569+Model!$B$4</f>
        <v>30.350000000000268</v>
      </c>
      <c r="D569" s="13">
        <f t="shared" si="173"/>
        <v>2</v>
      </c>
      <c r="E569" s="13">
        <f t="shared" si="177"/>
        <v>6.3500000000002679</v>
      </c>
      <c r="F569" s="14">
        <f>IF(AB569&gt;0, VLOOKUP(B569,Model!$A$40:$B$60, 2), 0)</f>
        <v>300</v>
      </c>
      <c r="G569" s="13">
        <f>IF(AB569&gt;0, VLOOKUP(B569,Model!$A$39:$C$58, 3), 0)</f>
        <v>1</v>
      </c>
      <c r="H569" s="13">
        <f t="shared" si="160"/>
        <v>97</v>
      </c>
      <c r="I569" s="46">
        <f>Model!$B$21*EXP((-0.029*9.81*F569)/(8.31*(273+J569)))</f>
        <v>100357.4491247143</v>
      </c>
      <c r="J569" s="13">
        <f>IF(Model!$B$31="Summer",  IF(F569&lt;=2000,  Model!$B$20-Model!$B$35*F569/1000,  IF(F569&lt;Model!$B$36,  Model!$B$33-6.5*F569/1000,  Model!$B$38)),     IF(F569&lt;=2000,  Model!$B$20-Model!$B$35*F569/1000,  IF(F569&lt;Model!$B$36,  Model!$B$33-5.4*F569/1000,   Model!$B$38)))</f>
        <v>-19.088750000000001</v>
      </c>
      <c r="K569" s="13">
        <f t="shared" si="161"/>
        <v>253.91125</v>
      </c>
      <c r="L569" s="46">
        <f>IF(AB568-AA568*(B569-B568)&gt;0, L568-Y568*(B569-B568)*3600-AD569*Model!$B$16, 0)</f>
        <v>613.87845275926452</v>
      </c>
      <c r="M569" s="57">
        <f t="shared" si="162"/>
        <v>13.209883411963915</v>
      </c>
      <c r="N569" s="57">
        <f>Model!$B$13*I569*K569/(Model!$B$13*I569-L569*287*K569)</f>
        <v>286.20988341196392</v>
      </c>
      <c r="O569" s="57">
        <f t="shared" si="163"/>
        <v>270.06056670598196</v>
      </c>
      <c r="P569" s="57">
        <f t="shared" si="164"/>
        <v>-2.9391516038771979</v>
      </c>
      <c r="Q569" s="63">
        <f t="shared" si="165"/>
        <v>2.3791300236124718E-2</v>
      </c>
      <c r="R569" s="17">
        <f t="shared" si="175"/>
        <v>1.3294298937422122E-5</v>
      </c>
      <c r="S569" s="46">
        <f>0.37*Model!$B$10*(Q569^2*(N569-K569)*I569/(R569*O569^2))^0.33333*(N569-K569)</f>
        <v>178614.17788130901</v>
      </c>
      <c r="T569" s="51">
        <f>Model!$B$32+(90-Model!$B$6)*SIN(RADIANS(-15*(E569+6)))</f>
        <v>-3.6681784077628117</v>
      </c>
      <c r="U569" s="46">
        <f t="shared" si="166"/>
        <v>0</v>
      </c>
      <c r="V569" s="51">
        <f t="shared" si="167"/>
        <v>99999</v>
      </c>
      <c r="W569" s="46">
        <f t="shared" si="168"/>
        <v>4.2253521126760563E-2</v>
      </c>
      <c r="X569" s="46">
        <f>0.3*W569*Model!$B$9</f>
        <v>3.8275201289827652</v>
      </c>
      <c r="Y569" s="17">
        <f>(S569-X569)/Model!$B$11</f>
        <v>3.83160678668197E-3</v>
      </c>
      <c r="Z569" s="46">
        <f t="shared" si="169"/>
        <v>2.1428982706659448E-3</v>
      </c>
      <c r="AA569" s="57">
        <f>Y569/Model!$B$12*3600</f>
        <v>24.807849345002637</v>
      </c>
      <c r="AB569" s="51">
        <f t="shared" si="174"/>
        <v>167.04006611080936</v>
      </c>
      <c r="AC569" s="51">
        <f t="shared" si="176"/>
        <v>1632.9599338891906</v>
      </c>
      <c r="AD569" s="13">
        <f>IF(AE569=0, Model!$B$19, 0 )</f>
        <v>0</v>
      </c>
      <c r="AE569" s="51">
        <f>IF(AE568+AB568-AB569&lt;Model!$B$19*Model!$B$18, AE568+AB568-AB569,  0)</f>
        <v>276.59450759530421</v>
      </c>
      <c r="AF569" s="13">
        <f t="shared" si="170"/>
        <v>28.350000000000268</v>
      </c>
      <c r="AG569" s="50">
        <f t="shared" si="171"/>
        <v>0.99</v>
      </c>
    </row>
    <row r="570" spans="2:33" x14ac:dyDescent="0.25">
      <c r="B570" s="15">
        <f t="shared" si="172"/>
        <v>28.400000000000269</v>
      </c>
      <c r="C570" s="15">
        <f>B570+Model!$B$4</f>
        <v>30.400000000000269</v>
      </c>
      <c r="D570" s="15">
        <f t="shared" si="173"/>
        <v>2</v>
      </c>
      <c r="E570" s="15">
        <f t="shared" si="177"/>
        <v>6.4000000000002686</v>
      </c>
      <c r="F570" s="16">
        <f>IF(AB570&gt;0, VLOOKUP(B570,Model!$A$40:$B$60, 2), 0)</f>
        <v>300</v>
      </c>
      <c r="G570" s="15">
        <f>IF(AB570&gt;0, VLOOKUP(B570,Model!$A$39:$C$58, 3), 0)</f>
        <v>1</v>
      </c>
      <c r="H570" s="15">
        <f t="shared" si="160"/>
        <v>97</v>
      </c>
      <c r="I570" s="45">
        <f>Model!$B$21*EXP((-0.029*9.81*F570)/(8.31*(273+J570)))</f>
        <v>100357.4491247143</v>
      </c>
      <c r="J570" s="15">
        <f>IF(Model!$B$31="Summer",  IF(F570&lt;=2000,  Model!$B$20-Model!$B$35*F570/1000,  IF(F570&lt;Model!$B$36,  Model!$B$33-6.5*F570/1000,  Model!$B$38)),     IF(F570&lt;=2000,  Model!$B$20-Model!$B$35*F570/1000,  IF(F570&lt;Model!$B$36,  Model!$B$33-5.4*F570/1000,   Model!$B$38)))</f>
        <v>-19.088750000000001</v>
      </c>
      <c r="K570" s="15">
        <f t="shared" si="161"/>
        <v>253.91125</v>
      </c>
      <c r="L570" s="45">
        <f>IF(AB569-AA569*(B570-B569)&gt;0, L569-Y569*(B570-B569)*3600-AD570*Model!$B$16, 0)</f>
        <v>613.18876353766177</v>
      </c>
      <c r="M570" s="56">
        <f t="shared" si="162"/>
        <v>13.168986000819302</v>
      </c>
      <c r="N570" s="56">
        <f>Model!$B$13*I570*K570/(Model!$B$13*I570-L570*287*K570)</f>
        <v>286.1689860008193</v>
      </c>
      <c r="O570" s="56">
        <f t="shared" si="163"/>
        <v>270.04011800040962</v>
      </c>
      <c r="P570" s="56">
        <f t="shared" si="164"/>
        <v>-2.9596003094495043</v>
      </c>
      <c r="Q570" s="62">
        <f t="shared" si="165"/>
        <v>2.3789848378029083E-2</v>
      </c>
      <c r="R570" s="33">
        <f t="shared" si="175"/>
        <v>1.32921722720426E-5</v>
      </c>
      <c r="S570" s="45">
        <f>0.37*Model!$B$10*(Q570^2*(N570-K570)*I570/(R570*O570^2))^0.33333*(N570-K570)</f>
        <v>178323.94344971149</v>
      </c>
      <c r="T570" s="50">
        <f>Model!$B$32+(90-Model!$B$6)*SIN(RADIANS(-15*(E570+6)))</f>
        <v>-3.2122388466140084</v>
      </c>
      <c r="U570" s="45">
        <f t="shared" si="166"/>
        <v>0</v>
      </c>
      <c r="V570" s="50">
        <f t="shared" si="167"/>
        <v>99999</v>
      </c>
      <c r="W570" s="45">
        <f t="shared" si="168"/>
        <v>4.2253521126760563E-2</v>
      </c>
      <c r="X570" s="45">
        <f>0.3*W570*Model!$B$9</f>
        <v>3.8275201289827652</v>
      </c>
      <c r="Y570" s="33">
        <f>(S570-X570)/Model!$B$11</f>
        <v>3.8253805841377778E-3</v>
      </c>
      <c r="Z570" s="45">
        <f t="shared" si="169"/>
        <v>2.1463859843712748E-3</v>
      </c>
      <c r="AA570" s="56">
        <f>Y570/Model!$B$12*3600</f>
        <v>24.767537615927342</v>
      </c>
      <c r="AB570" s="50">
        <f t="shared" si="174"/>
        <v>165.7996736435592</v>
      </c>
      <c r="AC570" s="50">
        <f t="shared" si="176"/>
        <v>1634.2003263564409</v>
      </c>
      <c r="AD570" s="15">
        <f>IF(AE570=0, Model!$B$19, 0 )</f>
        <v>0</v>
      </c>
      <c r="AE570" s="50">
        <f>IF(AE569+AB569-AB570&lt;Model!$B$19*Model!$B$18, AE569+AB569-AB570,  0)</f>
        <v>277.83490006255431</v>
      </c>
      <c r="AF570" s="15">
        <f t="shared" si="170"/>
        <v>28.400000000000269</v>
      </c>
      <c r="AG570" s="50">
        <f t="shared" si="171"/>
        <v>0.99</v>
      </c>
    </row>
    <row r="571" spans="2:33" x14ac:dyDescent="0.25">
      <c r="B571" s="13">
        <f t="shared" si="172"/>
        <v>28.450000000000269</v>
      </c>
      <c r="C571" s="13">
        <f>B571+Model!$B$4</f>
        <v>30.450000000000269</v>
      </c>
      <c r="D571" s="13">
        <f t="shared" si="173"/>
        <v>2</v>
      </c>
      <c r="E571" s="13">
        <f t="shared" si="177"/>
        <v>6.4500000000002693</v>
      </c>
      <c r="F571" s="14">
        <f>IF(AB571&gt;0, VLOOKUP(B571,Model!$A$40:$B$60, 2), 0)</f>
        <v>300</v>
      </c>
      <c r="G571" s="13">
        <f>IF(AB571&gt;0, VLOOKUP(B571,Model!$A$39:$C$58, 3), 0)</f>
        <v>1</v>
      </c>
      <c r="H571" s="13">
        <f t="shared" si="160"/>
        <v>97</v>
      </c>
      <c r="I571" s="46">
        <f>Model!$B$21*EXP((-0.029*9.81*F571)/(8.31*(273+J571)))</f>
        <v>100357.4491247143</v>
      </c>
      <c r="J571" s="13">
        <f>IF(Model!$B$31="Summer",  IF(F571&lt;=2000,  Model!$B$20-Model!$B$35*F571/1000,  IF(F571&lt;Model!$B$36,  Model!$B$33-6.5*F571/1000,  Model!$B$38)),     IF(F571&lt;=2000,  Model!$B$20-Model!$B$35*F571/1000,  IF(F571&lt;Model!$B$36,  Model!$B$33-5.4*F571/1000,   Model!$B$38)))</f>
        <v>-19.088750000000001</v>
      </c>
      <c r="K571" s="13">
        <f t="shared" si="161"/>
        <v>253.91125</v>
      </c>
      <c r="L571" s="46">
        <f>IF(AB570-AA570*(B571-B570)&gt;0, L570-Y570*(B571-B570)*3600-AD571*Model!$B$16, 0)</f>
        <v>612.50019503251701</v>
      </c>
      <c r="M571" s="57">
        <f t="shared" si="162"/>
        <v>13.128166704053854</v>
      </c>
      <c r="N571" s="57">
        <f>Model!$B$13*I571*K571/(Model!$B$13*I571-L571*287*K571)</f>
        <v>286.12816670405385</v>
      </c>
      <c r="O571" s="57">
        <f t="shared" si="163"/>
        <v>270.0197083520269</v>
      </c>
      <c r="P571" s="57">
        <f t="shared" si="164"/>
        <v>-2.9800099578322286</v>
      </c>
      <c r="Q571" s="63">
        <f t="shared" si="165"/>
        <v>2.3788399292993909E-2</v>
      </c>
      <c r="R571" s="17">
        <f t="shared" si="175"/>
        <v>1.3290049668610795E-5</v>
      </c>
      <c r="S571" s="46">
        <f>0.37*Model!$B$10*(Q571^2*(N571-K571)*I571/(R571*O571^2))^0.33333*(N571-K571)</f>
        <v>178034.35490999348</v>
      </c>
      <c r="T571" s="51">
        <f>Model!$B$32+(90-Model!$B$6)*SIN(RADIANS(-15*(E571+6)))</f>
        <v>-2.7569261499575637</v>
      </c>
      <c r="U571" s="46">
        <f t="shared" si="166"/>
        <v>0</v>
      </c>
      <c r="V571" s="51">
        <f t="shared" si="167"/>
        <v>99999</v>
      </c>
      <c r="W571" s="46">
        <f t="shared" si="168"/>
        <v>4.2253521126760563E-2</v>
      </c>
      <c r="X571" s="46">
        <f>0.3*W571*Model!$B$9</f>
        <v>3.8275201289827652</v>
      </c>
      <c r="Y571" s="17">
        <f>(S571-X571)/Model!$B$11</f>
        <v>3.8191682374743002E-3</v>
      </c>
      <c r="Z571" s="46">
        <f t="shared" si="169"/>
        <v>2.1498772699897134E-3</v>
      </c>
      <c r="AA571" s="57">
        <f>Y571/Model!$B$12*3600</f>
        <v>24.727315597153869</v>
      </c>
      <c r="AB571" s="51">
        <f t="shared" si="174"/>
        <v>164.56129676276282</v>
      </c>
      <c r="AC571" s="51">
        <f t="shared" si="176"/>
        <v>1635.4387032372372</v>
      </c>
      <c r="AD571" s="13">
        <f>IF(AE571=0, Model!$B$19, 0 )</f>
        <v>0</v>
      </c>
      <c r="AE571" s="51">
        <f>IF(AE570+AB570-AB571&lt;Model!$B$19*Model!$B$18, AE570+AB570-AB571,  0)</f>
        <v>279.07327694335072</v>
      </c>
      <c r="AF571" s="13">
        <f t="shared" si="170"/>
        <v>28.450000000000269</v>
      </c>
      <c r="AG571" s="50">
        <f t="shared" si="171"/>
        <v>0.99</v>
      </c>
    </row>
    <row r="572" spans="2:33" x14ac:dyDescent="0.25">
      <c r="B572" s="15">
        <f t="shared" si="172"/>
        <v>28.50000000000027</v>
      </c>
      <c r="C572" s="15">
        <f>B572+Model!$B$4</f>
        <v>30.50000000000027</v>
      </c>
      <c r="D572" s="15">
        <f t="shared" si="173"/>
        <v>2</v>
      </c>
      <c r="E572" s="15">
        <f t="shared" si="177"/>
        <v>6.50000000000027</v>
      </c>
      <c r="F572" s="16">
        <f>IF(AB572&gt;0, VLOOKUP(B572,Model!$A$40:$B$60, 2), 0)</f>
        <v>300</v>
      </c>
      <c r="G572" s="15">
        <f>IF(AB572&gt;0, VLOOKUP(B572,Model!$A$39:$C$58, 3), 0)</f>
        <v>1</v>
      </c>
      <c r="H572" s="15">
        <f t="shared" si="160"/>
        <v>97</v>
      </c>
      <c r="I572" s="45">
        <f>Model!$B$21*EXP((-0.029*9.81*F572)/(8.31*(273+J572)))</f>
        <v>100357.4491247143</v>
      </c>
      <c r="J572" s="15">
        <f>IF(Model!$B$31="Summer",  IF(F572&lt;=2000,  Model!$B$20-Model!$B$35*F572/1000,  IF(F572&lt;Model!$B$36,  Model!$B$33-6.5*F572/1000,  Model!$B$38)),     IF(F572&lt;=2000,  Model!$B$20-Model!$B$35*F572/1000,  IF(F572&lt;Model!$B$36,  Model!$B$33-5.4*F572/1000,   Model!$B$38)))</f>
        <v>-19.088750000000001</v>
      </c>
      <c r="K572" s="15">
        <f t="shared" si="161"/>
        <v>253.91125</v>
      </c>
      <c r="L572" s="45">
        <f>IF(AB571-AA571*(B572-B571)&gt;0, L571-Y571*(B572-B571)*3600-AD572*Model!$B$16, 0)</f>
        <v>611.81274474977158</v>
      </c>
      <c r="M572" s="56">
        <f t="shared" si="162"/>
        <v>13.087425312031371</v>
      </c>
      <c r="N572" s="56">
        <f>Model!$B$13*I572*K572/(Model!$B$13*I572-L572*287*K572)</f>
        <v>286.08742531203137</v>
      </c>
      <c r="O572" s="56">
        <f t="shared" si="163"/>
        <v>269.99933765601565</v>
      </c>
      <c r="P572" s="56">
        <f t="shared" si="164"/>
        <v>-3.0003806538434699</v>
      </c>
      <c r="Q572" s="62">
        <f t="shared" si="165"/>
        <v>2.3786952973577111E-2</v>
      </c>
      <c r="R572" s="33">
        <f t="shared" si="175"/>
        <v>1.3287931116225628E-5</v>
      </c>
      <c r="S572" s="45">
        <f>0.37*Model!$B$10*(Q572^2*(N572-K572)*I572/(R572*O572^2))^0.33333*(N572-K572)</f>
        <v>177745.41036986079</v>
      </c>
      <c r="T572" s="50">
        <f>Model!$B$32+(90-Model!$B$6)*SIN(RADIANS(-15*(E572+6)))</f>
        <v>-2.302318333280077</v>
      </c>
      <c r="U572" s="45">
        <f t="shared" si="166"/>
        <v>0</v>
      </c>
      <c r="V572" s="50">
        <f t="shared" si="167"/>
        <v>99999</v>
      </c>
      <c r="W572" s="45">
        <f t="shared" si="168"/>
        <v>4.2253521126760563E-2</v>
      </c>
      <c r="X572" s="45">
        <f>0.3*W572*Model!$B$9</f>
        <v>3.8275201289827652</v>
      </c>
      <c r="Y572" s="33">
        <f>(S572-X572)/Model!$B$11</f>
        <v>3.8129697060974325E-3</v>
      </c>
      <c r="Z572" s="45">
        <f t="shared" si="169"/>
        <v>2.1533721298447515E-3</v>
      </c>
      <c r="AA572" s="56">
        <f>Y572/Model!$B$12*3600</f>
        <v>24.687183025854516</v>
      </c>
      <c r="AB572" s="50">
        <f t="shared" si="174"/>
        <v>163.3249309829051</v>
      </c>
      <c r="AC572" s="50">
        <f t="shared" si="176"/>
        <v>1636.675069017095</v>
      </c>
      <c r="AD572" s="15">
        <f>IF(AE572=0, Model!$B$19, 0 )</f>
        <v>0</v>
      </c>
      <c r="AE572" s="50">
        <f>IF(AE571+AB571-AB572&lt;Model!$B$19*Model!$B$18, AE571+AB571-AB572,  0)</f>
        <v>280.30964272320841</v>
      </c>
      <c r="AF572" s="15">
        <f t="shared" si="170"/>
        <v>28.50000000000027</v>
      </c>
      <c r="AG572" s="50">
        <f t="shared" si="171"/>
        <v>0.99</v>
      </c>
    </row>
    <row r="573" spans="2:33" x14ac:dyDescent="0.25">
      <c r="B573" s="13">
        <f t="shared" si="172"/>
        <v>28.550000000000271</v>
      </c>
      <c r="C573" s="13">
        <f>B573+Model!$B$4</f>
        <v>30.550000000000271</v>
      </c>
      <c r="D573" s="13">
        <f t="shared" si="173"/>
        <v>2</v>
      </c>
      <c r="E573" s="13">
        <f t="shared" si="177"/>
        <v>6.5500000000002707</v>
      </c>
      <c r="F573" s="14">
        <f>IF(AB573&gt;0, VLOOKUP(B573,Model!$A$40:$B$60, 2), 0)</f>
        <v>300</v>
      </c>
      <c r="G573" s="13">
        <f>IF(AB573&gt;0, VLOOKUP(B573,Model!$A$39:$C$58, 3), 0)</f>
        <v>1</v>
      </c>
      <c r="H573" s="13">
        <f t="shared" si="160"/>
        <v>97</v>
      </c>
      <c r="I573" s="46">
        <f>Model!$B$21*EXP((-0.029*9.81*F573)/(8.31*(273+J573)))</f>
        <v>100357.4491247143</v>
      </c>
      <c r="J573" s="13">
        <f>IF(Model!$B$31="Summer",  IF(F573&lt;=2000,  Model!$B$20-Model!$B$35*F573/1000,  IF(F573&lt;Model!$B$36,  Model!$B$33-6.5*F573/1000,  Model!$B$38)),     IF(F573&lt;=2000,  Model!$B$20-Model!$B$35*F573/1000,  IF(F573&lt;Model!$B$36,  Model!$B$33-5.4*F573/1000,   Model!$B$38)))</f>
        <v>-19.088750000000001</v>
      </c>
      <c r="K573" s="13">
        <f t="shared" si="161"/>
        <v>253.91125</v>
      </c>
      <c r="L573" s="46">
        <f>IF(AB572-AA572*(B573-B572)&gt;0, L572-Y572*(B573-B572)*3600-AD573*Model!$B$16, 0)</f>
        <v>611.12641020267404</v>
      </c>
      <c r="M573" s="57">
        <f t="shared" si="162"/>
        <v>13.046761615860532</v>
      </c>
      <c r="N573" s="57">
        <f>Model!$B$13*I573*K573/(Model!$B$13*I573-L573*287*K573)</f>
        <v>286.04676161586053</v>
      </c>
      <c r="O573" s="57">
        <f t="shared" si="163"/>
        <v>269.97900580793026</v>
      </c>
      <c r="P573" s="57">
        <f t="shared" si="164"/>
        <v>-3.0207125019288892</v>
      </c>
      <c r="Q573" s="63">
        <f t="shared" si="165"/>
        <v>2.378550941236305E-2</v>
      </c>
      <c r="R573" s="17">
        <f t="shared" si="175"/>
        <v>1.3285816604024747E-5</v>
      </c>
      <c r="S573" s="46">
        <f>0.37*Model!$B$10*(Q573^2*(N573-K573)*I573/(R573*O573^2))^0.33333*(N573-K573)</f>
        <v>177457.10794406844</v>
      </c>
      <c r="T573" s="51">
        <f>Model!$B$32+(90-Model!$B$6)*SIN(RADIANS(-15*(E573+6)))</f>
        <v>-1.8484932912905929</v>
      </c>
      <c r="U573" s="46">
        <f t="shared" si="166"/>
        <v>0</v>
      </c>
      <c r="V573" s="51">
        <f t="shared" si="167"/>
        <v>99999</v>
      </c>
      <c r="W573" s="46">
        <f t="shared" si="168"/>
        <v>4.2253521126760563E-2</v>
      </c>
      <c r="X573" s="46">
        <f>0.3*W573*Model!$B$9</f>
        <v>3.8275201289827652</v>
      </c>
      <c r="Y573" s="17">
        <f>(S573-X573)/Model!$B$11</f>
        <v>3.8067849495642919E-3</v>
      </c>
      <c r="Z573" s="46">
        <f t="shared" si="169"/>
        <v>2.1568705662605167E-3</v>
      </c>
      <c r="AA573" s="57">
        <f>Y573/Model!$B$12*3600</f>
        <v>24.647139640180658</v>
      </c>
      <c r="AB573" s="51">
        <f t="shared" si="174"/>
        <v>162.09057183161235</v>
      </c>
      <c r="AC573" s="51">
        <f t="shared" si="176"/>
        <v>1637.9094281683876</v>
      </c>
      <c r="AD573" s="13">
        <f>IF(AE573=0, Model!$B$19, 0 )</f>
        <v>0</v>
      </c>
      <c r="AE573" s="51">
        <f>IF(AE572+AB572-AB573&lt;Model!$B$19*Model!$B$18, AE572+AB572-AB573,  0)</f>
        <v>281.54400187450119</v>
      </c>
      <c r="AF573" s="13">
        <f t="shared" si="170"/>
        <v>28.550000000000271</v>
      </c>
      <c r="AG573" s="50">
        <f t="shared" si="171"/>
        <v>0.99</v>
      </c>
    </row>
    <row r="574" spans="2:33" x14ac:dyDescent="0.25">
      <c r="B574" s="15">
        <f t="shared" si="172"/>
        <v>28.600000000000271</v>
      </c>
      <c r="C574" s="15">
        <f>B574+Model!$B$4</f>
        <v>30.600000000000271</v>
      </c>
      <c r="D574" s="15">
        <f t="shared" si="173"/>
        <v>2</v>
      </c>
      <c r="E574" s="15">
        <f t="shared" si="177"/>
        <v>6.6000000000002714</v>
      </c>
      <c r="F574" s="16">
        <f>IF(AB574&gt;0, VLOOKUP(B574,Model!$A$40:$B$60, 2), 0)</f>
        <v>300</v>
      </c>
      <c r="G574" s="15">
        <f>IF(AB574&gt;0, VLOOKUP(B574,Model!$A$39:$C$58, 3), 0)</f>
        <v>1</v>
      </c>
      <c r="H574" s="15">
        <f t="shared" si="160"/>
        <v>97</v>
      </c>
      <c r="I574" s="45">
        <f>Model!$B$21*EXP((-0.029*9.81*F574)/(8.31*(273+J574)))</f>
        <v>100357.4491247143</v>
      </c>
      <c r="J574" s="15">
        <f>IF(Model!$B$31="Summer",  IF(F574&lt;=2000,  Model!$B$20-Model!$B$35*F574/1000,  IF(F574&lt;Model!$B$36,  Model!$B$33-6.5*F574/1000,  Model!$B$38)),     IF(F574&lt;=2000,  Model!$B$20-Model!$B$35*F574/1000,  IF(F574&lt;Model!$B$36,  Model!$B$33-5.4*F574/1000,   Model!$B$38)))</f>
        <v>-19.088750000000001</v>
      </c>
      <c r="K574" s="15">
        <f t="shared" si="161"/>
        <v>253.91125</v>
      </c>
      <c r="L574" s="45">
        <f>IF(AB573-AA573*(B574-B573)&gt;0, L573-Y573*(B574-B573)*3600-AD574*Model!$B$16, 0)</f>
        <v>610.44118891175242</v>
      </c>
      <c r="M574" s="56">
        <f t="shared" si="162"/>
        <v>13.006175407391424</v>
      </c>
      <c r="N574" s="56">
        <f>Model!$B$13*I574*K574/(Model!$B$13*I574-L574*287*K574)</f>
        <v>286.00617540739142</v>
      </c>
      <c r="O574" s="56">
        <f t="shared" si="163"/>
        <v>269.95871270369571</v>
      </c>
      <c r="P574" s="56">
        <f t="shared" si="164"/>
        <v>-3.0410056061634432</v>
      </c>
      <c r="Q574" s="62">
        <f t="shared" si="165"/>
        <v>2.3784068601962395E-2</v>
      </c>
      <c r="R574" s="33">
        <f t="shared" si="175"/>
        <v>1.3283706121184353E-5</v>
      </c>
      <c r="S574" s="45">
        <f>0.37*Model!$B$10*(Q574^2*(N574-K574)*I574/(R574*O574^2))^0.33333*(N574-K574)</f>
        <v>177169.44575438683</v>
      </c>
      <c r="T574" s="50">
        <f>Model!$B$32+(90-Model!$B$6)*SIN(RADIANS(-15*(E574+6)))</f>
        <v>-1.3955287845737905</v>
      </c>
      <c r="U574" s="45">
        <f t="shared" si="166"/>
        <v>0</v>
      </c>
      <c r="V574" s="50">
        <f t="shared" si="167"/>
        <v>99999</v>
      </c>
      <c r="W574" s="45">
        <f t="shared" si="168"/>
        <v>4.2253521126760563E-2</v>
      </c>
      <c r="X574" s="45">
        <f>0.3*W574*Model!$B$9</f>
        <v>3.8275201289827652</v>
      </c>
      <c r="Y574" s="33">
        <f>(S574-X574)/Model!$B$11</f>
        <v>3.8006139275824917E-3</v>
      </c>
      <c r="Z574" s="45">
        <f t="shared" si="169"/>
        <v>2.1603725815617916E-3</v>
      </c>
      <c r="AA574" s="56">
        <f>Y574/Model!$B$12*3600</f>
        <v>24.607185179258074</v>
      </c>
      <c r="AB574" s="50">
        <f t="shared" si="174"/>
        <v>160.85821484960331</v>
      </c>
      <c r="AC574" s="50">
        <f t="shared" si="176"/>
        <v>1639.1417851503966</v>
      </c>
      <c r="AD574" s="15">
        <f>IF(AE574=0, Model!$B$19, 0 )</f>
        <v>0</v>
      </c>
      <c r="AE574" s="50">
        <f>IF(AE573+AB573-AB574&lt;Model!$B$19*Model!$B$18, AE573+AB573-AB574,  0)</f>
        <v>282.77635885651023</v>
      </c>
      <c r="AF574" s="15">
        <f t="shared" si="170"/>
        <v>28.600000000000271</v>
      </c>
      <c r="AG574" s="50">
        <f t="shared" si="171"/>
        <v>0.99</v>
      </c>
    </row>
    <row r="575" spans="2:33" x14ac:dyDescent="0.25">
      <c r="B575" s="13">
        <f t="shared" si="172"/>
        <v>28.650000000000272</v>
      </c>
      <c r="C575" s="13">
        <f>B575+Model!$B$4</f>
        <v>30.650000000000272</v>
      </c>
      <c r="D575" s="13">
        <f t="shared" si="173"/>
        <v>2</v>
      </c>
      <c r="E575" s="13">
        <f t="shared" si="177"/>
        <v>6.6500000000002721</v>
      </c>
      <c r="F575" s="14">
        <f>IF(AB575&gt;0, VLOOKUP(B575,Model!$A$40:$B$60, 2), 0)</f>
        <v>300</v>
      </c>
      <c r="G575" s="13">
        <f>IF(AB575&gt;0, VLOOKUP(B575,Model!$A$39:$C$58, 3), 0)</f>
        <v>1</v>
      </c>
      <c r="H575" s="13">
        <f t="shared" si="160"/>
        <v>97</v>
      </c>
      <c r="I575" s="46">
        <f>Model!$B$21*EXP((-0.029*9.81*F575)/(8.31*(273+J575)))</f>
        <v>100357.4491247143</v>
      </c>
      <c r="J575" s="13">
        <f>IF(Model!$B$31="Summer",  IF(F575&lt;=2000,  Model!$B$20-Model!$B$35*F575/1000,  IF(F575&lt;Model!$B$36,  Model!$B$33-6.5*F575/1000,  Model!$B$38)),     IF(F575&lt;=2000,  Model!$B$20-Model!$B$35*F575/1000,  IF(F575&lt;Model!$B$36,  Model!$B$33-5.4*F575/1000,   Model!$B$38)))</f>
        <v>-19.088750000000001</v>
      </c>
      <c r="K575" s="13">
        <f t="shared" si="161"/>
        <v>253.91125</v>
      </c>
      <c r="L575" s="46">
        <f>IF(AB574-AA574*(B575-B574)&gt;0, L574-Y574*(B575-B574)*3600-AD575*Model!$B$16, 0)</f>
        <v>609.75707840478753</v>
      </c>
      <c r="M575" s="57">
        <f t="shared" si="162"/>
        <v>12.96566647921253</v>
      </c>
      <c r="N575" s="57">
        <f>Model!$B$13*I575*K575/(Model!$B$13*I575-L575*287*K575)</f>
        <v>285.96566647921253</v>
      </c>
      <c r="O575" s="57">
        <f t="shared" si="163"/>
        <v>269.93845823960623</v>
      </c>
      <c r="P575" s="57">
        <f t="shared" si="164"/>
        <v>-3.0612600702528905</v>
      </c>
      <c r="Q575" s="63">
        <f t="shared" si="165"/>
        <v>2.3782630535012044E-2</v>
      </c>
      <c r="R575" s="17">
        <f t="shared" si="175"/>
        <v>1.3281599656919049E-5</v>
      </c>
      <c r="S575" s="46">
        <f>0.37*Model!$B$10*(Q575^2*(N575-K575)*I575/(R575*O575^2))^0.33333*(N575-K575)</f>
        <v>176882.42192957271</v>
      </c>
      <c r="T575" s="51">
        <f>Model!$B$32+(90-Model!$B$6)*SIN(RADIANS(-15*(E575+6)))</f>
        <v>-0.94350242626599723</v>
      </c>
      <c r="U575" s="46">
        <f t="shared" si="166"/>
        <v>0</v>
      </c>
      <c r="V575" s="51">
        <f t="shared" si="167"/>
        <v>99999</v>
      </c>
      <c r="W575" s="46">
        <f t="shared" si="168"/>
        <v>4.2253521126760563E-2</v>
      </c>
      <c r="X575" s="46">
        <f>0.3*W575*Model!$B$9</f>
        <v>3.8275201289827652</v>
      </c>
      <c r="Y575" s="17">
        <f>(S575-X575)/Model!$B$11</f>
        <v>3.7944566000095189E-3</v>
      </c>
      <c r="Z575" s="46">
        <f t="shared" si="169"/>
        <v>2.1638781780739785E-3</v>
      </c>
      <c r="AA575" s="57">
        <f>Y575/Model!$B$12*3600</f>
        <v>24.567319383182895</v>
      </c>
      <c r="AB575" s="51">
        <f t="shared" si="174"/>
        <v>159.62785559064039</v>
      </c>
      <c r="AC575" s="51">
        <f t="shared" si="176"/>
        <v>1640.3721444093596</v>
      </c>
      <c r="AD575" s="13">
        <f>IF(AE575=0, Model!$B$19, 0 )</f>
        <v>0</v>
      </c>
      <c r="AE575" s="51">
        <f>IF(AE574+AB574-AB575&lt;Model!$B$19*Model!$B$18, AE574+AB574-AB575,  0)</f>
        <v>284.00671811547318</v>
      </c>
      <c r="AF575" s="13">
        <f t="shared" si="170"/>
        <v>28.650000000000272</v>
      </c>
      <c r="AG575" s="50">
        <f t="shared" si="171"/>
        <v>0.99</v>
      </c>
    </row>
    <row r="576" spans="2:33" x14ac:dyDescent="0.25">
      <c r="B576" s="15">
        <f t="shared" si="172"/>
        <v>28.700000000000273</v>
      </c>
      <c r="C576" s="15">
        <f>B576+Model!$B$4</f>
        <v>30.700000000000273</v>
      </c>
      <c r="D576" s="15">
        <f t="shared" si="173"/>
        <v>2</v>
      </c>
      <c r="E576" s="15">
        <f t="shared" si="177"/>
        <v>6.7000000000002728</v>
      </c>
      <c r="F576" s="16">
        <f>IF(AB576&gt;0, VLOOKUP(B576,Model!$A$40:$B$60, 2), 0)</f>
        <v>300</v>
      </c>
      <c r="G576" s="15">
        <f>IF(AB576&gt;0, VLOOKUP(B576,Model!$A$39:$C$58, 3), 0)</f>
        <v>1</v>
      </c>
      <c r="H576" s="15">
        <f t="shared" si="160"/>
        <v>97</v>
      </c>
      <c r="I576" s="45">
        <f>Model!$B$21*EXP((-0.029*9.81*F576)/(8.31*(273+J576)))</f>
        <v>100357.4491247143</v>
      </c>
      <c r="J576" s="15">
        <f>IF(Model!$B$31="Summer",  IF(F576&lt;=2000,  Model!$B$20-Model!$B$35*F576/1000,  IF(F576&lt;Model!$B$36,  Model!$B$33-6.5*F576/1000,  Model!$B$38)),     IF(F576&lt;=2000,  Model!$B$20-Model!$B$35*F576/1000,  IF(F576&lt;Model!$B$36,  Model!$B$33-5.4*F576/1000,   Model!$B$38)))</f>
        <v>-19.088750000000001</v>
      </c>
      <c r="K576" s="15">
        <f t="shared" si="161"/>
        <v>253.91125</v>
      </c>
      <c r="L576" s="45">
        <f>IF(AB575-AA575*(B576-B575)&gt;0, L575-Y575*(B576-B575)*3600-AD576*Model!$B$16, 0)</f>
        <v>609.07407621678578</v>
      </c>
      <c r="M576" s="56">
        <f t="shared" si="162"/>
        <v>12.925234624646976</v>
      </c>
      <c r="N576" s="56">
        <f>Model!$B$13*I576*K576/(Model!$B$13*I576-L576*287*K576)</f>
        <v>285.92523462464698</v>
      </c>
      <c r="O576" s="56">
        <f t="shared" si="163"/>
        <v>269.91824231232351</v>
      </c>
      <c r="P576" s="56">
        <f t="shared" si="164"/>
        <v>-3.0814759975356676</v>
      </c>
      <c r="Q576" s="62">
        <f t="shared" si="165"/>
        <v>2.378119520417497E-2</v>
      </c>
      <c r="R576" s="33">
        <f t="shared" si="175"/>
        <v>1.3279497200481644E-5</v>
      </c>
      <c r="S576" s="45">
        <f>0.37*Model!$B$10*(Q576^2*(N576-K576)*I576/(R576*O576^2))^0.33333*(N576-K576)</f>
        <v>176596.03460533288</v>
      </c>
      <c r="T576" s="50">
        <f>Model!$B$32+(90-Model!$B$6)*SIN(RADIANS(-15*(E576+6)))</f>
        <v>-0.49249166875670092</v>
      </c>
      <c r="U576" s="45">
        <f t="shared" si="166"/>
        <v>0</v>
      </c>
      <c r="V576" s="50">
        <f t="shared" si="167"/>
        <v>99999</v>
      </c>
      <c r="W576" s="45">
        <f t="shared" si="168"/>
        <v>4.2253521126760563E-2</v>
      </c>
      <c r="X576" s="45">
        <f>0.3*W576*Model!$B$9</f>
        <v>3.8275201289827652</v>
      </c>
      <c r="Y576" s="33">
        <f>(S576-X576)/Model!$B$11</f>
        <v>3.7883129268519553E-3</v>
      </c>
      <c r="Z576" s="45">
        <f t="shared" si="169"/>
        <v>2.1673873581231485E-3</v>
      </c>
      <c r="AA576" s="56">
        <f>Y576/Model!$B$12*3600</f>
        <v>24.52754199301657</v>
      </c>
      <c r="AB576" s="50">
        <f t="shared" si="174"/>
        <v>158.39948962148122</v>
      </c>
      <c r="AC576" s="50">
        <f t="shared" si="176"/>
        <v>1641.6005103785187</v>
      </c>
      <c r="AD576" s="15">
        <f>IF(AE576=0, Model!$B$19, 0 )</f>
        <v>0</v>
      </c>
      <c r="AE576" s="50">
        <f>IF(AE575+AB575-AB576&lt;Model!$B$19*Model!$B$18, AE575+AB575-AB576,  0)</f>
        <v>285.23508408463232</v>
      </c>
      <c r="AF576" s="15">
        <f t="shared" si="170"/>
        <v>28.700000000000273</v>
      </c>
      <c r="AG576" s="50">
        <f t="shared" si="171"/>
        <v>0.99</v>
      </c>
    </row>
    <row r="577" spans="2:33" x14ac:dyDescent="0.25">
      <c r="B577" s="13">
        <f t="shared" si="172"/>
        <v>28.750000000000274</v>
      </c>
      <c r="C577" s="13">
        <f>B577+Model!$B$4</f>
        <v>30.750000000000274</v>
      </c>
      <c r="D577" s="13">
        <f t="shared" si="173"/>
        <v>2</v>
      </c>
      <c r="E577" s="13">
        <f t="shared" si="177"/>
        <v>6.7500000000002736</v>
      </c>
      <c r="F577" s="14">
        <f>IF(AB577&gt;0, VLOOKUP(B577,Model!$A$40:$B$60, 2), 0)</f>
        <v>300</v>
      </c>
      <c r="G577" s="13">
        <f>IF(AB577&gt;0, VLOOKUP(B577,Model!$A$39:$C$58, 3), 0)</f>
        <v>1</v>
      </c>
      <c r="H577" s="13">
        <f t="shared" si="160"/>
        <v>97</v>
      </c>
      <c r="I577" s="46">
        <f>Model!$B$21*EXP((-0.029*9.81*F577)/(8.31*(273+J577)))</f>
        <v>100357.4491247143</v>
      </c>
      <c r="J577" s="13">
        <f>IF(Model!$B$31="Summer",  IF(F577&lt;=2000,  Model!$B$20-Model!$B$35*F577/1000,  IF(F577&lt;Model!$B$36,  Model!$B$33-6.5*F577/1000,  Model!$B$38)),     IF(F577&lt;=2000,  Model!$B$20-Model!$B$35*F577/1000,  IF(F577&lt;Model!$B$36,  Model!$B$33-5.4*F577/1000,   Model!$B$38)))</f>
        <v>-19.088750000000001</v>
      </c>
      <c r="K577" s="13">
        <f t="shared" si="161"/>
        <v>253.91125</v>
      </c>
      <c r="L577" s="46">
        <f>IF(AB576-AA576*(B577-B576)&gt;0, L576-Y576*(B577-B576)*3600-AD577*Model!$B$16, 0)</f>
        <v>608.39217988995244</v>
      </c>
      <c r="M577" s="57">
        <f t="shared" si="162"/>
        <v>12.884879637749577</v>
      </c>
      <c r="N577" s="57">
        <f>Model!$B$13*I577*K577/(Model!$B$13*I577-L577*287*K577)</f>
        <v>285.88487963774958</v>
      </c>
      <c r="O577" s="57">
        <f t="shared" si="163"/>
        <v>269.89806481887479</v>
      </c>
      <c r="P577" s="57">
        <f t="shared" si="164"/>
        <v>-3.1016534909843667</v>
      </c>
      <c r="Q577" s="63">
        <f t="shared" si="165"/>
        <v>2.3779762602140112E-2</v>
      </c>
      <c r="R577" s="17">
        <f t="shared" si="175"/>
        <v>1.3277398741162977E-5</v>
      </c>
      <c r="S577" s="46">
        <f>0.37*Model!$B$10*(Q577^2*(N577-K577)*I577/(R577*O577^2))^0.33333*(N577-K577)</f>
        <v>176310.28192429582</v>
      </c>
      <c r="T577" s="51">
        <f>Model!$B$32+(90-Model!$B$6)*SIN(RADIANS(-15*(E577+6)))</f>
        <v>-4.2573790417376856E-2</v>
      </c>
      <c r="U577" s="46">
        <f t="shared" si="166"/>
        <v>0</v>
      </c>
      <c r="V577" s="51">
        <f t="shared" si="167"/>
        <v>99999</v>
      </c>
      <c r="W577" s="46">
        <f t="shared" si="168"/>
        <v>4.2253521126760563E-2</v>
      </c>
      <c r="X577" s="46">
        <f>0.3*W577*Model!$B$9</f>
        <v>3.8275201289827652</v>
      </c>
      <c r="Y577" s="17">
        <f>(S577-X577)/Model!$B$11</f>
        <v>3.7821828682648682E-3</v>
      </c>
      <c r="Z577" s="46">
        <f t="shared" si="169"/>
        <v>2.1709001240360032E-3</v>
      </c>
      <c r="AA577" s="57">
        <f>Y577/Model!$B$12*3600</f>
        <v>24.487852750781936</v>
      </c>
      <c r="AB577" s="51">
        <f t="shared" si="174"/>
        <v>157.17311252183038</v>
      </c>
      <c r="AC577" s="51">
        <f t="shared" si="176"/>
        <v>1642.8268874781697</v>
      </c>
      <c r="AD577" s="13">
        <f>IF(AE577=0, Model!$B$19, 0 )</f>
        <v>0</v>
      </c>
      <c r="AE577" s="51">
        <f>IF(AE576+AB576-AB577&lt;Model!$B$19*Model!$B$18, AE576+AB576-AB577,  0)</f>
        <v>286.46146118428317</v>
      </c>
      <c r="AF577" s="13">
        <f t="shared" si="170"/>
        <v>28.750000000000274</v>
      </c>
      <c r="AG577" s="50">
        <f t="shared" si="171"/>
        <v>0.99</v>
      </c>
    </row>
    <row r="578" spans="2:33" x14ac:dyDescent="0.25">
      <c r="B578" s="15">
        <f t="shared" si="172"/>
        <v>28.800000000000274</v>
      </c>
      <c r="C578" s="15">
        <f>B578+Model!$B$4</f>
        <v>30.800000000000274</v>
      </c>
      <c r="D578" s="15">
        <f t="shared" si="173"/>
        <v>2</v>
      </c>
      <c r="E578" s="15">
        <f t="shared" si="177"/>
        <v>6.8000000000002743</v>
      </c>
      <c r="F578" s="16">
        <f>IF(AB578&gt;0, VLOOKUP(B578,Model!$A$40:$B$60, 2), 0)</f>
        <v>300</v>
      </c>
      <c r="G578" s="15">
        <f>IF(AB578&gt;0, VLOOKUP(B578,Model!$A$39:$C$58, 3), 0)</f>
        <v>1</v>
      </c>
      <c r="H578" s="15">
        <f t="shared" ref="H578:H641" si="178">IF(B578=1, 0, G578*97)</f>
        <v>97</v>
      </c>
      <c r="I578" s="45">
        <f>Model!$B$21*EXP((-0.029*9.81*F578)/(8.31*(273+J578)))</f>
        <v>100357.4491247143</v>
      </c>
      <c r="J578" s="15">
        <f>IF(Model!$B$31="Summer",  IF(F578&lt;=2000,  Model!$B$20-Model!$B$35*F578/1000,  IF(F578&lt;Model!$B$36,  Model!$B$33-6.5*F578/1000,  Model!$B$38)),     IF(F578&lt;=2000,  Model!$B$20-Model!$B$35*F578/1000,  IF(F578&lt;Model!$B$36,  Model!$B$33-5.4*F578/1000,   Model!$B$38)))</f>
        <v>-19.088750000000001</v>
      </c>
      <c r="K578" s="15">
        <f t="shared" ref="K578:K602" si="179">273+J578</f>
        <v>253.91125</v>
      </c>
      <c r="L578" s="45">
        <f>IF(AB577-AA577*(B578-B577)&gt;0, L577-Y577*(B578-B577)*3600-AD578*Model!$B$16, 0)</f>
        <v>607.71138697366473</v>
      </c>
      <c r="M578" s="56">
        <f t="shared" ref="M578:M641" si="180">IF(AB578=0, 0, N578-273)</f>
        <v>12.844601313303656</v>
      </c>
      <c r="N578" s="56">
        <f>Model!$B$13*I578*K578/(Model!$B$13*I578-L578*287*K578)</f>
        <v>285.84460131330366</v>
      </c>
      <c r="O578" s="56">
        <f t="shared" ref="O578:O641" si="181">(K578+N578)/2</f>
        <v>269.87792565665183</v>
      </c>
      <c r="P578" s="56">
        <f t="shared" ref="P578:P641" si="182">(J578+M578)/2+W577/150</f>
        <v>-3.1217926532073275</v>
      </c>
      <c r="Q578" s="62">
        <f t="shared" ref="Q578:Q602" si="183">(O578-273)*7.1*0.00001+0.024</f>
        <v>2.3778332721622279E-2</v>
      </c>
      <c r="R578" s="33">
        <f t="shared" si="175"/>
        <v>1.3275304268291788E-5</v>
      </c>
      <c r="S578" s="45">
        <f>0.37*Model!$B$10*(Q578^2*(N578-K578)*I578/(R578*O578^2))^0.33333*(N578-K578)</f>
        <v>176025.16203597962</v>
      </c>
      <c r="T578" s="50">
        <f>Model!$B$32+(90-Model!$B$6)*SIN(RADIANS(-15*(E578+6)))</f>
        <v>0.4061741176397069</v>
      </c>
      <c r="U578" s="45">
        <f t="shared" ref="U578:U641" si="184">IF(OR(T578&lt;0, AB578=0),  0, T578)</f>
        <v>0.4061741176397069</v>
      </c>
      <c r="V578" s="50">
        <f t="shared" ref="V578:V641" si="185">IF(T578&lt;0,99999,1/SIN(RADIANS(T578)))</f>
        <v>141.0632950929778</v>
      </c>
      <c r="W578" s="45">
        <f t="shared" ref="W578:W641" si="186">IF(G578=0,0, 1353*((1+F578/7100)*0.7^V578^0.678)+F578/7100)</f>
        <v>4.2253521128919828E-2</v>
      </c>
      <c r="X578" s="45">
        <f>0.3*W578*Model!$B$9</f>
        <v>3.827520129178362</v>
      </c>
      <c r="Y578" s="33">
        <f>(S578-X578)/Model!$B$11</f>
        <v>3.7760663845511195E-3</v>
      </c>
      <c r="Z578" s="45">
        <f t="shared" ref="Z578:Z641" si="187">100*X578/S578</f>
        <v>2.1744164782509989E-3</v>
      </c>
      <c r="AA578" s="56">
        <f>Y578/Model!$B$12*3600</f>
        <v>24.448251399458712</v>
      </c>
      <c r="AB578" s="50">
        <f t="shared" si="174"/>
        <v>155.94871988429125</v>
      </c>
      <c r="AC578" s="50">
        <f t="shared" si="176"/>
        <v>1644.0512801157088</v>
      </c>
      <c r="AD578" s="15">
        <f>IF(AE578=0, Model!$B$19, 0 )</f>
        <v>0</v>
      </c>
      <c r="AE578" s="50">
        <f>IF(AE577+AB577-AB578&lt;Model!$B$19*Model!$B$18, AE577+AB577-AB578,  0)</f>
        <v>287.68585382182232</v>
      </c>
      <c r="AF578" s="15">
        <f t="shared" ref="AF578:AF641" si="188">B578</f>
        <v>28.800000000000274</v>
      </c>
      <c r="AG578" s="50">
        <f t="shared" ref="AG578:AG641" si="189">IF(OR(P578&gt;0, AB578&lt;=0),0, IF(P578&lt;-2,0.99,ABS(P578/2)))</f>
        <v>0.99</v>
      </c>
    </row>
    <row r="579" spans="2:33" x14ac:dyDescent="0.25">
      <c r="B579" s="13">
        <f t="shared" ref="B579:B642" si="190">IF(AB578&gt;0, B578+0.05, 1)</f>
        <v>28.850000000000275</v>
      </c>
      <c r="C579" s="13">
        <f>B579+Model!$B$4</f>
        <v>30.850000000000275</v>
      </c>
      <c r="D579" s="13">
        <f t="shared" ref="D579:D642" si="191">INT(C579/24+1)</f>
        <v>2</v>
      </c>
      <c r="E579" s="13">
        <f t="shared" si="177"/>
        <v>6.850000000000275</v>
      </c>
      <c r="F579" s="14">
        <f>IF(AB579&gt;0, VLOOKUP(B579,Model!$A$40:$B$60, 2), 0)</f>
        <v>300</v>
      </c>
      <c r="G579" s="13">
        <f>IF(AB579&gt;0, VLOOKUP(B579,Model!$A$39:$C$58, 3), 0)</f>
        <v>1</v>
      </c>
      <c r="H579" s="13">
        <f t="shared" si="178"/>
        <v>97</v>
      </c>
      <c r="I579" s="46">
        <f>Model!$B$21*EXP((-0.029*9.81*F579)/(8.31*(273+J579)))</f>
        <v>100357.4491247143</v>
      </c>
      <c r="J579" s="13">
        <f>IF(Model!$B$31="Summer",  IF(F579&lt;=2000,  Model!$B$20-Model!$B$35*F579/1000,  IF(F579&lt;Model!$B$36,  Model!$B$33-6.5*F579/1000,  Model!$B$38)),     IF(F579&lt;=2000,  Model!$B$20-Model!$B$35*F579/1000,  IF(F579&lt;Model!$B$36,  Model!$B$33-5.4*F579/1000,   Model!$B$38)))</f>
        <v>-19.088750000000001</v>
      </c>
      <c r="K579" s="13">
        <f t="shared" si="179"/>
        <v>253.91125</v>
      </c>
      <c r="L579" s="46">
        <f>IF(AB578-AA578*(B579-B578)&gt;0, L578-Y578*(B579-B578)*3600-AD579*Model!$B$16, 0)</f>
        <v>607.03169502444553</v>
      </c>
      <c r="M579" s="57">
        <f t="shared" si="180"/>
        <v>12.804399446817399</v>
      </c>
      <c r="N579" s="57">
        <f>Model!$B$13*I579*K579/(Model!$B$13*I579-L579*287*K579)</f>
        <v>285.8043994468174</v>
      </c>
      <c r="O579" s="57">
        <f t="shared" si="181"/>
        <v>269.85782472340873</v>
      </c>
      <c r="P579" s="57">
        <f t="shared" si="182"/>
        <v>-3.1418935864504416</v>
      </c>
      <c r="Q579" s="63">
        <f t="shared" si="183"/>
        <v>2.3776905555362021E-2</v>
      </c>
      <c r="R579" s="17">
        <f t="shared" si="175"/>
        <v>1.3273213771234507E-5</v>
      </c>
      <c r="S579" s="46">
        <f>0.37*Model!$B$10*(Q579^2*(N579-K579)*I579/(R579*O579^2))^0.33333*(N579-K579)</f>
        <v>175740.67309675858</v>
      </c>
      <c r="T579" s="51">
        <f>Model!$B$32+(90-Model!$B$6)*SIN(RADIANS(-15*(E579+6)))</f>
        <v>0.85367516477066374</v>
      </c>
      <c r="U579" s="46">
        <f t="shared" si="184"/>
        <v>0.85367516477066374</v>
      </c>
      <c r="V579" s="51">
        <f t="shared" si="185"/>
        <v>67.119089102273193</v>
      </c>
      <c r="W579" s="46">
        <f t="shared" si="186"/>
        <v>4.2379468053756572E-2</v>
      </c>
      <c r="X579" s="46">
        <f>0.3*W579*Model!$B$9</f>
        <v>3.8389289864082703</v>
      </c>
      <c r="Y579" s="17">
        <f>(S579-X579)/Model!$B$11</f>
        <v>3.7699631914141839E-3</v>
      </c>
      <c r="Z579" s="46">
        <f t="shared" si="187"/>
        <v>2.1844282935542464E-3</v>
      </c>
      <c r="AA579" s="57">
        <f>Y579/Model!$B$12*3600</f>
        <v>24.408736098360798</v>
      </c>
      <c r="AB579" s="51">
        <f t="shared" ref="AB579:AB642" si="192">IF(AB578-AA578*(B579-B578)&gt;0, AB578-AA578*(B579-B578), 0)</f>
        <v>154.72630731431829</v>
      </c>
      <c r="AC579" s="51">
        <f t="shared" si="176"/>
        <v>1645.2736926856817</v>
      </c>
      <c r="AD579" s="13">
        <f>IF(AE579=0, Model!$B$19, 0 )</f>
        <v>0</v>
      </c>
      <c r="AE579" s="51">
        <f>IF(AE578+AB578-AB579&lt;Model!$B$19*Model!$B$18, AE578+AB578-AB579,  0)</f>
        <v>288.90826639179522</v>
      </c>
      <c r="AF579" s="13">
        <f t="shared" si="188"/>
        <v>28.850000000000275</v>
      </c>
      <c r="AG579" s="50">
        <f t="shared" si="189"/>
        <v>0.99</v>
      </c>
    </row>
    <row r="580" spans="2:33" x14ac:dyDescent="0.25">
      <c r="B580" s="15">
        <f t="shared" si="190"/>
        <v>28.900000000000276</v>
      </c>
      <c r="C580" s="15">
        <f>B580+Model!$B$4</f>
        <v>30.900000000000276</v>
      </c>
      <c r="D580" s="15">
        <f t="shared" si="191"/>
        <v>2</v>
      </c>
      <c r="E580" s="15">
        <f t="shared" si="177"/>
        <v>6.9000000000002757</v>
      </c>
      <c r="F580" s="16">
        <f>IF(AB580&gt;0, VLOOKUP(B580,Model!$A$40:$B$60, 2), 0)</f>
        <v>300</v>
      </c>
      <c r="G580" s="15">
        <f>IF(AB580&gt;0, VLOOKUP(B580,Model!$A$39:$C$58, 3), 0)</f>
        <v>1</v>
      </c>
      <c r="H580" s="15">
        <f t="shared" si="178"/>
        <v>97</v>
      </c>
      <c r="I580" s="45">
        <f>Model!$B$21*EXP((-0.029*9.81*F580)/(8.31*(273+J580)))</f>
        <v>100357.4491247143</v>
      </c>
      <c r="J580" s="15">
        <f>IF(Model!$B$31="Summer",  IF(F580&lt;=2000,  Model!$B$20-Model!$B$35*F580/1000,  IF(F580&lt;Model!$B$36,  Model!$B$33-6.5*F580/1000,  Model!$B$38)),     IF(F580&lt;=2000,  Model!$B$20-Model!$B$35*F580/1000,  IF(F580&lt;Model!$B$36,  Model!$B$33-5.4*F580/1000,   Model!$B$38)))</f>
        <v>-19.088750000000001</v>
      </c>
      <c r="K580" s="15">
        <f t="shared" si="179"/>
        <v>253.91125</v>
      </c>
      <c r="L580" s="45">
        <f>IF(AB579-AA579*(B580-B579)&gt;0, L579-Y579*(B580-B579)*3600-AD580*Model!$B$16, 0)</f>
        <v>606.353101649991</v>
      </c>
      <c r="M580" s="56">
        <f t="shared" si="180"/>
        <v>12.764273837125586</v>
      </c>
      <c r="N580" s="56">
        <f>Model!$B$13*I580*K580/(Model!$B$13*I580-L580*287*K580)</f>
        <v>285.76427383712559</v>
      </c>
      <c r="O580" s="56">
        <f t="shared" si="181"/>
        <v>269.83776191856282</v>
      </c>
      <c r="P580" s="56">
        <f t="shared" si="182"/>
        <v>-3.1619555516501823</v>
      </c>
      <c r="Q580" s="62">
        <f t="shared" si="183"/>
        <v>2.3775481096217962E-2</v>
      </c>
      <c r="R580" s="33">
        <f t="shared" si="175"/>
        <v>1.3271127239530532E-5</v>
      </c>
      <c r="S580" s="45">
        <f>0.37*Model!$B$10*(Q580^2*(N580-K580)*I580/(R580*O580^2))^0.33333*(N580-K580)</f>
        <v>175456.81328825632</v>
      </c>
      <c r="T580" s="50">
        <f>Model!$B$32+(90-Model!$B$6)*SIN(RADIANS(-15*(E580+6)))</f>
        <v>1.2998526739748257</v>
      </c>
      <c r="U580" s="45">
        <f t="shared" si="184"/>
        <v>1.2998526739748257</v>
      </c>
      <c r="V580" s="50">
        <f t="shared" si="185"/>
        <v>44.082453228757934</v>
      </c>
      <c r="W580" s="45">
        <f t="shared" si="186"/>
        <v>7.533434890043969E-2</v>
      </c>
      <c r="X580" s="45">
        <f>0.3*W580*Model!$B$9</f>
        <v>6.824135104745765</v>
      </c>
      <c r="Y580" s="33">
        <f>(S580-X580)/Model!$B$11</f>
        <v>3.7638096997350975E-3</v>
      </c>
      <c r="Z580" s="45">
        <f t="shared" si="187"/>
        <v>3.8893531558301235E-3</v>
      </c>
      <c r="AA580" s="56">
        <f>Y580/Model!$B$12*3600</f>
        <v>24.368895137891915</v>
      </c>
      <c r="AB580" s="50">
        <f t="shared" si="192"/>
        <v>153.50587050940024</v>
      </c>
      <c r="AC580" s="50">
        <f t="shared" si="176"/>
        <v>1646.4941294905998</v>
      </c>
      <c r="AD580" s="15">
        <f>IF(AE580=0, Model!$B$19, 0 )</f>
        <v>0</v>
      </c>
      <c r="AE580" s="50">
        <f>IF(AE579+AB579-AB580&lt;Model!$B$19*Model!$B$18, AE579+AB579-AB580,  0)</f>
        <v>290.12870319671333</v>
      </c>
      <c r="AF580" s="15">
        <f t="shared" si="188"/>
        <v>28.900000000000276</v>
      </c>
      <c r="AG580" s="50">
        <f t="shared" si="189"/>
        <v>0.99</v>
      </c>
    </row>
    <row r="581" spans="2:33" x14ac:dyDescent="0.25">
      <c r="B581" s="13">
        <f t="shared" si="190"/>
        <v>28.950000000000276</v>
      </c>
      <c r="C581" s="13">
        <f>B581+Model!$B$4</f>
        <v>30.950000000000276</v>
      </c>
      <c r="D581" s="13">
        <f t="shared" si="191"/>
        <v>2</v>
      </c>
      <c r="E581" s="13">
        <f t="shared" si="177"/>
        <v>6.9500000000002764</v>
      </c>
      <c r="F581" s="14">
        <f>IF(AB581&gt;0, VLOOKUP(B581,Model!$A$40:$B$60, 2), 0)</f>
        <v>300</v>
      </c>
      <c r="G581" s="13">
        <f>IF(AB581&gt;0, VLOOKUP(B581,Model!$A$39:$C$58, 3), 0)</f>
        <v>1</v>
      </c>
      <c r="H581" s="13">
        <f t="shared" si="178"/>
        <v>97</v>
      </c>
      <c r="I581" s="46">
        <f>Model!$B$21*EXP((-0.029*9.81*F581)/(8.31*(273+J581)))</f>
        <v>100357.4491247143</v>
      </c>
      <c r="J581" s="13">
        <f>IF(Model!$B$31="Summer",  IF(F581&lt;=2000,  Model!$B$20-Model!$B$35*F581/1000,  IF(F581&lt;Model!$B$36,  Model!$B$33-6.5*F581/1000,  Model!$B$38)),     IF(F581&lt;=2000,  Model!$B$20-Model!$B$35*F581/1000,  IF(F581&lt;Model!$B$36,  Model!$B$33-5.4*F581/1000,   Model!$B$38)))</f>
        <v>-19.088750000000001</v>
      </c>
      <c r="K581" s="13">
        <f t="shared" si="179"/>
        <v>253.91125</v>
      </c>
      <c r="L581" s="46">
        <f>IF(AB580-AA580*(B581-B580)&gt;0, L580-Y580*(B581-B580)*3600-AD581*Model!$B$16, 0)</f>
        <v>605.67561590403864</v>
      </c>
      <c r="M581" s="57">
        <f t="shared" si="180"/>
        <v>12.72422495988576</v>
      </c>
      <c r="N581" s="57">
        <f>Model!$B$13*I581*K581/(Model!$B$13*I581-L581*287*K581)</f>
        <v>285.72422495988576</v>
      </c>
      <c r="O581" s="57">
        <f t="shared" si="181"/>
        <v>269.81773747994288</v>
      </c>
      <c r="P581" s="57">
        <f t="shared" si="182"/>
        <v>-3.1817602910644509</v>
      </c>
      <c r="Q581" s="63">
        <f t="shared" si="183"/>
        <v>2.3774059361075944E-2</v>
      </c>
      <c r="R581" s="17">
        <f t="shared" si="175"/>
        <v>1.3269044697914057E-5</v>
      </c>
      <c r="S581" s="46">
        <f>0.37*Model!$B$10*(Q581^2*(N581-K581)*I581/(R581*O581^2))^0.33333*(N581-K581)</f>
        <v>175173.58557955813</v>
      </c>
      <c r="T581" s="51">
        <f>Model!$B$32+(90-Model!$B$6)*SIN(RADIANS(-15*(E581+6)))</f>
        <v>1.7446301950328866</v>
      </c>
      <c r="U581" s="46">
        <f t="shared" si="184"/>
        <v>1.7446301950328866</v>
      </c>
      <c r="V581" s="51">
        <f t="shared" si="185"/>
        <v>32.846292869897169</v>
      </c>
      <c r="W581" s="46">
        <f t="shared" si="186"/>
        <v>0.54302268714348689</v>
      </c>
      <c r="X581" s="46">
        <f>0.3*W581*Model!$B$9</f>
        <v>49.189516284352166</v>
      </c>
      <c r="Y581" s="17">
        <f>(S581-X581)/Model!$B$11</f>
        <v>3.7568249718604265E-3</v>
      </c>
      <c r="Z581" s="46">
        <f t="shared" si="187"/>
        <v>2.8080441535525854E-2</v>
      </c>
      <c r="AA581" s="57">
        <f>Y581/Model!$B$12*3600</f>
        <v>24.323672314549771</v>
      </c>
      <c r="AB581" s="51">
        <f t="shared" si="192"/>
        <v>152.28742575250561</v>
      </c>
      <c r="AC581" s="51">
        <f t="shared" si="176"/>
        <v>1647.7125742474943</v>
      </c>
      <c r="AD581" s="13">
        <f>IF(AE581=0, Model!$B$19, 0 )</f>
        <v>0</v>
      </c>
      <c r="AE581" s="51">
        <f>IF(AE580+AB580-AB581&lt;Model!$B$19*Model!$B$18, AE580+AB580-AB581,  0)</f>
        <v>291.34714795360793</v>
      </c>
      <c r="AF581" s="13">
        <f t="shared" si="188"/>
        <v>28.950000000000276</v>
      </c>
      <c r="AG581" s="50">
        <f t="shared" si="189"/>
        <v>0.99</v>
      </c>
    </row>
    <row r="582" spans="2:33" x14ac:dyDescent="0.25">
      <c r="B582" s="15">
        <f t="shared" si="190"/>
        <v>29.000000000000277</v>
      </c>
      <c r="C582" s="15">
        <f>B582+Model!$B$4</f>
        <v>31.000000000000277</v>
      </c>
      <c r="D582" s="15">
        <f t="shared" si="191"/>
        <v>2</v>
      </c>
      <c r="E582" s="15">
        <f t="shared" si="177"/>
        <v>7.0000000000002771</v>
      </c>
      <c r="F582" s="16">
        <f>IF(AB582&gt;0, VLOOKUP(B582,Model!$A$40:$B$60, 2), 0)</f>
        <v>300</v>
      </c>
      <c r="G582" s="15">
        <f>IF(AB582&gt;0, VLOOKUP(B582,Model!$A$39:$C$58, 3), 0)</f>
        <v>1</v>
      </c>
      <c r="H582" s="15">
        <f t="shared" si="178"/>
        <v>97</v>
      </c>
      <c r="I582" s="45">
        <f>Model!$B$21*EXP((-0.029*9.81*F582)/(8.31*(273+J582)))</f>
        <v>100357.4491247143</v>
      </c>
      <c r="J582" s="15">
        <f>IF(Model!$B$31="Summer",  IF(F582&lt;=2000,  Model!$B$20-Model!$B$35*F582/1000,  IF(F582&lt;Model!$B$36,  Model!$B$33-6.5*F582/1000,  Model!$B$38)),     IF(F582&lt;=2000,  Model!$B$20-Model!$B$35*F582/1000,  IF(F582&lt;Model!$B$36,  Model!$B$33-5.4*F582/1000,   Model!$B$38)))</f>
        <v>-19.088750000000001</v>
      </c>
      <c r="K582" s="15">
        <f t="shared" si="179"/>
        <v>253.91125</v>
      </c>
      <c r="L582" s="45">
        <f>IF(AB581-AA581*(B582-B581)&gt;0, L581-Y581*(B582-B581)*3600-AD582*Model!$B$16, 0)</f>
        <v>604.99938740910375</v>
      </c>
      <c r="M582" s="56">
        <f t="shared" si="180"/>
        <v>12.684261596384488</v>
      </c>
      <c r="N582" s="56">
        <f>Model!$B$13*I582*K582/(Model!$B$13*I582-L582*287*K582)</f>
        <v>285.68426159638449</v>
      </c>
      <c r="O582" s="56">
        <f t="shared" si="181"/>
        <v>269.79775579819227</v>
      </c>
      <c r="P582" s="56">
        <f t="shared" si="182"/>
        <v>-3.1986240505601335</v>
      </c>
      <c r="Q582" s="62">
        <f t="shared" si="183"/>
        <v>2.3772640661671653E-2</v>
      </c>
      <c r="R582" s="33">
        <f t="shared" si="175"/>
        <v>1.3266966603011995E-5</v>
      </c>
      <c r="S582" s="45">
        <f>0.37*Model!$B$10*(Q582^2*(N582-K582)*I582/(R582*O582^2))^0.33333*(N582-K582)</f>
        <v>174891.05164549185</v>
      </c>
      <c r="T582" s="50">
        <f>Model!$B$32+(90-Model!$B$6)*SIN(RADIANS(-15*(E582+6)))</f>
        <v>2.1879315176063514</v>
      </c>
      <c r="U582" s="45">
        <f t="shared" si="184"/>
        <v>2.1879315176063514</v>
      </c>
      <c r="V582" s="50">
        <f t="shared" si="185"/>
        <v>26.193556045400456</v>
      </c>
      <c r="W582" s="45">
        <f t="shared" si="186"/>
        <v>2.5445080160006852</v>
      </c>
      <c r="X582" s="45">
        <f>0.3*W582*Model!$B$9</f>
        <v>230.49335037388141</v>
      </c>
      <c r="Y582" s="33">
        <f>(S582-X582)/Model!$B$11</f>
        <v>3.7468745746029814E-3</v>
      </c>
      <c r="Z582" s="45">
        <f t="shared" si="187"/>
        <v>0.13179253495547427</v>
      </c>
      <c r="AA582" s="56">
        <f>Y582/Model!$B$12*3600</f>
        <v>24.259248178716305</v>
      </c>
      <c r="AB582" s="50">
        <f t="shared" si="192"/>
        <v>151.0712421367781</v>
      </c>
      <c r="AC582" s="50">
        <f t="shared" si="176"/>
        <v>1648.928757863222</v>
      </c>
      <c r="AD582" s="15">
        <f>IF(AE582=0, Model!$B$19, 0 )</f>
        <v>0</v>
      </c>
      <c r="AE582" s="50">
        <f>IF(AE581+AB581-AB582&lt;Model!$B$19*Model!$B$18, AE581+AB581-AB582,  0)</f>
        <v>292.56333156933545</v>
      </c>
      <c r="AF582" s="15">
        <f t="shared" si="188"/>
        <v>29.000000000000277</v>
      </c>
      <c r="AG582" s="50">
        <f t="shared" si="189"/>
        <v>0.99</v>
      </c>
    </row>
    <row r="583" spans="2:33" x14ac:dyDescent="0.25">
      <c r="B583" s="13">
        <f t="shared" si="190"/>
        <v>29.050000000000278</v>
      </c>
      <c r="C583" s="13">
        <f>B583+Model!$B$4</f>
        <v>31.050000000000278</v>
      </c>
      <c r="D583" s="13">
        <f t="shared" si="191"/>
        <v>2</v>
      </c>
      <c r="E583" s="13">
        <f t="shared" si="177"/>
        <v>7.0500000000002778</v>
      </c>
      <c r="F583" s="14">
        <f>IF(AB583&gt;0, VLOOKUP(B583,Model!$A$40:$B$60, 2), 0)</f>
        <v>300</v>
      </c>
      <c r="G583" s="13">
        <f>IF(AB583&gt;0, VLOOKUP(B583,Model!$A$39:$C$58, 3), 0)</f>
        <v>1</v>
      </c>
      <c r="H583" s="13">
        <f t="shared" si="178"/>
        <v>97</v>
      </c>
      <c r="I583" s="46">
        <f>Model!$B$21*EXP((-0.029*9.81*F583)/(8.31*(273+J583)))</f>
        <v>100357.4491247143</v>
      </c>
      <c r="J583" s="13">
        <f>IF(Model!$B$31="Summer",  IF(F583&lt;=2000,  Model!$B$20-Model!$B$35*F583/1000,  IF(F583&lt;Model!$B$36,  Model!$B$33-6.5*F583/1000,  Model!$B$38)),     IF(F583&lt;=2000,  Model!$B$20-Model!$B$35*F583/1000,  IF(F583&lt;Model!$B$36,  Model!$B$33-5.4*F583/1000,   Model!$B$38)))</f>
        <v>-19.088750000000001</v>
      </c>
      <c r="K583" s="13">
        <f t="shared" si="179"/>
        <v>253.91125</v>
      </c>
      <c r="L583" s="46">
        <f>IF(AB582-AA582*(B583-B582)&gt;0, L582-Y582*(B583-B582)*3600-AD583*Model!$B$16, 0)</f>
        <v>604.32494998567518</v>
      </c>
      <c r="M583" s="57">
        <f t="shared" si="180"/>
        <v>12.644415213775744</v>
      </c>
      <c r="N583" s="57">
        <f>Model!$B$13*I583*K583/(Model!$B$13*I583-L583*287*K583)</f>
        <v>285.64441521377574</v>
      </c>
      <c r="O583" s="57">
        <f t="shared" si="181"/>
        <v>269.77783260688784</v>
      </c>
      <c r="P583" s="57">
        <f t="shared" si="182"/>
        <v>-3.2052040063387905</v>
      </c>
      <c r="Q583" s="63">
        <f t="shared" si="183"/>
        <v>2.3771226115089038E-2</v>
      </c>
      <c r="R583" s="17">
        <f t="shared" si="175"/>
        <v>1.3264894591116334E-5</v>
      </c>
      <c r="S583" s="46">
        <f>0.37*Model!$B$10*(Q583^2*(N583-K583)*I583/(R583*O583^2))^0.33333*(N583-K583)</f>
        <v>174609.43339202084</v>
      </c>
      <c r="T583" s="51">
        <f>Model!$B$32+(90-Model!$B$6)*SIN(RADIANS(-15*(E583+6)))</f>
        <v>2.6296806842957317</v>
      </c>
      <c r="U583" s="46">
        <f t="shared" si="184"/>
        <v>2.6296806842957317</v>
      </c>
      <c r="V583" s="51">
        <f t="shared" si="185"/>
        <v>21.795764162952423</v>
      </c>
      <c r="W583" s="46">
        <f t="shared" si="186"/>
        <v>7.2900017885947159</v>
      </c>
      <c r="X583" s="46">
        <f>0.3*W583*Model!$B$9</f>
        <v>660.36220987261049</v>
      </c>
      <c r="Y583" s="17">
        <f>(S583-X583)/Model!$B$11</f>
        <v>3.7316115238045316E-3</v>
      </c>
      <c r="Z583" s="46">
        <f t="shared" si="187"/>
        <v>0.37819389081345434</v>
      </c>
      <c r="AA583" s="57">
        <f>Y583/Model!$B$12*3600</f>
        <v>24.160427113342593</v>
      </c>
      <c r="AB583" s="51">
        <f t="shared" si="192"/>
        <v>149.85827972784227</v>
      </c>
      <c r="AC583" s="51">
        <f t="shared" si="176"/>
        <v>1650.1417202721577</v>
      </c>
      <c r="AD583" s="13">
        <f>IF(AE583=0, Model!$B$19, 0 )</f>
        <v>0</v>
      </c>
      <c r="AE583" s="51">
        <f>IF(AE582+AB582-AB583&lt;Model!$B$19*Model!$B$18, AE582+AB582-AB583,  0)</f>
        <v>293.77629397827127</v>
      </c>
      <c r="AF583" s="13">
        <f t="shared" si="188"/>
        <v>29.050000000000278</v>
      </c>
      <c r="AG583" s="50">
        <f t="shared" si="189"/>
        <v>0.99</v>
      </c>
    </row>
    <row r="584" spans="2:33" x14ac:dyDescent="0.25">
      <c r="B584" s="15">
        <f t="shared" si="190"/>
        <v>29.100000000000279</v>
      </c>
      <c r="C584" s="15">
        <f>B584+Model!$B$4</f>
        <v>31.100000000000279</v>
      </c>
      <c r="D584" s="15">
        <f t="shared" si="191"/>
        <v>2</v>
      </c>
      <c r="E584" s="15">
        <f t="shared" si="177"/>
        <v>7.1000000000002785</v>
      </c>
      <c r="F584" s="16">
        <f>IF(AB584&gt;0, VLOOKUP(B584,Model!$A$40:$B$60, 2), 0)</f>
        <v>300</v>
      </c>
      <c r="G584" s="15">
        <f>IF(AB584&gt;0, VLOOKUP(B584,Model!$A$39:$C$58, 3), 0)</f>
        <v>1</v>
      </c>
      <c r="H584" s="15">
        <f t="shared" si="178"/>
        <v>97</v>
      </c>
      <c r="I584" s="45">
        <f>Model!$B$21*EXP((-0.029*9.81*F584)/(8.31*(273+J584)))</f>
        <v>100357.4491247143</v>
      </c>
      <c r="J584" s="15">
        <f>IF(Model!$B$31="Summer",  IF(F584&lt;=2000,  Model!$B$20-Model!$B$35*F584/1000,  IF(F584&lt;Model!$B$36,  Model!$B$33-6.5*F584/1000,  Model!$B$38)),     IF(F584&lt;=2000,  Model!$B$20-Model!$B$35*F584/1000,  IF(F584&lt;Model!$B$36,  Model!$B$33-5.4*F584/1000,   Model!$B$38)))</f>
        <v>-19.088750000000001</v>
      </c>
      <c r="K584" s="15">
        <f t="shared" si="179"/>
        <v>253.91125</v>
      </c>
      <c r="L584" s="45">
        <f>IF(AB583-AA583*(B584-B583)&gt;0, L583-Y583*(B584-B583)*3600-AD584*Model!$B$16, 0)</f>
        <v>603.65325991139036</v>
      </c>
      <c r="M584" s="56">
        <f t="shared" si="180"/>
        <v>12.604742193025743</v>
      </c>
      <c r="N584" s="56">
        <f>Model!$B$13*I584*K584/(Model!$B$13*I584-L584*287*K584)</f>
        <v>285.60474219302574</v>
      </c>
      <c r="O584" s="56">
        <f t="shared" si="181"/>
        <v>269.7579960965129</v>
      </c>
      <c r="P584" s="56">
        <f t="shared" si="182"/>
        <v>-3.1934038915631642</v>
      </c>
      <c r="Q584" s="62">
        <f t="shared" si="183"/>
        <v>2.3769817722852415E-2</v>
      </c>
      <c r="R584" s="33">
        <f t="shared" si="175"/>
        <v>1.3262831594037339E-5</v>
      </c>
      <c r="S584" s="45">
        <f>0.37*Model!$B$10*(Q584^2*(N584-K584)*I584/(R584*O584^2))^0.33333*(N584-K584)</f>
        <v>174329.12844357334</v>
      </c>
      <c r="T584" s="50">
        <f>Model!$B$32+(90-Model!$B$6)*SIN(RADIANS(-15*(E584+6)))</f>
        <v>3.0698020036554183</v>
      </c>
      <c r="U584" s="45">
        <f t="shared" si="184"/>
        <v>3.0698020036554183</v>
      </c>
      <c r="V584" s="50">
        <f t="shared" si="185"/>
        <v>18.673256781620971</v>
      </c>
      <c r="W584" s="45">
        <f t="shared" si="186"/>
        <v>15.464223199227719</v>
      </c>
      <c r="X584" s="45">
        <f>0.3*W584*Model!$B$9</f>
        <v>1400.8211385876571</v>
      </c>
      <c r="Y584" s="33">
        <f>(S584-X584)/Model!$B$11</f>
        <v>3.7097137682073514E-3</v>
      </c>
      <c r="Z584" s="45">
        <f t="shared" si="187"/>
        <v>0.80354967129952326</v>
      </c>
      <c r="AA584" s="56">
        <f>Y584/Model!$B$12*3600</f>
        <v>24.018649459190623</v>
      </c>
      <c r="AB584" s="50">
        <f t="shared" si="192"/>
        <v>148.65025837217513</v>
      </c>
      <c r="AC584" s="50">
        <f t="shared" si="176"/>
        <v>1651.3497416278249</v>
      </c>
      <c r="AD584" s="15">
        <f>IF(AE584=0, Model!$B$19, 0 )</f>
        <v>0</v>
      </c>
      <c r="AE584" s="50">
        <f>IF(AE583+AB583-AB584&lt;Model!$B$19*Model!$B$18, AE583+AB583-AB584,  0)</f>
        <v>294.98431533393841</v>
      </c>
      <c r="AF584" s="15">
        <f t="shared" si="188"/>
        <v>29.100000000000279</v>
      </c>
      <c r="AG584" s="50">
        <f t="shared" si="189"/>
        <v>0.99</v>
      </c>
    </row>
    <row r="585" spans="2:33" x14ac:dyDescent="0.25">
      <c r="B585" s="13">
        <f t="shared" si="190"/>
        <v>29.150000000000279</v>
      </c>
      <c r="C585" s="13">
        <f>B585+Model!$B$4</f>
        <v>31.150000000000279</v>
      </c>
      <c r="D585" s="13">
        <f t="shared" si="191"/>
        <v>2</v>
      </c>
      <c r="E585" s="13">
        <f t="shared" si="177"/>
        <v>7.1500000000002792</v>
      </c>
      <c r="F585" s="14">
        <f>IF(AB585&gt;0, VLOOKUP(B585,Model!$A$40:$B$60, 2), 0)</f>
        <v>300</v>
      </c>
      <c r="G585" s="13">
        <f>IF(AB585&gt;0, VLOOKUP(B585,Model!$A$39:$C$58, 3), 0)</f>
        <v>1</v>
      </c>
      <c r="H585" s="13">
        <f t="shared" si="178"/>
        <v>97</v>
      </c>
      <c r="I585" s="46">
        <f>Model!$B$21*EXP((-0.029*9.81*F585)/(8.31*(273+J585)))</f>
        <v>100357.4491247143</v>
      </c>
      <c r="J585" s="13">
        <f>IF(Model!$B$31="Summer",  IF(F585&lt;=2000,  Model!$B$20-Model!$B$35*F585/1000,  IF(F585&lt;Model!$B$36,  Model!$B$33-6.5*F585/1000,  Model!$B$38)),     IF(F585&lt;=2000,  Model!$B$20-Model!$B$35*F585/1000,  IF(F585&lt;Model!$B$36,  Model!$B$33-5.4*F585/1000,   Model!$B$38)))</f>
        <v>-19.088750000000001</v>
      </c>
      <c r="K585" s="13">
        <f t="shared" si="179"/>
        <v>253.91125</v>
      </c>
      <c r="L585" s="46">
        <f>IF(AB584-AA584*(B585-B584)&gt;0, L584-Y584*(B585-B584)*3600-AD585*Model!$B$16, 0)</f>
        <v>602.98551143311306</v>
      </c>
      <c r="M585" s="57">
        <f t="shared" si="180"/>
        <v>12.565312902582434</v>
      </c>
      <c r="N585" s="57">
        <f>Model!$B$13*I585*K585/(Model!$B$13*I585-L585*287*K585)</f>
        <v>285.56531290258243</v>
      </c>
      <c r="O585" s="57">
        <f t="shared" si="181"/>
        <v>269.73828145129119</v>
      </c>
      <c r="P585" s="57">
        <f t="shared" si="182"/>
        <v>-3.1586237273805988</v>
      </c>
      <c r="Q585" s="63">
        <f t="shared" si="183"/>
        <v>2.3768417983041676E-2</v>
      </c>
      <c r="R585" s="17">
        <f t="shared" si="175"/>
        <v>1.3260781270934283E-5</v>
      </c>
      <c r="S585" s="46">
        <f>0.37*Model!$B$10*(Q585^2*(N585-K585)*I585/(R585*O585^2))^0.33333*(N585-K585)</f>
        <v>174050.63270703482</v>
      </c>
      <c r="T585" s="51">
        <f>Model!$B$32+(90-Model!$B$6)*SIN(RADIANS(-15*(E585+6)))</f>
        <v>3.5082200631631011</v>
      </c>
      <c r="U585" s="46">
        <f t="shared" si="184"/>
        <v>3.5082200631631011</v>
      </c>
      <c r="V585" s="51">
        <f t="shared" si="185"/>
        <v>16.342075333624315</v>
      </c>
      <c r="W585" s="46">
        <f t="shared" si="186"/>
        <v>27.142219583820072</v>
      </c>
      <c r="X585" s="46">
        <f>0.3*W585*Model!$B$9</f>
        <v>2458.6682726554163</v>
      </c>
      <c r="Y585" s="17">
        <f>(S585-X585)/Model!$B$11</f>
        <v>3.6810461103588842E-3</v>
      </c>
      <c r="Z585" s="46">
        <f t="shared" si="187"/>
        <v>1.4126166819478854</v>
      </c>
      <c r="AA585" s="57">
        <f>Y585/Model!$B$12*3600</f>
        <v>23.833039876429986</v>
      </c>
      <c r="AB585" s="51">
        <f t="shared" si="192"/>
        <v>147.44932589921558</v>
      </c>
      <c r="AC585" s="51">
        <f t="shared" si="176"/>
        <v>1652.5506741007844</v>
      </c>
      <c r="AD585" s="13">
        <f>IF(AE585=0, Model!$B$19, 0 )</f>
        <v>0</v>
      </c>
      <c r="AE585" s="51">
        <f>IF(AE584+AB584-AB585&lt;Model!$B$19*Model!$B$18, AE584+AB584-AB585,  0)</f>
        <v>296.18524780689796</v>
      </c>
      <c r="AF585" s="13">
        <f t="shared" si="188"/>
        <v>29.150000000000279</v>
      </c>
      <c r="AG585" s="50">
        <f t="shared" si="189"/>
        <v>0.99</v>
      </c>
    </row>
    <row r="586" spans="2:33" x14ac:dyDescent="0.25">
      <c r="B586" s="15">
        <f t="shared" si="190"/>
        <v>29.20000000000028</v>
      </c>
      <c r="C586" s="15">
        <f>B586+Model!$B$4</f>
        <v>31.20000000000028</v>
      </c>
      <c r="D586" s="15">
        <f t="shared" si="191"/>
        <v>2</v>
      </c>
      <c r="E586" s="15">
        <f t="shared" si="177"/>
        <v>7.20000000000028</v>
      </c>
      <c r="F586" s="16">
        <f>IF(AB586&gt;0, VLOOKUP(B586,Model!$A$40:$B$60, 2), 0)</f>
        <v>300</v>
      </c>
      <c r="G586" s="15">
        <f>IF(AB586&gt;0, VLOOKUP(B586,Model!$A$39:$C$58, 3), 0)</f>
        <v>1</v>
      </c>
      <c r="H586" s="15">
        <f t="shared" si="178"/>
        <v>97</v>
      </c>
      <c r="I586" s="45">
        <f>Model!$B$21*EXP((-0.029*9.81*F586)/(8.31*(273+J586)))</f>
        <v>100357.4491247143</v>
      </c>
      <c r="J586" s="15">
        <f>IF(Model!$B$31="Summer",  IF(F586&lt;=2000,  Model!$B$20-Model!$B$35*F586/1000,  IF(F586&lt;Model!$B$36,  Model!$B$33-6.5*F586/1000,  Model!$B$38)),     IF(F586&lt;=2000,  Model!$B$20-Model!$B$35*F586/1000,  IF(F586&lt;Model!$B$36,  Model!$B$33-5.4*F586/1000,   Model!$B$38)))</f>
        <v>-19.088750000000001</v>
      </c>
      <c r="K586" s="15">
        <f t="shared" si="179"/>
        <v>253.91125</v>
      </c>
      <c r="L586" s="45">
        <f>IF(AB585-AA585*(B586-B585)&gt;0, L585-Y585*(B586-B585)*3600-AD586*Model!$B$16, 0)</f>
        <v>602.32292313324842</v>
      </c>
      <c r="M586" s="56">
        <f t="shared" si="180"/>
        <v>12.526199070470966</v>
      </c>
      <c r="N586" s="56">
        <f>Model!$B$13*I586*K586/(Model!$B$13*I586-L586*287*K586)</f>
        <v>285.52619907047097</v>
      </c>
      <c r="O586" s="56">
        <f t="shared" si="181"/>
        <v>269.71872453523548</v>
      </c>
      <c r="P586" s="56">
        <f t="shared" si="182"/>
        <v>-3.1003273342057169</v>
      </c>
      <c r="Q586" s="62">
        <f t="shared" si="183"/>
        <v>2.3767029442001718E-2</v>
      </c>
      <c r="R586" s="33">
        <f t="shared" si="175"/>
        <v>1.3258747351664489E-5</v>
      </c>
      <c r="S586" s="45">
        <f>0.37*Model!$B$10*(Q586^2*(N586-K586)*I586/(R586*O586^2))^0.33333*(N586-K586)</f>
        <v>173774.45107183384</v>
      </c>
      <c r="T586" s="50">
        <f>Model!$B$32+(90-Model!$B$6)*SIN(RADIANS(-15*(E586+6)))</f>
        <v>3.9448597421412721</v>
      </c>
      <c r="U586" s="45">
        <f t="shared" si="184"/>
        <v>3.9448597421412721</v>
      </c>
      <c r="V586" s="50">
        <f t="shared" si="185"/>
        <v>14.535642860515464</v>
      </c>
      <c r="W586" s="45">
        <f t="shared" si="186"/>
        <v>41.987877567391422</v>
      </c>
      <c r="X586" s="45">
        <f>0.3*W586*Model!$B$9</f>
        <v>3803.4569019780915</v>
      </c>
      <c r="Y586" s="33">
        <f>(S586-X586)/Model!$B$11</f>
        <v>3.6462725339452056E-3</v>
      </c>
      <c r="Z586" s="45">
        <f t="shared" si="187"/>
        <v>2.1887319329846946</v>
      </c>
      <c r="AA586" s="56">
        <f>Y586/Model!$B$12*3600</f>
        <v>23.607897346706967</v>
      </c>
      <c r="AB586" s="50">
        <f t="shared" si="192"/>
        <v>146.25767390539406</v>
      </c>
      <c r="AC586" s="50">
        <f t="shared" si="176"/>
        <v>1653.7423260946059</v>
      </c>
      <c r="AD586" s="15">
        <f>IF(AE586=0, Model!$B$19, 0 )</f>
        <v>0</v>
      </c>
      <c r="AE586" s="50">
        <f>IF(AE585+AB585-AB586&lt;Model!$B$19*Model!$B$18, AE585+AB585-AB586,  0)</f>
        <v>297.37689980071946</v>
      </c>
      <c r="AF586" s="15">
        <f t="shared" si="188"/>
        <v>29.20000000000028</v>
      </c>
      <c r="AG586" s="50">
        <f t="shared" si="189"/>
        <v>0.99</v>
      </c>
    </row>
    <row r="587" spans="2:33" x14ac:dyDescent="0.25">
      <c r="B587" s="13">
        <f t="shared" si="190"/>
        <v>29.250000000000281</v>
      </c>
      <c r="C587" s="13">
        <f>B587+Model!$B$4</f>
        <v>31.250000000000281</v>
      </c>
      <c r="D587" s="13">
        <f t="shared" si="191"/>
        <v>2</v>
      </c>
      <c r="E587" s="13">
        <f t="shared" si="177"/>
        <v>7.2500000000002807</v>
      </c>
      <c r="F587" s="14">
        <f>IF(AB587&gt;0, VLOOKUP(B587,Model!$A$40:$B$60, 2), 0)</f>
        <v>300</v>
      </c>
      <c r="G587" s="13">
        <f>IF(AB587&gt;0, VLOOKUP(B587,Model!$A$39:$C$58, 3), 0)</f>
        <v>1</v>
      </c>
      <c r="H587" s="13">
        <f t="shared" si="178"/>
        <v>97</v>
      </c>
      <c r="I587" s="46">
        <f>Model!$B$21*EXP((-0.029*9.81*F587)/(8.31*(273+J587)))</f>
        <v>100357.4491247143</v>
      </c>
      <c r="J587" s="13">
        <f>IF(Model!$B$31="Summer",  IF(F587&lt;=2000,  Model!$B$20-Model!$B$35*F587/1000,  IF(F587&lt;Model!$B$36,  Model!$B$33-6.5*F587/1000,  Model!$B$38)),     IF(F587&lt;=2000,  Model!$B$20-Model!$B$35*F587/1000,  IF(F587&lt;Model!$B$36,  Model!$B$33-5.4*F587/1000,   Model!$B$38)))</f>
        <v>-19.088750000000001</v>
      </c>
      <c r="K587" s="13">
        <f t="shared" si="179"/>
        <v>253.91125</v>
      </c>
      <c r="L587" s="46">
        <f>IF(AB586-AA586*(B587-B586)&gt;0, L586-Y586*(B587-B586)*3600-AD587*Model!$B$16, 0)</f>
        <v>601.66659407713826</v>
      </c>
      <c r="M587" s="57">
        <f t="shared" si="180"/>
        <v>12.487465295323034</v>
      </c>
      <c r="N587" s="57">
        <f>Model!$B$13*I587*K587/(Model!$B$13*I587-L587*287*K587)</f>
        <v>285.48746529532303</v>
      </c>
      <c r="O587" s="57">
        <f t="shared" si="181"/>
        <v>269.69935764766149</v>
      </c>
      <c r="P587" s="57">
        <f t="shared" si="182"/>
        <v>-3.020723168555874</v>
      </c>
      <c r="Q587" s="63">
        <f t="shared" si="183"/>
        <v>2.3765654392983965E-2</v>
      </c>
      <c r="R587" s="17">
        <f t="shared" si="175"/>
        <v>1.3256733195356794E-5</v>
      </c>
      <c r="S587" s="46">
        <f>0.37*Model!$B$10*(Q587^2*(N587-K587)*I587/(R587*O587^2))^0.33333*(N587-K587)</f>
        <v>173501.03749160623</v>
      </c>
      <c r="T587" s="51">
        <f>Model!$B$32+(90-Model!$B$6)*SIN(RADIANS(-15*(E587+6)))</f>
        <v>4.3796462246287593</v>
      </c>
      <c r="U587" s="46">
        <f t="shared" si="184"/>
        <v>4.3796462246287593</v>
      </c>
      <c r="V587" s="51">
        <f t="shared" si="185"/>
        <v>13.09503342806021</v>
      </c>
      <c r="W587" s="46">
        <f t="shared" si="186"/>
        <v>59.469354725916226</v>
      </c>
      <c r="X587" s="46">
        <f>0.3*W587*Model!$B$9</f>
        <v>5387.0102704151041</v>
      </c>
      <c r="Y587" s="17">
        <f>(S587-X587)/Model!$B$11</f>
        <v>3.6064362806219269E-3</v>
      </c>
      <c r="Z587" s="46">
        <f t="shared" si="187"/>
        <v>3.104886488460175</v>
      </c>
      <c r="AA587" s="57">
        <f>Y587/Model!$B$12*3600</f>
        <v>23.349976368398789</v>
      </c>
      <c r="AB587" s="51">
        <f t="shared" si="192"/>
        <v>145.07727903805869</v>
      </c>
      <c r="AC587" s="51">
        <f t="shared" si="176"/>
        <v>1654.9227209619412</v>
      </c>
      <c r="AD587" s="13">
        <f>IF(AE587=0, Model!$B$19, 0 )</f>
        <v>0</v>
      </c>
      <c r="AE587" s="51">
        <f>IF(AE586+AB586-AB587&lt;Model!$B$19*Model!$B$18, AE586+AB586-AB587,  0)</f>
        <v>298.55729466805485</v>
      </c>
      <c r="AF587" s="13">
        <f t="shared" si="188"/>
        <v>29.250000000000281</v>
      </c>
      <c r="AG587" s="50">
        <f t="shared" si="189"/>
        <v>0.99</v>
      </c>
    </row>
    <row r="588" spans="2:33" x14ac:dyDescent="0.25">
      <c r="B588" s="15">
        <f t="shared" si="190"/>
        <v>29.300000000000281</v>
      </c>
      <c r="C588" s="15">
        <f>B588+Model!$B$4</f>
        <v>31.300000000000281</v>
      </c>
      <c r="D588" s="15">
        <f t="shared" si="191"/>
        <v>2</v>
      </c>
      <c r="E588" s="15">
        <f t="shared" si="177"/>
        <v>7.3000000000002814</v>
      </c>
      <c r="F588" s="16">
        <f>IF(AB588&gt;0, VLOOKUP(B588,Model!$A$40:$B$60, 2), 0)</f>
        <v>300</v>
      </c>
      <c r="G588" s="15">
        <f>IF(AB588&gt;0, VLOOKUP(B588,Model!$A$39:$C$58, 3), 0)</f>
        <v>1</v>
      </c>
      <c r="H588" s="15">
        <f t="shared" si="178"/>
        <v>97</v>
      </c>
      <c r="I588" s="45">
        <f>Model!$B$21*EXP((-0.029*9.81*F588)/(8.31*(273+J588)))</f>
        <v>100357.4491247143</v>
      </c>
      <c r="J588" s="15">
        <f>IF(Model!$B$31="Summer",  IF(F588&lt;=2000,  Model!$B$20-Model!$B$35*F588/1000,  IF(F588&lt;Model!$B$36,  Model!$B$33-6.5*F588/1000,  Model!$B$38)),     IF(F588&lt;=2000,  Model!$B$20-Model!$B$35*F588/1000,  IF(F588&lt;Model!$B$36,  Model!$B$33-5.4*F588/1000,   Model!$B$38)))</f>
        <v>-19.088750000000001</v>
      </c>
      <c r="K588" s="15">
        <f t="shared" si="179"/>
        <v>253.91125</v>
      </c>
      <c r="L588" s="45">
        <f>IF(AB587-AA587*(B588-B587)&gt;0, L587-Y587*(B588-B587)*3600-AD588*Model!$B$16, 0)</f>
        <v>601.0174355466263</v>
      </c>
      <c r="M588" s="56">
        <f t="shared" si="180"/>
        <v>12.449165030455276</v>
      </c>
      <c r="N588" s="56">
        <f>Model!$B$13*I588*K588/(Model!$B$13*I588-L588*287*K588)</f>
        <v>285.44916503045528</v>
      </c>
      <c r="O588" s="56">
        <f t="shared" si="181"/>
        <v>269.68020751522761</v>
      </c>
      <c r="P588" s="56">
        <f t="shared" si="182"/>
        <v>-2.9233301199329209</v>
      </c>
      <c r="Q588" s="62">
        <f t="shared" si="183"/>
        <v>2.3764294733581159E-2</v>
      </c>
      <c r="R588" s="33">
        <f t="shared" si="175"/>
        <v>1.3254741581583671E-5</v>
      </c>
      <c r="S588" s="45">
        <f>0.37*Model!$B$10*(Q588^2*(N588-K588)*I588/(R588*O588^2))^0.33333*(N588-K588)</f>
        <v>173230.76673849247</v>
      </c>
      <c r="T588" s="50">
        <f>Model!$B$32+(90-Model!$B$6)*SIN(RADIANS(-15*(E588+6)))</f>
        <v>4.8125050122000772</v>
      </c>
      <c r="U588" s="45">
        <f t="shared" si="184"/>
        <v>4.8125050122000772</v>
      </c>
      <c r="V588" s="50">
        <f t="shared" si="185"/>
        <v>11.919614663112315</v>
      </c>
      <c r="W588" s="45">
        <f t="shared" si="186"/>
        <v>79.006623178740824</v>
      </c>
      <c r="X588" s="45">
        <f>0.3*W588*Model!$B$9</f>
        <v>7156.7867594368881</v>
      </c>
      <c r="Y588" s="33">
        <f>(S588-X588)/Model!$B$11</f>
        <v>3.5626725298520986E-3</v>
      </c>
      <c r="Z588" s="45">
        <f t="shared" si="187"/>
        <v>4.1313600893083304</v>
      </c>
      <c r="AA588" s="56">
        <f>Y588/Model!$B$12*3600</f>
        <v>23.066626693885269</v>
      </c>
      <c r="AB588" s="50">
        <f t="shared" si="192"/>
        <v>143.90978021963875</v>
      </c>
      <c r="AC588" s="50">
        <f t="shared" si="176"/>
        <v>1656.0902197803612</v>
      </c>
      <c r="AD588" s="15">
        <f>IF(AE588=0, Model!$B$19, 0 )</f>
        <v>0</v>
      </c>
      <c r="AE588" s="50">
        <f>IF(AE587+AB587-AB588&lt;Model!$B$19*Model!$B$18, AE587+AB587-AB588,  0)</f>
        <v>299.72479348647482</v>
      </c>
      <c r="AF588" s="15">
        <f t="shared" si="188"/>
        <v>29.300000000000281</v>
      </c>
      <c r="AG588" s="50">
        <f t="shared" si="189"/>
        <v>0.99</v>
      </c>
    </row>
    <row r="589" spans="2:33" x14ac:dyDescent="0.25">
      <c r="B589" s="13">
        <f t="shared" si="190"/>
        <v>29.350000000000282</v>
      </c>
      <c r="C589" s="13">
        <f>B589+Model!$B$4</f>
        <v>31.350000000000282</v>
      </c>
      <c r="D589" s="13">
        <f t="shared" si="191"/>
        <v>2</v>
      </c>
      <c r="E589" s="13">
        <f t="shared" si="177"/>
        <v>7.3500000000002821</v>
      </c>
      <c r="F589" s="14">
        <f>IF(AB589&gt;0, VLOOKUP(B589,Model!$A$40:$B$60, 2), 0)</f>
        <v>300</v>
      </c>
      <c r="G589" s="13">
        <f>IF(AB589&gt;0, VLOOKUP(B589,Model!$A$39:$C$58, 3), 0)</f>
        <v>1</v>
      </c>
      <c r="H589" s="13">
        <f t="shared" si="178"/>
        <v>97</v>
      </c>
      <c r="I589" s="46">
        <f>Model!$B$21*EXP((-0.029*9.81*F589)/(8.31*(273+J589)))</f>
        <v>100357.4491247143</v>
      </c>
      <c r="J589" s="13">
        <f>IF(Model!$B$31="Summer",  IF(F589&lt;=2000,  Model!$B$20-Model!$B$35*F589/1000,  IF(F589&lt;Model!$B$36,  Model!$B$33-6.5*F589/1000,  Model!$B$38)),     IF(F589&lt;=2000,  Model!$B$20-Model!$B$35*F589/1000,  IF(F589&lt;Model!$B$36,  Model!$B$33-5.4*F589/1000,   Model!$B$38)))</f>
        <v>-19.088750000000001</v>
      </c>
      <c r="K589" s="13">
        <f t="shared" si="179"/>
        <v>253.91125</v>
      </c>
      <c r="L589" s="46">
        <f>IF(AB588-AA588*(B589-B588)&gt;0, L588-Y588*(B589-B588)*3600-AD589*Model!$B$16, 0)</f>
        <v>600.37615449125292</v>
      </c>
      <c r="M589" s="57">
        <f t="shared" si="180"/>
        <v>12.411339624440302</v>
      </c>
      <c r="N589" s="57">
        <f>Model!$B$13*I589*K589/(Model!$B$13*I589-L589*287*K589)</f>
        <v>285.4113396244403</v>
      </c>
      <c r="O589" s="57">
        <f t="shared" si="181"/>
        <v>269.66129481222015</v>
      </c>
      <c r="P589" s="57">
        <f t="shared" si="182"/>
        <v>-2.8119943665882441</v>
      </c>
      <c r="Q589" s="63">
        <f t="shared" si="183"/>
        <v>2.3762951931667629E-2</v>
      </c>
      <c r="R589" s="17">
        <f t="shared" si="175"/>
        <v>1.3252774660470893E-5</v>
      </c>
      <c r="S589" s="46">
        <f>0.37*Model!$B$10*(Q589^2*(N589-K589)*I589/(R589*O589^2))^0.33333*(N589-K589)</f>
        <v>172963.92776762258</v>
      </c>
      <c r="T589" s="51">
        <f>Model!$B$32+(90-Model!$B$6)*SIN(RADIANS(-15*(E589+6)))</f>
        <v>5.2433619367303557</v>
      </c>
      <c r="U589" s="46">
        <f t="shared" si="184"/>
        <v>5.2433619367303557</v>
      </c>
      <c r="V589" s="51">
        <f t="shared" si="185"/>
        <v>10.942565448638765</v>
      </c>
      <c r="W589" s="46">
        <f t="shared" si="186"/>
        <v>100.05246124036023</v>
      </c>
      <c r="X589" s="46">
        <f>0.3*W589*Model!$B$9</f>
        <v>9063.2164879913398</v>
      </c>
      <c r="Y589" s="17">
        <f>(S589-X589)/Model!$B$11</f>
        <v>3.5160508694547085E-3</v>
      </c>
      <c r="Z589" s="46">
        <f t="shared" si="187"/>
        <v>5.2399460424879987</v>
      </c>
      <c r="AA589" s="57">
        <f>Y589/Model!$B$12*3600</f>
        <v>22.764773400543053</v>
      </c>
      <c r="AB589" s="51">
        <f t="shared" si="192"/>
        <v>142.75644888494446</v>
      </c>
      <c r="AC589" s="51">
        <f t="shared" si="176"/>
        <v>1657.2435511150557</v>
      </c>
      <c r="AD589" s="13">
        <f>IF(AE589=0, Model!$B$19, 0 )</f>
        <v>0</v>
      </c>
      <c r="AE589" s="51">
        <f>IF(AE588+AB588-AB589&lt;Model!$B$19*Model!$B$18, AE588+AB588-AB589,  0)</f>
        <v>300.87812482116908</v>
      </c>
      <c r="AF589" s="13">
        <f t="shared" si="188"/>
        <v>29.350000000000282</v>
      </c>
      <c r="AG589" s="50">
        <f t="shared" si="189"/>
        <v>0.99</v>
      </c>
    </row>
    <row r="590" spans="2:33" x14ac:dyDescent="0.25">
      <c r="B590" s="15">
        <f t="shared" si="190"/>
        <v>29.400000000000283</v>
      </c>
      <c r="C590" s="15">
        <f>B590+Model!$B$4</f>
        <v>31.400000000000283</v>
      </c>
      <c r="D590" s="15">
        <f t="shared" si="191"/>
        <v>2</v>
      </c>
      <c r="E590" s="15">
        <f t="shared" si="177"/>
        <v>7.4000000000002828</v>
      </c>
      <c r="F590" s="16">
        <f>IF(AB590&gt;0, VLOOKUP(B590,Model!$A$40:$B$60, 2), 0)</f>
        <v>300</v>
      </c>
      <c r="G590" s="15">
        <f>IF(AB590&gt;0, VLOOKUP(B590,Model!$A$39:$C$58, 3), 0)</f>
        <v>1</v>
      </c>
      <c r="H590" s="15">
        <f t="shared" si="178"/>
        <v>97</v>
      </c>
      <c r="I590" s="45">
        <f>Model!$B$21*EXP((-0.029*9.81*F590)/(8.31*(273+J590)))</f>
        <v>100357.4491247143</v>
      </c>
      <c r="J590" s="15">
        <f>IF(Model!$B$31="Summer",  IF(F590&lt;=2000,  Model!$B$20-Model!$B$35*F590/1000,  IF(F590&lt;Model!$B$36,  Model!$B$33-6.5*F590/1000,  Model!$B$38)),     IF(F590&lt;=2000,  Model!$B$20-Model!$B$35*F590/1000,  IF(F590&lt;Model!$B$36,  Model!$B$33-5.4*F590/1000,   Model!$B$38)))</f>
        <v>-19.088750000000001</v>
      </c>
      <c r="K590" s="15">
        <f t="shared" si="179"/>
        <v>253.91125</v>
      </c>
      <c r="L590" s="45">
        <f>IF(AB589-AA589*(B590-B589)&gt;0, L589-Y589*(B590-B589)*3600-AD590*Model!$B$16, 0)</f>
        <v>599.74326533475107</v>
      </c>
      <c r="M590" s="56">
        <f t="shared" si="180"/>
        <v>12.374019034719709</v>
      </c>
      <c r="N590" s="56">
        <f>Model!$B$13*I590*K590/(Model!$B$13*I590-L590*287*K590)</f>
        <v>285.37401903471971</v>
      </c>
      <c r="O590" s="56">
        <f t="shared" si="181"/>
        <v>269.64263451735985</v>
      </c>
      <c r="P590" s="56">
        <f t="shared" si="182"/>
        <v>-2.6903490743710781</v>
      </c>
      <c r="Q590" s="62">
        <f t="shared" si="183"/>
        <v>2.3761627050732551E-2</v>
      </c>
      <c r="R590" s="33">
        <f t="shared" si="175"/>
        <v>1.3250833989805423E-5</v>
      </c>
      <c r="S590" s="45">
        <f>0.37*Model!$B$10*(Q590^2*(N590-K590)*I590/(R590*O590^2))^0.33333*(N590-K590)</f>
        <v>172700.7288886598</v>
      </c>
      <c r="T590" s="50">
        <f>Model!$B$32+(90-Model!$B$6)*SIN(RADIANS(-15*(E590+6)))</f>
        <v>5.6721431731036009</v>
      </c>
      <c r="U590" s="45">
        <f t="shared" si="184"/>
        <v>5.6721431731036009</v>
      </c>
      <c r="V590" s="50">
        <f t="shared" si="185"/>
        <v>10.117776112012264</v>
      </c>
      <c r="W590" s="45">
        <f t="shared" si="186"/>
        <v>122.12846468562419</v>
      </c>
      <c r="X590" s="45">
        <f>0.3*W590*Model!$B$9</f>
        <v>11062.963380108369</v>
      </c>
      <c r="Y590" s="33">
        <f>(S590-X590)/Model!$B$11</f>
        <v>3.4675054276209682E-3</v>
      </c>
      <c r="Z590" s="45">
        <f t="shared" si="187"/>
        <v>6.4058579551454375</v>
      </c>
      <c r="AA590" s="56">
        <f>Y590/Model!$B$12*3600</f>
        <v>22.450464528457328</v>
      </c>
      <c r="AB590" s="50">
        <f t="shared" si="192"/>
        <v>141.6182102149173</v>
      </c>
      <c r="AC590" s="50">
        <f t="shared" si="176"/>
        <v>1658.3817897850827</v>
      </c>
      <c r="AD590" s="15">
        <f>IF(AE590=0, Model!$B$19, 0 )</f>
        <v>0</v>
      </c>
      <c r="AE590" s="50">
        <f>IF(AE589+AB589-AB590&lt;Model!$B$19*Model!$B$18, AE589+AB589-AB590,  0)</f>
        <v>302.01636349119622</v>
      </c>
      <c r="AF590" s="15">
        <f t="shared" si="188"/>
        <v>29.400000000000283</v>
      </c>
      <c r="AG590" s="50">
        <f t="shared" si="189"/>
        <v>0.99</v>
      </c>
    </row>
    <row r="591" spans="2:33" x14ac:dyDescent="0.25">
      <c r="B591" s="13">
        <f t="shared" si="190"/>
        <v>29.450000000000284</v>
      </c>
      <c r="C591" s="13">
        <f>B591+Model!$B$4</f>
        <v>31.450000000000284</v>
      </c>
      <c r="D591" s="13">
        <f t="shared" si="191"/>
        <v>2</v>
      </c>
      <c r="E591" s="13">
        <f t="shared" si="177"/>
        <v>7.4500000000002835</v>
      </c>
      <c r="F591" s="14">
        <f>IF(AB591&gt;0, VLOOKUP(B591,Model!$A$40:$B$60, 2), 0)</f>
        <v>300</v>
      </c>
      <c r="G591" s="13">
        <f>IF(AB591&gt;0, VLOOKUP(B591,Model!$A$39:$C$58, 3), 0)</f>
        <v>1</v>
      </c>
      <c r="H591" s="13">
        <f t="shared" si="178"/>
        <v>97</v>
      </c>
      <c r="I591" s="46">
        <f>Model!$B$21*EXP((-0.029*9.81*F591)/(8.31*(273+J591)))</f>
        <v>100357.4491247143</v>
      </c>
      <c r="J591" s="13">
        <f>IF(Model!$B$31="Summer",  IF(F591&lt;=2000,  Model!$B$20-Model!$B$35*F591/1000,  IF(F591&lt;Model!$B$36,  Model!$B$33-6.5*F591/1000,  Model!$B$38)),     IF(F591&lt;=2000,  Model!$B$20-Model!$B$35*F591/1000,  IF(F591&lt;Model!$B$36,  Model!$B$33-5.4*F591/1000,   Model!$B$38)))</f>
        <v>-19.088750000000001</v>
      </c>
      <c r="K591" s="13">
        <f t="shared" si="179"/>
        <v>253.91125</v>
      </c>
      <c r="L591" s="46">
        <f>IF(AB590-AA590*(B591-B590)&gt;0, L590-Y590*(B591-B590)*3600-AD591*Model!$B$16, 0)</f>
        <v>599.11911435777927</v>
      </c>
      <c r="M591" s="57">
        <f t="shared" si="180"/>
        <v>12.337223280940009</v>
      </c>
      <c r="N591" s="57">
        <f>Model!$B$13*I591*K591/(Model!$B$13*I591-L591*287*K591)</f>
        <v>285.33722328094001</v>
      </c>
      <c r="O591" s="57">
        <f t="shared" si="181"/>
        <v>269.62423664047003</v>
      </c>
      <c r="P591" s="57">
        <f t="shared" si="182"/>
        <v>-2.5615735949591683</v>
      </c>
      <c r="Q591" s="63">
        <f t="shared" si="183"/>
        <v>2.3760320801473372E-2</v>
      </c>
      <c r="R591" s="17">
        <f t="shared" si="175"/>
        <v>1.3248920610608881E-5</v>
      </c>
      <c r="S591" s="46">
        <f>0.37*Model!$B$10*(Q591^2*(N591-K591)*I591/(R591*O591^2))^0.33333*(N591-K591)</f>
        <v>172441.30813942125</v>
      </c>
      <c r="T591" s="51">
        <f>Model!$B$32+(90-Model!$B$6)*SIN(RADIANS(-15*(E591+6)))</f>
        <v>6.0987752518623637</v>
      </c>
      <c r="U591" s="46">
        <f t="shared" si="184"/>
        <v>6.0987752518623637</v>
      </c>
      <c r="V591" s="51">
        <f t="shared" si="185"/>
        <v>9.4124010766876225</v>
      </c>
      <c r="W591" s="46">
        <f t="shared" si="186"/>
        <v>144.83526183548076</v>
      </c>
      <c r="X591" s="46">
        <f>0.3*W591*Model!$B$9</f>
        <v>13119.850494795744</v>
      </c>
      <c r="Y591" s="17">
        <f>(S591-X591)/Model!$B$11</f>
        <v>3.417815244977486E-3</v>
      </c>
      <c r="Z591" s="46">
        <f t="shared" si="187"/>
        <v>7.6082990997656772</v>
      </c>
      <c r="AA591" s="57">
        <f>Y591/Model!$B$12*3600</f>
        <v>22.128743998775143</v>
      </c>
      <c r="AB591" s="51">
        <f t="shared" si="192"/>
        <v>140.49568698849441</v>
      </c>
      <c r="AC591" s="51">
        <f t="shared" si="176"/>
        <v>1659.5043130115055</v>
      </c>
      <c r="AD591" s="13">
        <f>IF(AE591=0, Model!$B$19, 0 )</f>
        <v>0</v>
      </c>
      <c r="AE591" s="51">
        <f>IF(AE590+AB590-AB591&lt;Model!$B$19*Model!$B$18, AE590+AB590-AB591,  0)</f>
        <v>303.13888671761913</v>
      </c>
      <c r="AF591" s="13">
        <f t="shared" si="188"/>
        <v>29.450000000000284</v>
      </c>
      <c r="AG591" s="50">
        <f t="shared" si="189"/>
        <v>0.99</v>
      </c>
    </row>
    <row r="592" spans="2:33" x14ac:dyDescent="0.25">
      <c r="B592" s="15">
        <f t="shared" si="190"/>
        <v>29.500000000000284</v>
      </c>
      <c r="C592" s="15">
        <f>B592+Model!$B$4</f>
        <v>31.500000000000284</v>
      </c>
      <c r="D592" s="15">
        <f t="shared" si="191"/>
        <v>2</v>
      </c>
      <c r="E592" s="15">
        <f t="shared" si="177"/>
        <v>7.5000000000002842</v>
      </c>
      <c r="F592" s="16">
        <f>IF(AB592&gt;0, VLOOKUP(B592,Model!$A$40:$B$60, 2), 0)</f>
        <v>300</v>
      </c>
      <c r="G592" s="15">
        <f>IF(AB592&gt;0, VLOOKUP(B592,Model!$A$39:$C$58, 3), 0)</f>
        <v>1</v>
      </c>
      <c r="H592" s="15">
        <f t="shared" si="178"/>
        <v>97</v>
      </c>
      <c r="I592" s="45">
        <f>Model!$B$21*EXP((-0.029*9.81*F592)/(8.31*(273+J592)))</f>
        <v>100357.4491247143</v>
      </c>
      <c r="J592" s="15">
        <f>IF(Model!$B$31="Summer",  IF(F592&lt;=2000,  Model!$B$20-Model!$B$35*F592/1000,  IF(F592&lt;Model!$B$36,  Model!$B$33-6.5*F592/1000,  Model!$B$38)),     IF(F592&lt;=2000,  Model!$B$20-Model!$B$35*F592/1000,  IF(F592&lt;Model!$B$36,  Model!$B$33-5.4*F592/1000,   Model!$B$38)))</f>
        <v>-19.088750000000001</v>
      </c>
      <c r="K592" s="15">
        <f t="shared" si="179"/>
        <v>253.91125</v>
      </c>
      <c r="L592" s="45">
        <f>IF(AB591-AA591*(B592-B591)&gt;0, L591-Y591*(B592-B591)*3600-AD592*Model!$B$16, 0)</f>
        <v>598.50390761368328</v>
      </c>
      <c r="M592" s="56">
        <f t="shared" si="180"/>
        <v>12.300964103740455</v>
      </c>
      <c r="N592" s="56">
        <f>Model!$B$13*I592*K592/(Model!$B$13*I592-L592*287*K592)</f>
        <v>285.30096410374045</v>
      </c>
      <c r="O592" s="56">
        <f t="shared" si="181"/>
        <v>269.60610705187025</v>
      </c>
      <c r="P592" s="56">
        <f t="shared" si="182"/>
        <v>-2.4283245358932346</v>
      </c>
      <c r="Q592" s="62">
        <f t="shared" si="183"/>
        <v>2.3759033600682787E-2</v>
      </c>
      <c r="R592" s="33">
        <f t="shared" si="175"/>
        <v>1.3247035133394505E-5</v>
      </c>
      <c r="S592" s="45">
        <f>0.37*Model!$B$10*(Q592^2*(N592-K592)*I592/(R592*O592^2))^0.33333*(N592-K592)</f>
        <v>172185.74508554305</v>
      </c>
      <c r="T592" s="50">
        <f>Model!$B$32+(90-Model!$B$6)*SIN(RADIANS(-15*(E592+6)))</f>
        <v>6.5231850717962256</v>
      </c>
      <c r="U592" s="45">
        <f t="shared" si="184"/>
        <v>6.5231850717962256</v>
      </c>
      <c r="V592" s="50">
        <f t="shared" si="185"/>
        <v>8.8024093914913877</v>
      </c>
      <c r="W592" s="45">
        <f t="shared" si="186"/>
        <v>167.84963893291618</v>
      </c>
      <c r="X592" s="45">
        <f>0.3*W592*Model!$B$9</f>
        <v>15204.599629244682</v>
      </c>
      <c r="Y592" s="33">
        <f>(S592-X592)/Model!$B$11</f>
        <v>3.3676101138324223E-3</v>
      </c>
      <c r="Z592" s="45">
        <f t="shared" si="187"/>
        <v>8.8303474957761061</v>
      </c>
      <c r="AA592" s="56">
        <f>Y592/Model!$B$12*3600</f>
        <v>21.803689420074132</v>
      </c>
      <c r="AB592" s="50">
        <f t="shared" si="192"/>
        <v>139.38924978855565</v>
      </c>
      <c r="AC592" s="50">
        <f t="shared" si="176"/>
        <v>1660.6107502114444</v>
      </c>
      <c r="AD592" s="15">
        <f>IF(AE592=0, Model!$B$19, 0 )</f>
        <v>0</v>
      </c>
      <c r="AE592" s="50">
        <f>IF(AE591+AB591-AB592&lt;Model!$B$19*Model!$B$18, AE591+AB591-AB592,  0)</f>
        <v>304.24532391755793</v>
      </c>
      <c r="AF592" s="15">
        <f t="shared" si="188"/>
        <v>29.500000000000284</v>
      </c>
      <c r="AG592" s="50">
        <f t="shared" si="189"/>
        <v>0.99</v>
      </c>
    </row>
    <row r="593" spans="2:33" x14ac:dyDescent="0.25">
      <c r="B593" s="13">
        <f t="shared" si="190"/>
        <v>29.550000000000285</v>
      </c>
      <c r="C593" s="13">
        <f>B593+Model!$B$4</f>
        <v>31.550000000000285</v>
      </c>
      <c r="D593" s="13">
        <f t="shared" si="191"/>
        <v>2</v>
      </c>
      <c r="E593" s="13">
        <f t="shared" si="177"/>
        <v>7.5500000000002849</v>
      </c>
      <c r="F593" s="14">
        <f>IF(AB593&gt;0, VLOOKUP(B593,Model!$A$40:$B$60, 2), 0)</f>
        <v>300</v>
      </c>
      <c r="G593" s="13">
        <f>IF(AB593&gt;0, VLOOKUP(B593,Model!$A$39:$C$58, 3), 0)</f>
        <v>1</v>
      </c>
      <c r="H593" s="13">
        <f t="shared" si="178"/>
        <v>97</v>
      </c>
      <c r="I593" s="46">
        <f>Model!$B$21*EXP((-0.029*9.81*F593)/(8.31*(273+J593)))</f>
        <v>100357.4491247143</v>
      </c>
      <c r="J593" s="13">
        <f>IF(Model!$B$31="Summer",  IF(F593&lt;=2000,  Model!$B$20-Model!$B$35*F593/1000,  IF(F593&lt;Model!$B$36,  Model!$B$33-6.5*F593/1000,  Model!$B$38)),     IF(F593&lt;=2000,  Model!$B$20-Model!$B$35*F593/1000,  IF(F593&lt;Model!$B$36,  Model!$B$33-5.4*F593/1000,   Model!$B$38)))</f>
        <v>-19.088750000000001</v>
      </c>
      <c r="K593" s="13">
        <f t="shared" si="179"/>
        <v>253.91125</v>
      </c>
      <c r="L593" s="46">
        <f>IF(AB592-AA592*(B593-B592)&gt;0, L592-Y592*(B593-B592)*3600-AD593*Model!$B$16, 0)</f>
        <v>597.89773779319341</v>
      </c>
      <c r="M593" s="57">
        <f t="shared" si="180"/>
        <v>12.265246558613342</v>
      </c>
      <c r="N593" s="57">
        <f>Model!$B$13*I593*K593/(Model!$B$13*I593-L593*287*K593)</f>
        <v>285.26524655861334</v>
      </c>
      <c r="O593" s="57">
        <f t="shared" si="181"/>
        <v>269.58824827930664</v>
      </c>
      <c r="P593" s="57">
        <f t="shared" si="182"/>
        <v>-2.2927541278072221</v>
      </c>
      <c r="Q593" s="63">
        <f t="shared" si="183"/>
        <v>2.3757765627830774E-2</v>
      </c>
      <c r="R593" s="17">
        <f t="shared" si="175"/>
        <v>1.3245177821047891E-5</v>
      </c>
      <c r="S593" s="46">
        <f>0.37*Model!$B$10*(Q593^2*(N593-K593)*I593/(R593*O593^2))^0.33333*(N593-K593)</f>
        <v>171934.07213880378</v>
      </c>
      <c r="T593" s="51">
        <f>Model!$B$32+(90-Model!$B$6)*SIN(RADIANS(-15*(E593+6)))</f>
        <v>6.9452999124674282</v>
      </c>
      <c r="U593" s="46">
        <f t="shared" si="184"/>
        <v>6.9452999124674282</v>
      </c>
      <c r="V593" s="51">
        <f t="shared" si="185"/>
        <v>8.2698137521867707</v>
      </c>
      <c r="W593" s="46">
        <f t="shared" si="186"/>
        <v>190.91597640466281</v>
      </c>
      <c r="X593" s="46">
        <f>0.3*W593*Model!$B$9</f>
        <v>17294.055575653481</v>
      </c>
      <c r="Y593" s="17">
        <f>(S593-X593)/Model!$B$11</f>
        <v>3.3173874624723865E-3</v>
      </c>
      <c r="Z593" s="46">
        <f t="shared" si="187"/>
        <v>10.058538927462761</v>
      </c>
      <c r="AA593" s="57">
        <f>Y593/Model!$B$12*3600</f>
        <v>21.478521406232801</v>
      </c>
      <c r="AB593" s="51">
        <f t="shared" si="192"/>
        <v>138.29906531755194</v>
      </c>
      <c r="AC593" s="51">
        <f t="shared" si="176"/>
        <v>1661.700934682448</v>
      </c>
      <c r="AD593" s="13">
        <f>IF(AE593=0, Model!$B$19, 0 )</f>
        <v>0</v>
      </c>
      <c r="AE593" s="51">
        <f>IF(AE592+AB592-AB593&lt;Model!$B$19*Model!$B$18, AE592+AB592-AB593,  0)</f>
        <v>305.33550838856161</v>
      </c>
      <c r="AF593" s="13">
        <f t="shared" si="188"/>
        <v>29.550000000000285</v>
      </c>
      <c r="AG593" s="50">
        <f t="shared" si="189"/>
        <v>0.99</v>
      </c>
    </row>
    <row r="594" spans="2:33" x14ac:dyDescent="0.25">
      <c r="B594" s="15">
        <f t="shared" si="190"/>
        <v>29.600000000000286</v>
      </c>
      <c r="C594" s="15">
        <f>B594+Model!$B$4</f>
        <v>31.600000000000286</v>
      </c>
      <c r="D594" s="15">
        <f t="shared" si="191"/>
        <v>2</v>
      </c>
      <c r="E594" s="15">
        <f t="shared" si="177"/>
        <v>7.6000000000002856</v>
      </c>
      <c r="F594" s="16">
        <f>IF(AB594&gt;0, VLOOKUP(B594,Model!$A$40:$B$60, 2), 0)</f>
        <v>300</v>
      </c>
      <c r="G594" s="15">
        <f>IF(AB594&gt;0, VLOOKUP(B594,Model!$A$39:$C$58, 3), 0)</f>
        <v>1</v>
      </c>
      <c r="H594" s="15">
        <f t="shared" si="178"/>
        <v>97</v>
      </c>
      <c r="I594" s="45">
        <f>Model!$B$21*EXP((-0.029*9.81*F594)/(8.31*(273+J594)))</f>
        <v>100357.4491247143</v>
      </c>
      <c r="J594" s="15">
        <f>IF(Model!$B$31="Summer",  IF(F594&lt;=2000,  Model!$B$20-Model!$B$35*F594/1000,  IF(F594&lt;Model!$B$36,  Model!$B$33-6.5*F594/1000,  Model!$B$38)),     IF(F594&lt;=2000,  Model!$B$20-Model!$B$35*F594/1000,  IF(F594&lt;Model!$B$36,  Model!$B$33-5.4*F594/1000,   Model!$B$38)))</f>
        <v>-19.088750000000001</v>
      </c>
      <c r="K594" s="15">
        <f t="shared" si="179"/>
        <v>253.91125</v>
      </c>
      <c r="L594" s="45">
        <f>IF(AB593-AA593*(B594-B593)&gt;0, L593-Y593*(B594-B593)*3600-AD594*Model!$B$16, 0)</f>
        <v>597.30060804994832</v>
      </c>
      <c r="M594" s="56">
        <f t="shared" si="180"/>
        <v>12.23007042794768</v>
      </c>
      <c r="N594" s="56">
        <f>Model!$B$13*I594*K594/(Model!$B$13*I594-L594*287*K594)</f>
        <v>285.23007042794768</v>
      </c>
      <c r="O594" s="56">
        <f t="shared" si="181"/>
        <v>269.57066021397384</v>
      </c>
      <c r="P594" s="56">
        <f t="shared" si="182"/>
        <v>-2.1565666099950747</v>
      </c>
      <c r="Q594" s="62">
        <f t="shared" si="183"/>
        <v>2.3756516875192143E-2</v>
      </c>
      <c r="R594" s="33">
        <f t="shared" si="175"/>
        <v>1.3243348662253278E-5</v>
      </c>
      <c r="S594" s="45">
        <f>0.37*Model!$B$10*(Q594^2*(N594-K594)*I594/(R594*O594^2))^0.33333*(N594-K594)</f>
        <v>171686.28457247483</v>
      </c>
      <c r="T594" s="50">
        <f>Model!$B$32+(90-Model!$B$6)*SIN(RADIANS(-15*(E594+6)))</f>
        <v>7.3650474466710829</v>
      </c>
      <c r="U594" s="45">
        <f t="shared" si="184"/>
        <v>7.3650474466710829</v>
      </c>
      <c r="V594" s="50">
        <f t="shared" si="185"/>
        <v>7.800882997415532</v>
      </c>
      <c r="W594" s="45">
        <f t="shared" si="186"/>
        <v>213.83595524264834</v>
      </c>
      <c r="X594" s="45">
        <f>0.3*W594*Model!$B$9</f>
        <v>19370.253677465364</v>
      </c>
      <c r="Y594" s="33">
        <f>(S594-X594)/Model!$B$11</f>
        <v>3.2675325730989911E-3</v>
      </c>
      <c r="Z594" s="45">
        <f t="shared" si="187"/>
        <v>11.282353582116512</v>
      </c>
      <c r="AA594" s="56">
        <f>Y594/Model!$B$12*3600</f>
        <v>21.15573447804751</v>
      </c>
      <c r="AB594" s="50">
        <f t="shared" si="192"/>
        <v>137.22513924724029</v>
      </c>
      <c r="AC594" s="50">
        <f t="shared" si="176"/>
        <v>1662.7748607527597</v>
      </c>
      <c r="AD594" s="15">
        <f>IF(AE594=0, Model!$B$19, 0 )</f>
        <v>0</v>
      </c>
      <c r="AE594" s="50">
        <f>IF(AE593+AB593-AB594&lt;Model!$B$19*Model!$B$18, AE593+AB593-AB594,  0)</f>
        <v>306.40943445887325</v>
      </c>
      <c r="AF594" s="15">
        <f t="shared" si="188"/>
        <v>29.600000000000286</v>
      </c>
      <c r="AG594" s="50">
        <f t="shared" si="189"/>
        <v>0.99</v>
      </c>
    </row>
    <row r="595" spans="2:33" x14ac:dyDescent="0.25">
      <c r="B595" s="13">
        <f t="shared" si="190"/>
        <v>29.650000000000286</v>
      </c>
      <c r="C595" s="13">
        <f>B595+Model!$B$4</f>
        <v>31.650000000000286</v>
      </c>
      <c r="D595" s="13">
        <f t="shared" si="191"/>
        <v>2</v>
      </c>
      <c r="E595" s="13">
        <f t="shared" si="177"/>
        <v>7.6500000000002863</v>
      </c>
      <c r="F595" s="14">
        <f>IF(AB595&gt;0, VLOOKUP(B595,Model!$A$40:$B$60, 2), 0)</f>
        <v>300</v>
      </c>
      <c r="G595" s="13">
        <f>IF(AB595&gt;0, VLOOKUP(B595,Model!$A$39:$C$58, 3), 0)</f>
        <v>1</v>
      </c>
      <c r="H595" s="13">
        <f t="shared" si="178"/>
        <v>97</v>
      </c>
      <c r="I595" s="46">
        <f>Model!$B$21*EXP((-0.029*9.81*F595)/(8.31*(273+J595)))</f>
        <v>100357.4491247143</v>
      </c>
      <c r="J595" s="13">
        <f>IF(Model!$B$31="Summer",  IF(F595&lt;=2000,  Model!$B$20-Model!$B$35*F595/1000,  IF(F595&lt;Model!$B$36,  Model!$B$33-6.5*F595/1000,  Model!$B$38)),     IF(F595&lt;=2000,  Model!$B$20-Model!$B$35*F595/1000,  IF(F595&lt;Model!$B$36,  Model!$B$33-5.4*F595/1000,   Model!$B$38)))</f>
        <v>-19.088750000000001</v>
      </c>
      <c r="K595" s="13">
        <f t="shared" si="179"/>
        <v>253.91125</v>
      </c>
      <c r="L595" s="46">
        <f>IF(AB594-AA594*(B595-B594)&gt;0, L594-Y594*(B595-B594)*3600-AD595*Model!$B$16, 0)</f>
        <v>596.71245218679053</v>
      </c>
      <c r="M595" s="57">
        <f t="shared" si="180"/>
        <v>12.195431416343183</v>
      </c>
      <c r="N595" s="57">
        <f>Model!$B$13*I595*K595/(Model!$B$13*I595-L595*287*K595)</f>
        <v>285.19543141634318</v>
      </c>
      <c r="O595" s="57">
        <f t="shared" si="181"/>
        <v>269.55334070817162</v>
      </c>
      <c r="P595" s="57">
        <f t="shared" si="182"/>
        <v>-2.0210862568774202</v>
      </c>
      <c r="Q595" s="63">
        <f t="shared" si="183"/>
        <v>2.3755287190280184E-2</v>
      </c>
      <c r="R595" s="17">
        <f t="shared" si="175"/>
        <v>1.3241547433649846E-5</v>
      </c>
      <c r="S595" s="46">
        <f>0.37*Model!$B$10*(Q595^2*(N595-K595)*I595/(R595*O595^2))^0.33333*(N595-K595)</f>
        <v>171442.34899120423</v>
      </c>
      <c r="T595" s="51">
        <f>Model!$B$32+(90-Model!$B$6)*SIN(RADIANS(-15*(E595+6)))</f>
        <v>7.7823557528280336</v>
      </c>
      <c r="U595" s="46">
        <f t="shared" si="184"/>
        <v>7.7823557528280336</v>
      </c>
      <c r="V595" s="51">
        <f t="shared" si="185"/>
        <v>7.384953592701331</v>
      </c>
      <c r="W595" s="46">
        <f t="shared" si="186"/>
        <v>236.45847979989952</v>
      </c>
      <c r="X595" s="46">
        <f>0.3*W595*Model!$B$9</f>
        <v>21419.506989432462</v>
      </c>
      <c r="Y595" s="17">
        <f>(S595-X595)/Model!$B$11</f>
        <v>3.2183383460639655E-3</v>
      </c>
      <c r="Z595" s="46">
        <f t="shared" si="187"/>
        <v>12.493708302218479</v>
      </c>
      <c r="AA595" s="57">
        <f>Y595/Model!$B$12*3600</f>
        <v>20.837225027346388</v>
      </c>
      <c r="AB595" s="51">
        <f t="shared" si="192"/>
        <v>136.16735252333791</v>
      </c>
      <c r="AC595" s="51">
        <f t="shared" si="176"/>
        <v>1663.832647476662</v>
      </c>
      <c r="AD595" s="13">
        <f>IF(AE595=0, Model!$B$19, 0 )</f>
        <v>0</v>
      </c>
      <c r="AE595" s="51">
        <f>IF(AE594+AB594-AB595&lt;Model!$B$19*Model!$B$18, AE594+AB594-AB595,  0)</f>
        <v>307.46722118277563</v>
      </c>
      <c r="AF595" s="13">
        <f t="shared" si="188"/>
        <v>29.650000000000286</v>
      </c>
      <c r="AG595" s="50">
        <f t="shared" si="189"/>
        <v>0.99</v>
      </c>
    </row>
    <row r="596" spans="2:33" x14ac:dyDescent="0.25">
      <c r="B596" s="15">
        <f t="shared" si="190"/>
        <v>29.700000000000287</v>
      </c>
      <c r="C596" s="15">
        <f>B596+Model!$B$4</f>
        <v>31.700000000000287</v>
      </c>
      <c r="D596" s="15">
        <f t="shared" si="191"/>
        <v>2</v>
      </c>
      <c r="E596" s="15">
        <f t="shared" si="177"/>
        <v>7.7000000000002871</v>
      </c>
      <c r="F596" s="16">
        <f>IF(AB596&gt;0, VLOOKUP(B596,Model!$A$40:$B$60, 2), 0)</f>
        <v>300</v>
      </c>
      <c r="G596" s="15">
        <f>IF(AB596&gt;0, VLOOKUP(B596,Model!$A$39:$C$58, 3), 0)</f>
        <v>1</v>
      </c>
      <c r="H596" s="15">
        <f t="shared" si="178"/>
        <v>97</v>
      </c>
      <c r="I596" s="45">
        <f>Model!$B$21*EXP((-0.029*9.81*F596)/(8.31*(273+J596)))</f>
        <v>100357.4491247143</v>
      </c>
      <c r="J596" s="15">
        <f>IF(Model!$B$31="Summer",  IF(F596&lt;=2000,  Model!$B$20-Model!$B$35*F596/1000,  IF(F596&lt;Model!$B$36,  Model!$B$33-6.5*F596/1000,  Model!$B$38)),     IF(F596&lt;=2000,  Model!$B$20-Model!$B$35*F596/1000,  IF(F596&lt;Model!$B$36,  Model!$B$33-5.4*F596/1000,   Model!$B$38)))</f>
        <v>-19.088750000000001</v>
      </c>
      <c r="K596" s="15">
        <f t="shared" si="179"/>
        <v>253.91125</v>
      </c>
      <c r="L596" s="45">
        <f>IF(AB595-AA595*(B596-B595)&gt;0, L595-Y595*(B596-B595)*3600-AD596*Model!$B$16, 0)</f>
        <v>596.13315128449904</v>
      </c>
      <c r="M596" s="56">
        <f t="shared" si="180"/>
        <v>12.161322134473153</v>
      </c>
      <c r="N596" s="56">
        <f>Model!$B$13*I596*K596/(Model!$B$13*I596-L596*287*K596)</f>
        <v>285.16132213447315</v>
      </c>
      <c r="O596" s="56">
        <f t="shared" si="181"/>
        <v>269.53628606723657</v>
      </c>
      <c r="P596" s="56">
        <f t="shared" si="182"/>
        <v>-1.8873240674307605</v>
      </c>
      <c r="Q596" s="62">
        <f t="shared" si="183"/>
        <v>2.3754076310773798E-2</v>
      </c>
      <c r="R596" s="33">
        <f t="shared" si="175"/>
        <v>1.3239773750992602E-5</v>
      </c>
      <c r="S596" s="45">
        <f>0.37*Model!$B$10*(Q596^2*(N596-K596)*I596/(R596*O596^2))^0.33333*(N596-K596)</f>
        <v>171202.21029633688</v>
      </c>
      <c r="T596" s="50">
        <f>Model!$B$32+(90-Model!$B$6)*SIN(RADIANS(-15*(E596+6)))</f>
        <v>8.1971533273083832</v>
      </c>
      <c r="U596" s="45">
        <f t="shared" si="184"/>
        <v>8.1971533273083832</v>
      </c>
      <c r="V596" s="50">
        <f t="shared" si="185"/>
        <v>7.0136183166032451</v>
      </c>
      <c r="W596" s="45">
        <f t="shared" si="186"/>
        <v>258.67065875232737</v>
      </c>
      <c r="X596" s="45">
        <f>0.3*W596*Model!$B$9</f>
        <v>23431.589291258439</v>
      </c>
      <c r="Y596" s="33">
        <f>(S596-X596)/Model!$B$11</f>
        <v>3.1700229755460352E-3</v>
      </c>
      <c r="Z596" s="45">
        <f t="shared" si="187"/>
        <v>13.68649928683765</v>
      </c>
      <c r="AA596" s="56">
        <f>Y596/Model!$B$12*3600</f>
        <v>20.524405758672231</v>
      </c>
      <c r="AB596" s="50">
        <f t="shared" si="192"/>
        <v>135.12549127197059</v>
      </c>
      <c r="AC596" s="50">
        <f t="shared" si="176"/>
        <v>1664.8745087280295</v>
      </c>
      <c r="AD596" s="15">
        <f>IF(AE596=0, Model!$B$19, 0 )</f>
        <v>0</v>
      </c>
      <c r="AE596" s="50">
        <f>IF(AE595+AB595-AB596&lt;Model!$B$19*Model!$B$18, AE595+AB595-AB596,  0)</f>
        <v>308.50908243414295</v>
      </c>
      <c r="AF596" s="15">
        <f t="shared" si="188"/>
        <v>29.700000000000287</v>
      </c>
      <c r="AG596" s="50">
        <f t="shared" si="189"/>
        <v>0.94366203371538027</v>
      </c>
    </row>
    <row r="597" spans="2:33" x14ac:dyDescent="0.25">
      <c r="B597" s="13">
        <f t="shared" si="190"/>
        <v>29.750000000000288</v>
      </c>
      <c r="C597" s="13">
        <f>B597+Model!$B$4</f>
        <v>31.750000000000288</v>
      </c>
      <c r="D597" s="13">
        <f t="shared" si="191"/>
        <v>2</v>
      </c>
      <c r="E597" s="13">
        <f t="shared" si="177"/>
        <v>7.7500000000002878</v>
      </c>
      <c r="F597" s="14">
        <f>IF(AB597&gt;0, VLOOKUP(B597,Model!$A$40:$B$60, 2), 0)</f>
        <v>300</v>
      </c>
      <c r="G597" s="13">
        <f>IF(AB597&gt;0, VLOOKUP(B597,Model!$A$39:$C$58, 3), 0)</f>
        <v>1</v>
      </c>
      <c r="H597" s="13">
        <f t="shared" si="178"/>
        <v>97</v>
      </c>
      <c r="I597" s="46">
        <f>Model!$B$21*EXP((-0.029*9.81*F597)/(8.31*(273+J597)))</f>
        <v>100357.4491247143</v>
      </c>
      <c r="J597" s="13">
        <f>IF(Model!$B$31="Summer",  IF(F597&lt;=2000,  Model!$B$20-Model!$B$35*F597/1000,  IF(F597&lt;Model!$B$36,  Model!$B$33-6.5*F597/1000,  Model!$B$38)),     IF(F597&lt;=2000,  Model!$B$20-Model!$B$35*F597/1000,  IF(F597&lt;Model!$B$36,  Model!$B$33-5.4*F597/1000,   Model!$B$38)))</f>
        <v>-19.088750000000001</v>
      </c>
      <c r="K597" s="13">
        <f t="shared" si="179"/>
        <v>253.91125</v>
      </c>
      <c r="L597" s="46">
        <f>IF(AB596-AA596*(B597-B596)&gt;0, L596-Y596*(B597-B596)*3600-AD597*Model!$B$16, 0)</f>
        <v>595.56254714890076</v>
      </c>
      <c r="M597" s="57">
        <f t="shared" si="180"/>
        <v>12.127732894067037</v>
      </c>
      <c r="N597" s="57">
        <f>Model!$B$13*I597*K597/(Model!$B$13*I597-L597*287*K597)</f>
        <v>285.12773289406704</v>
      </c>
      <c r="O597" s="57">
        <f t="shared" si="181"/>
        <v>269.51949144703349</v>
      </c>
      <c r="P597" s="57">
        <f t="shared" si="182"/>
        <v>-1.7560374946176327</v>
      </c>
      <c r="Q597" s="63">
        <f t="shared" si="183"/>
        <v>2.3752883892739378E-2</v>
      </c>
      <c r="R597" s="17">
        <f t="shared" si="175"/>
        <v>1.3238027110491482E-5</v>
      </c>
      <c r="S597" s="46">
        <f>0.37*Model!$B$10*(Q597^2*(N597-K597)*I597/(R597*O597^2))^0.33333*(N597-K597)</f>
        <v>170965.79730905019</v>
      </c>
      <c r="T597" s="51">
        <f>Model!$B$32+(90-Model!$B$6)*SIN(RADIANS(-15*(E597+6)))</f>
        <v>8.6093690966830856</v>
      </c>
      <c r="U597" s="46">
        <f t="shared" si="184"/>
        <v>8.6093690966830856</v>
      </c>
      <c r="V597" s="51">
        <f t="shared" si="185"/>
        <v>6.6801594997935139</v>
      </c>
      <c r="W597" s="46">
        <f t="shared" si="186"/>
        <v>280.39011236529109</v>
      </c>
      <c r="X597" s="46">
        <f>0.3*W597*Model!$B$9</f>
        <v>25399.038244086089</v>
      </c>
      <c r="Y597" s="17">
        <f>(S597-X597)/Model!$B$11</f>
        <v>3.1227450190917968E-3</v>
      </c>
      <c r="Z597" s="46">
        <f t="shared" si="187"/>
        <v>14.856210215060118</v>
      </c>
      <c r="AA597" s="57">
        <f>Y597/Model!$B$12*3600</f>
        <v>20.218303257462289</v>
      </c>
      <c r="AB597" s="51">
        <f t="shared" si="192"/>
        <v>134.09927098403696</v>
      </c>
      <c r="AC597" s="51">
        <f t="shared" si="176"/>
        <v>1665.900729015963</v>
      </c>
      <c r="AD597" s="13">
        <f>IF(AE597=0, Model!$B$19, 0 )</f>
        <v>0</v>
      </c>
      <c r="AE597" s="51">
        <f>IF(AE596+AB596-AB597&lt;Model!$B$19*Model!$B$18, AE596+AB596-AB597,  0)</f>
        <v>309.53530272207661</v>
      </c>
      <c r="AF597" s="13">
        <f t="shared" si="188"/>
        <v>29.750000000000288</v>
      </c>
      <c r="AG597" s="50">
        <f t="shared" si="189"/>
        <v>0.87801874730881635</v>
      </c>
    </row>
    <row r="598" spans="2:33" x14ac:dyDescent="0.25">
      <c r="B598" s="15">
        <f t="shared" si="190"/>
        <v>29.800000000000288</v>
      </c>
      <c r="C598" s="15">
        <f>B598+Model!$B$4</f>
        <v>31.800000000000288</v>
      </c>
      <c r="D598" s="15">
        <f t="shared" si="191"/>
        <v>2</v>
      </c>
      <c r="E598" s="15">
        <f t="shared" si="177"/>
        <v>7.8000000000002885</v>
      </c>
      <c r="F598" s="16">
        <f>IF(AB598&gt;0, VLOOKUP(B598,Model!$A$40:$B$60, 2), 0)</f>
        <v>300</v>
      </c>
      <c r="G598" s="15">
        <f>IF(AB598&gt;0, VLOOKUP(B598,Model!$A$39:$C$58, 3), 0)</f>
        <v>1</v>
      </c>
      <c r="H598" s="15">
        <f t="shared" si="178"/>
        <v>97</v>
      </c>
      <c r="I598" s="45">
        <f>Model!$B$21*EXP((-0.029*9.81*F598)/(8.31*(273+J598)))</f>
        <v>100357.4491247143</v>
      </c>
      <c r="J598" s="15">
        <f>IF(Model!$B$31="Summer",  IF(F598&lt;=2000,  Model!$B$20-Model!$B$35*F598/1000,  IF(F598&lt;Model!$B$36,  Model!$B$33-6.5*F598/1000,  Model!$B$38)),     IF(F598&lt;=2000,  Model!$B$20-Model!$B$35*F598/1000,  IF(F598&lt;Model!$B$36,  Model!$B$33-5.4*F598/1000,   Model!$B$38)))</f>
        <v>-19.088750000000001</v>
      </c>
      <c r="K598" s="15">
        <f t="shared" si="179"/>
        <v>253.91125</v>
      </c>
      <c r="L598" s="45">
        <f>IF(AB597-AA597*(B598-B597)&gt;0, L597-Y597*(B598-B597)*3600-AD598*Model!$B$16, 0)</f>
        <v>595.00045304546427</v>
      </c>
      <c r="M598" s="56">
        <f t="shared" si="180"/>
        <v>12.094652342004053</v>
      </c>
      <c r="N598" s="56">
        <f>Model!$B$13*I598*K598/(Model!$B$13*I598-L598*287*K598)</f>
        <v>285.09465234200405</v>
      </c>
      <c r="O598" s="56">
        <f t="shared" si="181"/>
        <v>269.502951171002</v>
      </c>
      <c r="P598" s="56">
        <f t="shared" si="182"/>
        <v>-1.6277814132293664</v>
      </c>
      <c r="Q598" s="62">
        <f t="shared" si="183"/>
        <v>2.3751709533141142E-2</v>
      </c>
      <c r="R598" s="33">
        <f t="shared" si="175"/>
        <v>1.3236306921784207E-5</v>
      </c>
      <c r="S598" s="45">
        <f>0.37*Model!$B$10*(Q598^2*(N598-K598)*I598/(R598*O598^2))^0.33333*(N598-K598)</f>
        <v>170733.02725132805</v>
      </c>
      <c r="T598" s="50">
        <f>Model!$B$32+(90-Model!$B$6)*SIN(RADIANS(-15*(E598+6)))</f>
        <v>9.0189324299021632</v>
      </c>
      <c r="U598" s="45">
        <f t="shared" si="184"/>
        <v>9.0189324299021632</v>
      </c>
      <c r="V598" s="50">
        <f t="shared" si="185"/>
        <v>6.3791449299240499</v>
      </c>
      <c r="W598" s="45">
        <f t="shared" si="186"/>
        <v>301.55859571977862</v>
      </c>
      <c r="X598" s="45">
        <f>0.3*W598*Model!$B$9</f>
        <v>27316.577752717079</v>
      </c>
      <c r="Y598" s="33">
        <f>(S598-X598)/Model!$B$11</f>
        <v>3.0766158854148018E-3</v>
      </c>
      <c r="Z598" s="45">
        <f t="shared" si="187"/>
        <v>15.999586133095171</v>
      </c>
      <c r="AA598" s="56">
        <f>Y598/Model!$B$12*3600</f>
        <v>19.919638842665861</v>
      </c>
      <c r="AB598" s="50">
        <f t="shared" si="192"/>
        <v>133.08835582116384</v>
      </c>
      <c r="AC598" s="50">
        <f t="shared" si="176"/>
        <v>1666.9116441788362</v>
      </c>
      <c r="AD598" s="15">
        <f>IF(AE598=0, Model!$B$19, 0 )</f>
        <v>0</v>
      </c>
      <c r="AE598" s="50">
        <f>IF(AE597+AB597-AB598&lt;Model!$B$19*Model!$B$18, AE597+AB597-AB598,  0)</f>
        <v>310.54621788494967</v>
      </c>
      <c r="AF598" s="15">
        <f t="shared" si="188"/>
        <v>29.800000000000288</v>
      </c>
      <c r="AG598" s="50">
        <f t="shared" si="189"/>
        <v>0.81389070661468321</v>
      </c>
    </row>
    <row r="599" spans="2:33" x14ac:dyDescent="0.25">
      <c r="B599" s="13">
        <f t="shared" si="190"/>
        <v>29.850000000000289</v>
      </c>
      <c r="C599" s="13">
        <f>B599+Model!$B$4</f>
        <v>31.850000000000289</v>
      </c>
      <c r="D599" s="13">
        <f t="shared" si="191"/>
        <v>2</v>
      </c>
      <c r="E599" s="13">
        <f t="shared" si="177"/>
        <v>7.8500000000002892</v>
      </c>
      <c r="F599" s="14">
        <f>IF(AB599&gt;0, VLOOKUP(B599,Model!$A$40:$B$60, 2), 0)</f>
        <v>300</v>
      </c>
      <c r="G599" s="13">
        <f>IF(AB599&gt;0, VLOOKUP(B599,Model!$A$39:$C$58, 3), 0)</f>
        <v>1</v>
      </c>
      <c r="H599" s="13">
        <f t="shared" si="178"/>
        <v>97</v>
      </c>
      <c r="I599" s="46">
        <f>Model!$B$21*EXP((-0.029*9.81*F599)/(8.31*(273+J599)))</f>
        <v>100357.4491247143</v>
      </c>
      <c r="J599" s="13">
        <f>IF(Model!$B$31="Summer",  IF(F599&lt;=2000,  Model!$B$20-Model!$B$35*F599/1000,  IF(F599&lt;Model!$B$36,  Model!$B$33-6.5*F599/1000,  Model!$B$38)),     IF(F599&lt;=2000,  Model!$B$20-Model!$B$35*F599/1000,  IF(F599&lt;Model!$B$36,  Model!$B$33-5.4*F599/1000,   Model!$B$38)))</f>
        <v>-19.088750000000001</v>
      </c>
      <c r="K599" s="13">
        <f t="shared" si="179"/>
        <v>253.91125</v>
      </c>
      <c r="L599" s="46">
        <f>IF(AB598-AA598*(B599-B598)&gt;0, L598-Y598*(B599-B598)*3600-AD599*Model!$B$16, 0)</f>
        <v>594.44666218608961</v>
      </c>
      <c r="M599" s="57">
        <f t="shared" si="180"/>
        <v>12.062067961178968</v>
      </c>
      <c r="N599" s="57">
        <f>Model!$B$13*I599*K599/(Model!$B$13*I599-L599*287*K599)</f>
        <v>285.06206796117897</v>
      </c>
      <c r="O599" s="57">
        <f t="shared" si="181"/>
        <v>269.48665898058948</v>
      </c>
      <c r="P599" s="57">
        <f t="shared" si="182"/>
        <v>-1.5029503812786587</v>
      </c>
      <c r="Q599" s="63">
        <f t="shared" si="183"/>
        <v>2.3750552787621854E-2</v>
      </c>
      <c r="R599" s="17">
        <f t="shared" si="175"/>
        <v>1.3234612533981305E-5</v>
      </c>
      <c r="S599" s="46">
        <f>0.37*Model!$B$10*(Q599^2*(N599-K599)*I599/(R599*O599^2))^0.33333*(N599-K599)</f>
        <v>170503.80928190635</v>
      </c>
      <c r="T599" s="51">
        <f>Model!$B$32+(90-Model!$B$6)*SIN(RADIANS(-15*(E599+6)))</f>
        <v>9.4257731503969246</v>
      </c>
      <c r="U599" s="46">
        <f t="shared" si="184"/>
        <v>9.4257731503969246</v>
      </c>
      <c r="V599" s="51">
        <f t="shared" si="185"/>
        <v>6.1061344410977991</v>
      </c>
      <c r="W599" s="46">
        <f t="shared" si="186"/>
        <v>322.13680681816635</v>
      </c>
      <c r="X599" s="46">
        <f>0.3*W599*Model!$B$9</f>
        <v>29180.647659725422</v>
      </c>
      <c r="Y599" s="17">
        <f>(S599-X599)/Model!$B$11</f>
        <v>3.0317099994032161E-3</v>
      </c>
      <c r="Z599" s="46">
        <f t="shared" si="187"/>
        <v>17.114366994275731</v>
      </c>
      <c r="AA599" s="57">
        <f>Y599/Model!$B$12*3600</f>
        <v>19.628894380381418</v>
      </c>
      <c r="AB599" s="51">
        <f t="shared" si="192"/>
        <v>132.09237387903053</v>
      </c>
      <c r="AC599" s="51">
        <f t="shared" si="176"/>
        <v>1667.9076261209696</v>
      </c>
      <c r="AD599" s="13">
        <f>IF(AE599=0, Model!$B$19, 0 )</f>
        <v>0</v>
      </c>
      <c r="AE599" s="51">
        <f>IF(AE598+AB598-AB599&lt;Model!$B$19*Model!$B$18, AE598+AB598-AB599,  0)</f>
        <v>311.54219982708298</v>
      </c>
      <c r="AF599" s="13">
        <f t="shared" si="188"/>
        <v>29.850000000000289</v>
      </c>
      <c r="AG599" s="50">
        <f t="shared" si="189"/>
        <v>0.75147519063932933</v>
      </c>
    </row>
    <row r="600" spans="2:33" x14ac:dyDescent="0.25">
      <c r="B600" s="15">
        <f t="shared" si="190"/>
        <v>29.90000000000029</v>
      </c>
      <c r="C600" s="15">
        <f>B600+Model!$B$4</f>
        <v>31.90000000000029</v>
      </c>
      <c r="D600" s="15">
        <f t="shared" si="191"/>
        <v>2</v>
      </c>
      <c r="E600" s="15">
        <f t="shared" si="177"/>
        <v>7.9000000000002899</v>
      </c>
      <c r="F600" s="16">
        <f>IF(AB600&gt;0, VLOOKUP(B600,Model!$A$40:$B$60, 2), 0)</f>
        <v>300</v>
      </c>
      <c r="G600" s="15">
        <f>IF(AB600&gt;0, VLOOKUP(B600,Model!$A$39:$C$58, 3), 0)</f>
        <v>1</v>
      </c>
      <c r="H600" s="15">
        <f t="shared" si="178"/>
        <v>97</v>
      </c>
      <c r="I600" s="45">
        <f>Model!$B$21*EXP((-0.029*9.81*F600)/(8.31*(273+J600)))</f>
        <v>100357.4491247143</v>
      </c>
      <c r="J600" s="15">
        <f>IF(Model!$B$31="Summer",  IF(F600&lt;=2000,  Model!$B$20-Model!$B$35*F600/1000,  IF(F600&lt;Model!$B$36,  Model!$B$33-6.5*F600/1000,  Model!$B$38)),     IF(F600&lt;=2000,  Model!$B$20-Model!$B$35*F600/1000,  IF(F600&lt;Model!$B$36,  Model!$B$33-5.4*F600/1000,   Model!$B$38)))</f>
        <v>-19.088750000000001</v>
      </c>
      <c r="K600" s="15">
        <f t="shared" si="179"/>
        <v>253.91125</v>
      </c>
      <c r="L600" s="45">
        <f>IF(AB599-AA599*(B600-B599)&gt;0, L599-Y599*(B600-B599)*3600-AD600*Model!$B$16, 0)</f>
        <v>593.90095438619699</v>
      </c>
      <c r="M600" s="56">
        <f t="shared" si="180"/>
        <v>12.029966462992491</v>
      </c>
      <c r="N600" s="56">
        <f>Model!$B$13*I600*K600/(Model!$B$13*I600-L600*287*K600)</f>
        <v>285.02996646299249</v>
      </c>
      <c r="O600" s="56">
        <f t="shared" si="181"/>
        <v>269.47060823149627</v>
      </c>
      <c r="P600" s="56">
        <f t="shared" si="182"/>
        <v>-1.3818130563826463</v>
      </c>
      <c r="Q600" s="62">
        <f t="shared" si="183"/>
        <v>2.3749413184436234E-2</v>
      </c>
      <c r="R600" s="33">
        <f t="shared" si="175"/>
        <v>1.323294325607561E-5</v>
      </c>
      <c r="S600" s="45">
        <f>0.37*Model!$B$10*(Q600^2*(N600-K600)*I600/(R600*O600^2))^0.33333*(N600-K600)</f>
        <v>170278.04726404103</v>
      </c>
      <c r="T600" s="50">
        <f>Model!$B$32+(90-Model!$B$6)*SIN(RADIANS(-15*(E600+6)))</f>
        <v>9.8298215481043059</v>
      </c>
      <c r="U600" s="45">
        <f t="shared" si="184"/>
        <v>9.8298215481043059</v>
      </c>
      <c r="V600" s="50">
        <f t="shared" si="185"/>
        <v>5.8574633619701348</v>
      </c>
      <c r="W600" s="45">
        <f t="shared" si="186"/>
        <v>342.10020863850269</v>
      </c>
      <c r="X600" s="45">
        <f>0.3*W600*Model!$B$9</f>
        <v>30989.025287736058</v>
      </c>
      <c r="Y600" s="33">
        <f>(S600-X600)/Model!$B$11</f>
        <v>2.9880729802918581E-3</v>
      </c>
      <c r="Z600" s="45">
        <f t="shared" si="187"/>
        <v>18.199072508555986</v>
      </c>
      <c r="AA600" s="56">
        <f>Y600/Model!$B$12*3600</f>
        <v>19.346365233668791</v>
      </c>
      <c r="AB600" s="50">
        <f t="shared" si="192"/>
        <v>131.11092916001144</v>
      </c>
      <c r="AC600" s="50">
        <f t="shared" si="176"/>
        <v>1668.8890708399886</v>
      </c>
      <c r="AD600" s="15">
        <f>IF(AE600=0, Model!$B$19, 0 )</f>
        <v>0</v>
      </c>
      <c r="AE600" s="50">
        <f>IF(AE599+AB599-AB600&lt;Model!$B$19*Model!$B$18, AE599+AB599-AB600,  0)</f>
        <v>312.5236445461021</v>
      </c>
      <c r="AF600" s="15">
        <f t="shared" si="188"/>
        <v>29.90000000000029</v>
      </c>
      <c r="AG600" s="50">
        <f t="shared" si="189"/>
        <v>0.69090652819132314</v>
      </c>
    </row>
    <row r="601" spans="2:33" x14ac:dyDescent="0.25">
      <c r="B601" s="13">
        <f t="shared" si="190"/>
        <v>29.950000000000291</v>
      </c>
      <c r="C601" s="13">
        <f>B601+Model!$B$4</f>
        <v>31.950000000000291</v>
      </c>
      <c r="D601" s="13">
        <f t="shared" si="191"/>
        <v>2</v>
      </c>
      <c r="E601" s="13">
        <f t="shared" si="177"/>
        <v>7.9500000000002906</v>
      </c>
      <c r="F601" s="14">
        <f>IF(AB601&gt;0, VLOOKUP(B601,Model!$A$40:$B$60, 2), 0)</f>
        <v>300</v>
      </c>
      <c r="G601" s="13">
        <f>IF(AB601&gt;0, VLOOKUP(B601,Model!$A$39:$C$58, 3), 0)</f>
        <v>1</v>
      </c>
      <c r="H601" s="13">
        <f t="shared" si="178"/>
        <v>97</v>
      </c>
      <c r="I601" s="46">
        <f>Model!$B$21*EXP((-0.029*9.81*F601)/(8.31*(273+J601)))</f>
        <v>100357.4491247143</v>
      </c>
      <c r="J601" s="13">
        <f>IF(Model!$B$31="Summer",  IF(F601&lt;=2000,  Model!$B$20-Model!$B$35*F601/1000,  IF(F601&lt;Model!$B$36,  Model!$B$33-6.5*F601/1000,  Model!$B$38)),     IF(F601&lt;=2000,  Model!$B$20-Model!$B$35*F601/1000,  IF(F601&lt;Model!$B$36,  Model!$B$33-5.4*F601/1000,   Model!$B$38)))</f>
        <v>-19.088750000000001</v>
      </c>
      <c r="K601" s="13">
        <f t="shared" si="179"/>
        <v>253.91125</v>
      </c>
      <c r="L601" s="46">
        <f>IF(AB600-AA600*(B601-B600)&gt;0, L600-Y600*(B601-B600)*3600-AD601*Model!$B$16, 0)</f>
        <v>593.36310124974443</v>
      </c>
      <c r="M601" s="57">
        <f t="shared" si="180"/>
        <v>11.998334092704795</v>
      </c>
      <c r="N601" s="57">
        <f>Model!$B$13*I601*K601/(Model!$B$13*I601-L601*287*K601)</f>
        <v>284.99833409270479</v>
      </c>
      <c r="O601" s="57">
        <f t="shared" si="181"/>
        <v>269.4547920463524</v>
      </c>
      <c r="P601" s="57">
        <f t="shared" si="182"/>
        <v>-1.2645398960575851</v>
      </c>
      <c r="Q601" s="63">
        <f t="shared" si="183"/>
        <v>2.3748290235291021E-2</v>
      </c>
      <c r="R601" s="17">
        <f t="shared" si="175"/>
        <v>1.3231298372820646E-5</v>
      </c>
      <c r="S601" s="46">
        <f>0.37*Model!$B$10*(Q601^2*(N601-K601)*I601/(R601*O601^2))^0.33333*(N601-K601)</f>
        <v>170055.64191607008</v>
      </c>
      <c r="T601" s="51">
        <f>Model!$B$32+(90-Model!$B$6)*SIN(RADIANS(-15*(E601+6)))</f>
        <v>10.231008391411422</v>
      </c>
      <c r="U601" s="46">
        <f t="shared" si="184"/>
        <v>10.231008391411422</v>
      </c>
      <c r="V601" s="51">
        <f t="shared" si="185"/>
        <v>5.6300803165249604</v>
      </c>
      <c r="W601" s="46">
        <f t="shared" si="186"/>
        <v>361.43569347548373</v>
      </c>
      <c r="X601" s="46">
        <f>0.3*W601*Model!$B$9</f>
        <v>32740.523279942794</v>
      </c>
      <c r="Y601" s="17">
        <f>(S601-X601)/Model!$B$11</f>
        <v>2.945728169819313E-3</v>
      </c>
      <c r="Z601" s="46">
        <f t="shared" si="187"/>
        <v>19.252829786207084</v>
      </c>
      <c r="AA601" s="57">
        <f>Y601/Model!$B$12*3600</f>
        <v>19.072202529291896</v>
      </c>
      <c r="AB601" s="51">
        <f t="shared" si="192"/>
        <v>130.14361089832798</v>
      </c>
      <c r="AC601" s="51">
        <f t="shared" si="176"/>
        <v>1669.856389101672</v>
      </c>
      <c r="AD601" s="13">
        <f>IF(AE601=0, Model!$B$19, 0 )</f>
        <v>0</v>
      </c>
      <c r="AE601" s="51">
        <f>IF(AE600+AB600-AB601&lt;Model!$B$19*Model!$B$18, AE600+AB600-AB601,  0)</f>
        <v>313.49096280778554</v>
      </c>
      <c r="AF601" s="13">
        <f t="shared" si="188"/>
        <v>29.950000000000291</v>
      </c>
      <c r="AG601" s="50">
        <f t="shared" si="189"/>
        <v>0.63226994802879255</v>
      </c>
    </row>
    <row r="602" spans="2:33" x14ac:dyDescent="0.25">
      <c r="B602" s="15">
        <f t="shared" si="190"/>
        <v>30.000000000000291</v>
      </c>
      <c r="C602" s="15">
        <f>B602+Model!$B$4</f>
        <v>32.000000000000291</v>
      </c>
      <c r="D602" s="15">
        <f t="shared" si="191"/>
        <v>2</v>
      </c>
      <c r="E602" s="15">
        <f t="shared" si="177"/>
        <v>8.0000000000002913</v>
      </c>
      <c r="F602" s="16">
        <f>IF(AB602&gt;0, VLOOKUP(B602,Model!$A$40:$B$60, 2), 0)</f>
        <v>300</v>
      </c>
      <c r="G602" s="15">
        <f>IF(AB602&gt;0, VLOOKUP(B602,Model!$A$39:$C$58, 3), 0)</f>
        <v>1</v>
      </c>
      <c r="H602" s="15">
        <f t="shared" si="178"/>
        <v>97</v>
      </c>
      <c r="I602" s="45">
        <f>Model!$B$21*EXP((-0.029*9.81*F602)/(8.31*(273+J602)))</f>
        <v>100357.4491247143</v>
      </c>
      <c r="J602" s="15">
        <f>IF(Model!$B$31="Summer",  IF(F602&lt;=2000,  Model!$B$20-Model!$B$35*F602/1000,  IF(F602&lt;Model!$B$36,  Model!$B$33-6.5*F602/1000,  Model!$B$38)),     IF(F602&lt;=2000,  Model!$B$20-Model!$B$35*F602/1000,  IF(F602&lt;Model!$B$36,  Model!$B$33-5.4*F602/1000,   Model!$B$38)))</f>
        <v>-19.088750000000001</v>
      </c>
      <c r="K602" s="15">
        <f t="shared" si="179"/>
        <v>253.91125</v>
      </c>
      <c r="L602" s="45">
        <f>IF(AB601-AA601*(B602-B601)&gt;0, L601-Y601*(B602-B601)*3600-AD602*Model!$B$16, 0)</f>
        <v>592.83287017917689</v>
      </c>
      <c r="M602" s="56">
        <f t="shared" si="180"/>
        <v>11.967156865275911</v>
      </c>
      <c r="N602" s="56">
        <f>Model!$B$13*I602*K602/(Model!$B$13*I602-L602*287*K602)</f>
        <v>284.96715686527591</v>
      </c>
      <c r="O602" s="56">
        <f t="shared" si="181"/>
        <v>269.43920343263795</v>
      </c>
      <c r="P602" s="56">
        <f t="shared" si="182"/>
        <v>-1.1512252775254872</v>
      </c>
      <c r="Q602" s="62">
        <f t="shared" si="183"/>
        <v>2.3747183443717294E-2</v>
      </c>
      <c r="R602" s="33">
        <f t="shared" si="175"/>
        <v>1.3229677156994347E-5</v>
      </c>
      <c r="S602" s="45">
        <f>0.37*Model!$B$10*(Q602^2*(N602-K602)*I602/(R602*O602^2))^0.33333*(N602-K602)</f>
        <v>169836.49246994793</v>
      </c>
      <c r="T602" s="50">
        <f>Model!$B$32+(90-Model!$B$6)*SIN(RADIANS(-15*(E602+6)))</f>
        <v>10.629264939017997</v>
      </c>
      <c r="U602" s="45">
        <f t="shared" si="184"/>
        <v>10.629264939017997</v>
      </c>
      <c r="V602" s="50">
        <f t="shared" si="185"/>
        <v>5.4214241008775561</v>
      </c>
      <c r="W602" s="45">
        <f t="shared" si="186"/>
        <v>380.13893423022711</v>
      </c>
      <c r="X602" s="45">
        <f>0.3*W602*Model!$B$9</f>
        <v>34434.749667637916</v>
      </c>
      <c r="Y602" s="33">
        <f>(S602-X602)/Model!$B$11</f>
        <v>2.9046818149160141E-3</v>
      </c>
      <c r="Z602" s="45">
        <f t="shared" si="187"/>
        <v>20.275236003081638</v>
      </c>
      <c r="AA602" s="56">
        <f>Y602/Model!$B$12*3600</f>
        <v>18.806446713183131</v>
      </c>
      <c r="AB602" s="50">
        <f t="shared" si="192"/>
        <v>129.19000077186337</v>
      </c>
      <c r="AC602" s="50">
        <f t="shared" si="176"/>
        <v>1670.8099992281366</v>
      </c>
      <c r="AD602" s="15">
        <f>IF(AE602=0, Model!$B$19, 0 )</f>
        <v>0</v>
      </c>
      <c r="AE602" s="50">
        <f>IF(AE601+AB601-AB602&lt;Model!$B$19*Model!$B$18, AE601+AB601-AB602,  0)</f>
        <v>314.44457293425017</v>
      </c>
      <c r="AF602" s="15">
        <f t="shared" si="188"/>
        <v>30.000000000000291</v>
      </c>
      <c r="AG602" s="50">
        <f t="shared" si="189"/>
        <v>0.5756126387627436</v>
      </c>
    </row>
    <row r="603" spans="2:33" x14ac:dyDescent="0.25">
      <c r="B603" s="13">
        <f t="shared" si="190"/>
        <v>30.050000000000292</v>
      </c>
      <c r="C603" s="13">
        <f>B603+Model!$B$4</f>
        <v>32.050000000000296</v>
      </c>
      <c r="D603" s="13">
        <f t="shared" si="191"/>
        <v>2</v>
      </c>
      <c r="E603" s="13">
        <f t="shared" si="177"/>
        <v>8.0500000000002956</v>
      </c>
      <c r="F603" s="14">
        <f>IF(AB603&gt;0, VLOOKUP(B603,Model!$A$40:$B$60, 2), 0)</f>
        <v>300</v>
      </c>
      <c r="G603" s="13">
        <f>IF(AB603&gt;0, VLOOKUP(B603,Model!$A$39:$C$58, 3), 0)</f>
        <v>1</v>
      </c>
      <c r="H603" s="13">
        <f t="shared" si="178"/>
        <v>97</v>
      </c>
      <c r="I603" s="46">
        <f>Model!$B$21*EXP((-0.029*9.81*F603)/(8.31*(273+J603)))</f>
        <v>100357.4491247143</v>
      </c>
      <c r="J603" s="13">
        <f>IF(Model!$B$31="Summer",  IF(F603&lt;=2000,  Model!$B$20-Model!$B$35*F603/1000,  IF(F603&lt;Model!$B$36,  Model!$B$33-6.5*F603/1000,  Model!$B$38)),     IF(F603&lt;=2000,  Model!$B$20-Model!$B$35*F603/1000,  IF(F603&lt;Model!$B$36,  Model!$B$33-5.4*F603/1000,   Model!$B$38)))</f>
        <v>-19.088750000000001</v>
      </c>
      <c r="K603" s="13">
        <f t="shared" ref="K603:K666" si="193">273+J603</f>
        <v>253.91125</v>
      </c>
      <c r="L603" s="46">
        <f>IF(AB602-AA602*(B603-B602)&gt;0, L602-Y602*(B603-B602)*3600-AD603*Model!$B$16, 0)</f>
        <v>592.31002745249202</v>
      </c>
      <c r="M603" s="57">
        <f t="shared" si="180"/>
        <v>11.936420746056399</v>
      </c>
      <c r="N603" s="57">
        <f>Model!$B$13*I603*K603/(Model!$B$13*I603-L603*287*K603)</f>
        <v>284.9364207460564</v>
      </c>
      <c r="O603" s="57">
        <f t="shared" si="181"/>
        <v>269.42383537302817</v>
      </c>
      <c r="P603" s="57">
        <f t="shared" si="182"/>
        <v>-1.0419050654369535</v>
      </c>
      <c r="Q603" s="63">
        <f t="shared" ref="Q603:Q666" si="194">(O603-273)*7.1*0.00001+0.024</f>
        <v>2.3746092311485001E-2</v>
      </c>
      <c r="R603" s="17">
        <f t="shared" ref="R603:R666" si="195">((O603-273)*0.104+13.6)*0.000001</f>
        <v>1.3228078878794927E-5</v>
      </c>
      <c r="S603" s="46">
        <f>0.37*Model!$B$10*(Q603^2*(N603-K603)*I603/(R603*O603^2))^0.33333*(N603-K603)</f>
        <v>169620.49793970032</v>
      </c>
      <c r="T603" s="51">
        <f>Model!$B$32+(90-Model!$B$6)*SIN(RADIANS(-15*(E603+6)))</f>
        <v>11.024522951714829</v>
      </c>
      <c r="U603" s="46">
        <f t="shared" si="184"/>
        <v>11.024522951714829</v>
      </c>
      <c r="V603" s="51">
        <f t="shared" si="185"/>
        <v>5.2293290771570637</v>
      </c>
      <c r="W603" s="46">
        <f t="shared" si="186"/>
        <v>398.21228942979963</v>
      </c>
      <c r="X603" s="46">
        <f>0.3*W603*Model!$B$9</f>
        <v>36071.918097153903</v>
      </c>
      <c r="Y603" s="17">
        <f>(S603-X603)/Model!$B$11</f>
        <v>2.8649271659883391E-3</v>
      </c>
      <c r="Z603" s="46">
        <f t="shared" si="187"/>
        <v>21.26624938336013</v>
      </c>
      <c r="AA603" s="57">
        <f>Y603/Model!$B$12*3600</f>
        <v>18.549054084902693</v>
      </c>
      <c r="AB603" s="51">
        <f t="shared" si="192"/>
        <v>128.24967843620419</v>
      </c>
      <c r="AC603" s="51">
        <f t="shared" ref="AC603:AC666" si="196">AC602+AB602-AB603</f>
        <v>1671.7503215637958</v>
      </c>
      <c r="AD603" s="13">
        <f>IF(AE603=0, Model!$B$19, 0 )</f>
        <v>0</v>
      </c>
      <c r="AE603" s="51">
        <f>IF(AE602+AB602-AB603&lt;Model!$B$19*Model!$B$18, AE602+AB602-AB603,  0)</f>
        <v>315.38489526990935</v>
      </c>
      <c r="AF603" s="13">
        <f t="shared" si="188"/>
        <v>30.050000000000292</v>
      </c>
      <c r="AG603" s="50">
        <f t="shared" si="189"/>
        <v>0.52095253271847675</v>
      </c>
    </row>
    <row r="604" spans="2:33" x14ac:dyDescent="0.25">
      <c r="B604" s="15">
        <f t="shared" si="190"/>
        <v>30.100000000000293</v>
      </c>
      <c r="C604" s="15">
        <f>B604+Model!$B$4</f>
        <v>32.100000000000293</v>
      </c>
      <c r="D604" s="15">
        <f t="shared" si="191"/>
        <v>2</v>
      </c>
      <c r="E604" s="15">
        <f t="shared" si="177"/>
        <v>8.1000000000002927</v>
      </c>
      <c r="F604" s="16">
        <f>IF(AB604&gt;0, VLOOKUP(B604,Model!$A$40:$B$60, 2), 0)</f>
        <v>300</v>
      </c>
      <c r="G604" s="15">
        <f>IF(AB604&gt;0, VLOOKUP(B604,Model!$A$39:$C$58, 3), 0)</f>
        <v>1</v>
      </c>
      <c r="H604" s="15">
        <f t="shared" si="178"/>
        <v>97</v>
      </c>
      <c r="I604" s="45">
        <f>Model!$B$21*EXP((-0.029*9.81*F604)/(8.31*(273+J604)))</f>
        <v>100357.4491247143</v>
      </c>
      <c r="J604" s="15">
        <f>IF(Model!$B$31="Summer",  IF(F604&lt;=2000,  Model!$B$20-Model!$B$35*F604/1000,  IF(F604&lt;Model!$B$36,  Model!$B$33-6.5*F604/1000,  Model!$B$38)),     IF(F604&lt;=2000,  Model!$B$20-Model!$B$35*F604/1000,  IF(F604&lt;Model!$B$36,  Model!$B$33-5.4*F604/1000,   Model!$B$38)))</f>
        <v>-19.088750000000001</v>
      </c>
      <c r="K604" s="15">
        <f t="shared" si="193"/>
        <v>253.91125</v>
      </c>
      <c r="L604" s="45">
        <f>IF(AB603-AA603*(B604-B603)&gt;0, L603-Y603*(B604-B603)*3600-AD604*Model!$B$16, 0)</f>
        <v>591.79434056261414</v>
      </c>
      <c r="M604" s="56">
        <f t="shared" si="180"/>
        <v>11.906111787896862</v>
      </c>
      <c r="N604" s="56">
        <f>Model!$B$13*I604*K604/(Model!$B$13*I604-L604*287*K604)</f>
        <v>284.90611178789686</v>
      </c>
      <c r="O604" s="56">
        <f t="shared" si="181"/>
        <v>269.40868089394843</v>
      </c>
      <c r="P604" s="56">
        <f t="shared" si="182"/>
        <v>-0.93657050985290535</v>
      </c>
      <c r="Q604" s="62">
        <f t="shared" si="194"/>
        <v>2.374501634347034E-2</v>
      </c>
      <c r="R604" s="33">
        <f t="shared" si="195"/>
        <v>1.3226502812970635E-5</v>
      </c>
      <c r="S604" s="45">
        <f>0.37*Model!$B$10*(Q604^2*(N604-K604)*I604/(R604*O604^2))^0.33333*(N604-K604)</f>
        <v>169407.55808185923</v>
      </c>
      <c r="T604" s="50">
        <f>Model!$B$32+(90-Model!$B$6)*SIN(RADIANS(-15*(E604+6)))</f>
        <v>11.416714704076163</v>
      </c>
      <c r="U604" s="45">
        <f t="shared" si="184"/>
        <v>11.416714704076163</v>
      </c>
      <c r="V604" s="50">
        <f t="shared" si="185"/>
        <v>5.0519516651172411</v>
      </c>
      <c r="W604" s="45">
        <f t="shared" si="186"/>
        <v>415.66315122300529</v>
      </c>
      <c r="X604" s="45">
        <f>0.3*W604*Model!$B$9</f>
        <v>37652.698183651555</v>
      </c>
      <c r="Y604" s="33">
        <f>(S604-X604)/Model!$B$11</f>
        <v>2.8264477077809221E-3</v>
      </c>
      <c r="Z604" s="45">
        <f t="shared" si="187"/>
        <v>22.226102902361323</v>
      </c>
      <c r="AA604" s="56">
        <f>Y604/Model!$B$12*3600</f>
        <v>18.299917715950397</v>
      </c>
      <c r="AB604" s="50">
        <f t="shared" si="192"/>
        <v>127.32222573195905</v>
      </c>
      <c r="AC604" s="50">
        <f t="shared" si="196"/>
        <v>1672.677774268041</v>
      </c>
      <c r="AD604" s="15">
        <f>IF(AE604=0, Model!$B$19, 0 )</f>
        <v>0</v>
      </c>
      <c r="AE604" s="50">
        <f>IF(AE603+AB603-AB604&lt;Model!$B$19*Model!$B$18, AE603+AB603-AB604,  0)</f>
        <v>316.31234797415448</v>
      </c>
      <c r="AF604" s="15">
        <f t="shared" si="188"/>
        <v>30.100000000000293</v>
      </c>
      <c r="AG604" s="50">
        <f t="shared" si="189"/>
        <v>0.46828525492645268</v>
      </c>
    </row>
    <row r="605" spans="2:33" x14ac:dyDescent="0.25">
      <c r="B605" s="13">
        <f t="shared" si="190"/>
        <v>30.150000000000293</v>
      </c>
      <c r="C605" s="13">
        <f>B605+Model!$B$4</f>
        <v>32.15000000000029</v>
      </c>
      <c r="D605" s="13">
        <f t="shared" si="191"/>
        <v>2</v>
      </c>
      <c r="E605" s="13">
        <f t="shared" si="177"/>
        <v>8.1500000000002899</v>
      </c>
      <c r="F605" s="14">
        <f>IF(AB605&gt;0, VLOOKUP(B605,Model!$A$40:$B$60, 2), 0)</f>
        <v>300</v>
      </c>
      <c r="G605" s="13">
        <f>IF(AB605&gt;0, VLOOKUP(B605,Model!$A$39:$C$58, 3), 0)</f>
        <v>1</v>
      </c>
      <c r="H605" s="13">
        <f t="shared" si="178"/>
        <v>97</v>
      </c>
      <c r="I605" s="46">
        <f>Model!$B$21*EXP((-0.029*9.81*F605)/(8.31*(273+J605)))</f>
        <v>100357.4491247143</v>
      </c>
      <c r="J605" s="13">
        <f>IF(Model!$B$31="Summer",  IF(F605&lt;=2000,  Model!$B$20-Model!$B$35*F605/1000,  IF(F605&lt;Model!$B$36,  Model!$B$33-6.5*F605/1000,  Model!$B$38)),     IF(F605&lt;=2000,  Model!$B$20-Model!$B$35*F605/1000,  IF(F605&lt;Model!$B$36,  Model!$B$33-5.4*F605/1000,   Model!$B$38)))</f>
        <v>-19.088750000000001</v>
      </c>
      <c r="K605" s="13">
        <f t="shared" si="193"/>
        <v>253.91125</v>
      </c>
      <c r="L605" s="46">
        <f>IF(AB604-AA604*(B605-B604)&gt;0, L604-Y604*(B605-B604)*3600-AD605*Model!$B$16, 0)</f>
        <v>591.28557997521352</v>
      </c>
      <c r="M605" s="57">
        <f t="shared" si="180"/>
        <v>11.876216233926414</v>
      </c>
      <c r="N605" s="57">
        <f>Model!$B$13*I605*K605/(Model!$B$13*I605-L605*287*K605)</f>
        <v>284.87621623392641</v>
      </c>
      <c r="O605" s="57">
        <f t="shared" si="181"/>
        <v>269.39373311696318</v>
      </c>
      <c r="P605" s="57">
        <f t="shared" si="182"/>
        <v>-0.83517920821675862</v>
      </c>
      <c r="Q605" s="63">
        <f t="shared" si="194"/>
        <v>2.3743955051304385E-2</v>
      </c>
      <c r="R605" s="17">
        <f t="shared" si="195"/>
        <v>1.3224948244164168E-5</v>
      </c>
      <c r="S605" s="46">
        <f>0.37*Model!$B$10*(Q605^2*(N605-K605)*I605/(R605*O605^2))^0.33333*(N605-K605)</f>
        <v>169197.57411345528</v>
      </c>
      <c r="T605" s="51">
        <f>Model!$B$32+(90-Model!$B$6)*SIN(RADIANS(-15*(E605+6)))</f>
        <v>11.805772996064324</v>
      </c>
      <c r="U605" s="46">
        <f t="shared" si="184"/>
        <v>11.805772996064324</v>
      </c>
      <c r="V605" s="51">
        <f t="shared" si="185"/>
        <v>4.88771263913707</v>
      </c>
      <c r="W605" s="46">
        <f t="shared" si="186"/>
        <v>432.50264601986538</v>
      </c>
      <c r="X605" s="46">
        <f>0.3*W605*Model!$B$9</f>
        <v>39178.097809011102</v>
      </c>
      <c r="Y605" s="17">
        <f>(S605-X605)/Model!$B$11</f>
        <v>2.789219699762827E-3</v>
      </c>
      <c r="Z605" s="46">
        <f t="shared" si="187"/>
        <v>23.155236128113909</v>
      </c>
      <c r="AA605" s="57">
        <f>Y605/Model!$B$12*3600</f>
        <v>18.058883897569675</v>
      </c>
      <c r="AB605" s="51">
        <f t="shared" si="192"/>
        <v>126.40722984616151</v>
      </c>
      <c r="AC605" s="51">
        <f t="shared" si="196"/>
        <v>1673.5927701538385</v>
      </c>
      <c r="AD605" s="13">
        <f>IF(AE605=0, Model!$B$19, 0 )</f>
        <v>0</v>
      </c>
      <c r="AE605" s="51">
        <f>IF(AE604+AB604-AB605&lt;Model!$B$19*Model!$B$18, AE604+AB604-AB605,  0)</f>
        <v>317.22734385995204</v>
      </c>
      <c r="AF605" s="13">
        <f t="shared" si="188"/>
        <v>30.150000000000293</v>
      </c>
      <c r="AG605" s="50">
        <f t="shared" si="189"/>
        <v>0.41758960410837931</v>
      </c>
    </row>
    <row r="606" spans="2:33" x14ac:dyDescent="0.25">
      <c r="B606" s="15">
        <f t="shared" si="190"/>
        <v>30.200000000000294</v>
      </c>
      <c r="C606" s="15">
        <f>B606+Model!$B$4</f>
        <v>32.200000000000294</v>
      </c>
      <c r="D606" s="15">
        <f t="shared" si="191"/>
        <v>2</v>
      </c>
      <c r="E606" s="15">
        <f t="shared" si="177"/>
        <v>8.2000000000002942</v>
      </c>
      <c r="F606" s="16">
        <f>IF(AB606&gt;0, VLOOKUP(B606,Model!$A$40:$B$60, 2), 0)</f>
        <v>300</v>
      </c>
      <c r="G606" s="15">
        <f>IF(AB606&gt;0, VLOOKUP(B606,Model!$A$39:$C$58, 3), 0)</f>
        <v>1</v>
      </c>
      <c r="H606" s="15">
        <f t="shared" si="178"/>
        <v>97</v>
      </c>
      <c r="I606" s="45">
        <f>Model!$B$21*EXP((-0.029*9.81*F606)/(8.31*(273+J606)))</f>
        <v>100357.4491247143</v>
      </c>
      <c r="J606" s="15">
        <f>IF(Model!$B$31="Summer",  IF(F606&lt;=2000,  Model!$B$20-Model!$B$35*F606/1000,  IF(F606&lt;Model!$B$36,  Model!$B$33-6.5*F606/1000,  Model!$B$38)),     IF(F606&lt;=2000,  Model!$B$20-Model!$B$35*F606/1000,  IF(F606&lt;Model!$B$36,  Model!$B$33-5.4*F606/1000,   Model!$B$38)))</f>
        <v>-19.088750000000001</v>
      </c>
      <c r="K606" s="15">
        <f t="shared" si="193"/>
        <v>253.91125</v>
      </c>
      <c r="L606" s="45">
        <f>IF(AB605-AA605*(B606-B605)&gt;0, L605-Y605*(B606-B605)*3600-AD606*Model!$B$16, 0)</f>
        <v>590.78352042925621</v>
      </c>
      <c r="M606" s="56">
        <f t="shared" si="180"/>
        <v>11.846720593357873</v>
      </c>
      <c r="N606" s="56">
        <f>Model!$B$13*I606*K606/(Model!$B$13*I606-L606*287*K606)</f>
        <v>284.84672059335787</v>
      </c>
      <c r="O606" s="56">
        <f t="shared" si="181"/>
        <v>269.37898529667893</v>
      </c>
      <c r="P606" s="56">
        <f t="shared" si="182"/>
        <v>-0.73766372985529483</v>
      </c>
      <c r="Q606" s="62">
        <f t="shared" si="194"/>
        <v>2.3742907956064204E-2</v>
      </c>
      <c r="R606" s="33">
        <f t="shared" si="195"/>
        <v>1.3223414470854608E-5</v>
      </c>
      <c r="S606" s="45">
        <f>0.37*Model!$B$10*(Q606^2*(N606-K606)*I606/(R606*O606^2))^0.33333*(N606-K606)</f>
        <v>168990.44923969745</v>
      </c>
      <c r="T606" s="50">
        <f>Model!$B$32+(90-Model!$B$6)*SIN(RADIANS(-15*(E606+6)))</f>
        <v>12.191631164543878</v>
      </c>
      <c r="U606" s="45">
        <f t="shared" si="184"/>
        <v>12.191631164543878</v>
      </c>
      <c r="V606" s="50">
        <f t="shared" si="185"/>
        <v>4.7352514030148356</v>
      </c>
      <c r="W606" s="45">
        <f t="shared" si="186"/>
        <v>448.74461498561493</v>
      </c>
      <c r="X606" s="45">
        <f>0.3*W606*Model!$B$9</f>
        <v>40649.370770244808</v>
      </c>
      <c r="Y606" s="33">
        <f>(S606-X606)/Model!$B$11</f>
        <v>2.7532141686035108E-3</v>
      </c>
      <c r="Z606" s="45">
        <f t="shared" si="187"/>
        <v>24.05424149893075</v>
      </c>
      <c r="AA606" s="56">
        <f>Y606/Model!$B$12*3600</f>
        <v>17.825765041091028</v>
      </c>
      <c r="AB606" s="50">
        <f t="shared" si="192"/>
        <v>125.50428565128301</v>
      </c>
      <c r="AC606" s="50">
        <f t="shared" si="196"/>
        <v>1674.495714348717</v>
      </c>
      <c r="AD606" s="15">
        <f>IF(AE606=0, Model!$B$19, 0 )</f>
        <v>0</v>
      </c>
      <c r="AE606" s="50">
        <f>IF(AE605+AB605-AB606&lt;Model!$B$19*Model!$B$18, AE605+AB605-AB606,  0)</f>
        <v>318.13028805483054</v>
      </c>
      <c r="AF606" s="15">
        <f t="shared" si="188"/>
        <v>30.200000000000294</v>
      </c>
      <c r="AG606" s="50">
        <f t="shared" si="189"/>
        <v>0.36883186492764741</v>
      </c>
    </row>
    <row r="607" spans="2:33" x14ac:dyDescent="0.25">
      <c r="B607" s="13">
        <f t="shared" si="190"/>
        <v>30.250000000000295</v>
      </c>
      <c r="C607" s="13">
        <f>B607+Model!$B$4</f>
        <v>32.250000000000298</v>
      </c>
      <c r="D607" s="13">
        <f t="shared" si="191"/>
        <v>2</v>
      </c>
      <c r="E607" s="13">
        <f t="shared" si="177"/>
        <v>8.2500000000002984</v>
      </c>
      <c r="F607" s="14">
        <f>IF(AB607&gt;0, VLOOKUP(B607,Model!$A$40:$B$60, 2), 0)</f>
        <v>300</v>
      </c>
      <c r="G607" s="13">
        <f>IF(AB607&gt;0, VLOOKUP(B607,Model!$A$39:$C$58, 3), 0)</f>
        <v>1</v>
      </c>
      <c r="H607" s="13">
        <f t="shared" si="178"/>
        <v>97</v>
      </c>
      <c r="I607" s="46">
        <f>Model!$B$21*EXP((-0.029*9.81*F607)/(8.31*(273+J607)))</f>
        <v>100357.4491247143</v>
      </c>
      <c r="J607" s="13">
        <f>IF(Model!$B$31="Summer",  IF(F607&lt;=2000,  Model!$B$20-Model!$B$35*F607/1000,  IF(F607&lt;Model!$B$36,  Model!$B$33-6.5*F607/1000,  Model!$B$38)),     IF(F607&lt;=2000,  Model!$B$20-Model!$B$35*F607/1000,  IF(F607&lt;Model!$B$36,  Model!$B$33-5.4*F607/1000,   Model!$B$38)))</f>
        <v>-19.088750000000001</v>
      </c>
      <c r="K607" s="13">
        <f t="shared" si="193"/>
        <v>253.91125</v>
      </c>
      <c r="L607" s="46">
        <f>IF(AB606-AA606*(B607-B606)&gt;0, L606-Y606*(B607-B606)*3600-AD607*Model!$B$16, 0)</f>
        <v>590.28794187890753</v>
      </c>
      <c r="M607" s="57">
        <f t="shared" si="180"/>
        <v>11.817611696157428</v>
      </c>
      <c r="N607" s="57">
        <f>Model!$B$13*I607*K607/(Model!$B$13*I607-L607*287*K607)</f>
        <v>284.81761169615743</v>
      </c>
      <c r="O607" s="57">
        <f t="shared" si="181"/>
        <v>269.36443084807871</v>
      </c>
      <c r="P607" s="57">
        <f t="shared" si="182"/>
        <v>-0.64393838535052028</v>
      </c>
      <c r="Q607" s="63">
        <f t="shared" si="194"/>
        <v>2.3741874590213589E-2</v>
      </c>
      <c r="R607" s="17">
        <f t="shared" si="195"/>
        <v>1.3221900808200184E-5</v>
      </c>
      <c r="S607" s="46">
        <f>0.37*Model!$B$10*(Q607^2*(N607-K607)*I607/(R607*O607^2))^0.33333*(N607-K607)</f>
        <v>168786.08903267948</v>
      </c>
      <c r="T607" s="51">
        <f>Model!$B$32+(90-Model!$B$6)*SIN(RADIANS(-15*(E607+6)))</f>
        <v>12.574223094704031</v>
      </c>
      <c r="U607" s="46">
        <f t="shared" si="184"/>
        <v>12.574223094704031</v>
      </c>
      <c r="V607" s="51">
        <f t="shared" si="185"/>
        <v>4.5933894388854837</v>
      </c>
      <c r="W607" s="46">
        <f t="shared" si="186"/>
        <v>464.40481618931858</v>
      </c>
      <c r="X607" s="46">
        <f>0.3*W607*Model!$B$9</f>
        <v>42067.944506414082</v>
      </c>
      <c r="Y607" s="17">
        <f>(S607-X607)/Model!$B$11</f>
        <v>2.7183984667224154E-3</v>
      </c>
      <c r="Z607" s="46">
        <f t="shared" si="187"/>
        <v>24.923822068220986</v>
      </c>
      <c r="AA607" s="57">
        <f>Y607/Model!$B$12*3600</f>
        <v>17.600349768806613</v>
      </c>
      <c r="AB607" s="51">
        <f t="shared" si="192"/>
        <v>124.61299739922845</v>
      </c>
      <c r="AC607" s="51">
        <f t="shared" si="196"/>
        <v>1675.3870026007717</v>
      </c>
      <c r="AD607" s="13">
        <f>IF(AE607=0, Model!$B$19, 0 )</f>
        <v>0</v>
      </c>
      <c r="AE607" s="51">
        <f>IF(AE606+AB606-AB607&lt;Model!$B$19*Model!$B$18, AE606+AB606-AB607,  0)</f>
        <v>319.02157630688509</v>
      </c>
      <c r="AF607" s="13">
        <f t="shared" si="188"/>
        <v>30.250000000000295</v>
      </c>
      <c r="AG607" s="50">
        <f t="shared" si="189"/>
        <v>0.32196919267526014</v>
      </c>
    </row>
    <row r="608" spans="2:33" x14ac:dyDescent="0.25">
      <c r="B608" s="15">
        <f t="shared" si="190"/>
        <v>30.300000000000296</v>
      </c>
      <c r="C608" s="15">
        <f>B608+Model!$B$4</f>
        <v>32.300000000000296</v>
      </c>
      <c r="D608" s="15">
        <f t="shared" si="191"/>
        <v>2</v>
      </c>
      <c r="E608" s="15">
        <f t="shared" si="177"/>
        <v>8.3000000000002956</v>
      </c>
      <c r="F608" s="16">
        <f>IF(AB608&gt;0, VLOOKUP(B608,Model!$A$40:$B$60, 2), 0)</f>
        <v>300</v>
      </c>
      <c r="G608" s="15">
        <f>IF(AB608&gt;0, VLOOKUP(B608,Model!$A$39:$C$58, 3), 0)</f>
        <v>1</v>
      </c>
      <c r="H608" s="15">
        <f t="shared" si="178"/>
        <v>97</v>
      </c>
      <c r="I608" s="45">
        <f>Model!$B$21*EXP((-0.029*9.81*F608)/(8.31*(273+J608)))</f>
        <v>100357.4491247143</v>
      </c>
      <c r="J608" s="15">
        <f>IF(Model!$B$31="Summer",  IF(F608&lt;=2000,  Model!$B$20-Model!$B$35*F608/1000,  IF(F608&lt;Model!$B$36,  Model!$B$33-6.5*F608/1000,  Model!$B$38)),     IF(F608&lt;=2000,  Model!$B$20-Model!$B$35*F608/1000,  IF(F608&lt;Model!$B$36,  Model!$B$33-5.4*F608/1000,   Model!$B$38)))</f>
        <v>-19.088750000000001</v>
      </c>
      <c r="K608" s="15">
        <f t="shared" si="193"/>
        <v>253.91125</v>
      </c>
      <c r="L608" s="45">
        <f>IF(AB607-AA607*(B608-B607)&gt;0, L607-Y607*(B608-B607)*3600-AD608*Model!$B$16, 0)</f>
        <v>589.79863015489752</v>
      </c>
      <c r="M608" s="56">
        <f t="shared" si="180"/>
        <v>11.788876731197263</v>
      </c>
      <c r="N608" s="56">
        <f>Model!$B$13*I608*K608/(Model!$B$13*I608-L608*287*K608)</f>
        <v>284.78887673119726</v>
      </c>
      <c r="O608" s="56">
        <f t="shared" si="181"/>
        <v>269.35006336559866</v>
      </c>
      <c r="P608" s="56">
        <f t="shared" si="182"/>
        <v>-0.5539045264725786</v>
      </c>
      <c r="Q608" s="62">
        <f t="shared" si="194"/>
        <v>2.3740854498957506E-2</v>
      </c>
      <c r="R608" s="33">
        <f t="shared" si="195"/>
        <v>1.3220406590022261E-5</v>
      </c>
      <c r="S608" s="45">
        <f>0.37*Model!$B$10*(Q608^2*(N608-K608)*I608/(R608*O608^2))^0.33333*(N608-K608)</f>
        <v>168584.40169379435</v>
      </c>
      <c r="T608" s="50">
        <f>Model!$B$32+(90-Model!$B$6)*SIN(RADIANS(-15*(E608+6)))</f>
        <v>12.953483231387061</v>
      </c>
      <c r="U608" s="45">
        <f t="shared" si="184"/>
        <v>12.953483231387061</v>
      </c>
      <c r="V608" s="50">
        <f t="shared" si="185"/>
        <v>4.461100852337692</v>
      </c>
      <c r="W608" s="45">
        <f t="shared" si="186"/>
        <v>479.50030209963847</v>
      </c>
      <c r="X608" s="45">
        <f>0.3*W608*Model!$B$9</f>
        <v>43435.363709305835</v>
      </c>
      <c r="Y608" s="33">
        <f>(S608-X608)/Model!$B$11</f>
        <v>2.6847374876003112E-3</v>
      </c>
      <c r="Z608" s="45">
        <f t="shared" si="187"/>
        <v>25.764758348283596</v>
      </c>
      <c r="AA608" s="56">
        <f>Y608/Model!$B$12*3600</f>
        <v>17.38241078253877</v>
      </c>
      <c r="AB608" s="50">
        <f t="shared" si="192"/>
        <v>123.7329799107881</v>
      </c>
      <c r="AC608" s="50">
        <f t="shared" si="196"/>
        <v>1676.2670200892119</v>
      </c>
      <c r="AD608" s="15">
        <f>IF(AE608=0, Model!$B$19, 0 )</f>
        <v>0</v>
      </c>
      <c r="AE608" s="50">
        <f>IF(AE607+AB607-AB608&lt;Model!$B$19*Model!$B$18, AE607+AB607-AB608,  0)</f>
        <v>319.90159379532543</v>
      </c>
      <c r="AF608" s="15">
        <f t="shared" si="188"/>
        <v>30.300000000000296</v>
      </c>
      <c r="AG608" s="50">
        <f t="shared" si="189"/>
        <v>0.2769522632362893</v>
      </c>
    </row>
    <row r="609" spans="2:33" x14ac:dyDescent="0.25">
      <c r="B609" s="13">
        <f t="shared" si="190"/>
        <v>30.350000000000296</v>
      </c>
      <c r="C609" s="13">
        <f>B609+Model!$B$4</f>
        <v>32.350000000000293</v>
      </c>
      <c r="D609" s="13">
        <f t="shared" si="191"/>
        <v>2</v>
      </c>
      <c r="E609" s="13">
        <f t="shared" si="177"/>
        <v>8.3500000000002927</v>
      </c>
      <c r="F609" s="14">
        <f>IF(AB609&gt;0, VLOOKUP(B609,Model!$A$40:$B$60, 2), 0)</f>
        <v>300</v>
      </c>
      <c r="G609" s="13">
        <f>IF(AB609&gt;0, VLOOKUP(B609,Model!$A$39:$C$58, 3), 0)</f>
        <v>1</v>
      </c>
      <c r="H609" s="13">
        <f t="shared" si="178"/>
        <v>97</v>
      </c>
      <c r="I609" s="46">
        <f>Model!$B$21*EXP((-0.029*9.81*F609)/(8.31*(273+J609)))</f>
        <v>100357.4491247143</v>
      </c>
      <c r="J609" s="13">
        <f>IF(Model!$B$31="Summer",  IF(F609&lt;=2000,  Model!$B$20-Model!$B$35*F609/1000,  IF(F609&lt;Model!$B$36,  Model!$B$33-6.5*F609/1000,  Model!$B$38)),     IF(F609&lt;=2000,  Model!$B$20-Model!$B$35*F609/1000,  IF(F609&lt;Model!$B$36,  Model!$B$33-5.4*F609/1000,   Model!$B$38)))</f>
        <v>-19.088750000000001</v>
      </c>
      <c r="K609" s="13">
        <f t="shared" si="193"/>
        <v>253.91125</v>
      </c>
      <c r="L609" s="46">
        <f>IF(AB608-AA608*(B609-B608)&gt;0, L608-Y608*(B609-B608)*3600-AD609*Model!$B$16, 0)</f>
        <v>589.3153774071294</v>
      </c>
      <c r="M609" s="57">
        <f t="shared" si="180"/>
        <v>11.760503271543769</v>
      </c>
      <c r="N609" s="57">
        <f>Model!$B$13*I609*K609/(Model!$B$13*I609-L609*287*K609)</f>
        <v>284.76050327154377</v>
      </c>
      <c r="O609" s="57">
        <f t="shared" si="181"/>
        <v>269.33587663577191</v>
      </c>
      <c r="P609" s="57">
        <f t="shared" si="182"/>
        <v>-0.46745468356385977</v>
      </c>
      <c r="Q609" s="63">
        <f t="shared" si="194"/>
        <v>2.3739847241139807E-2</v>
      </c>
      <c r="R609" s="17">
        <f t="shared" si="195"/>
        <v>1.3218931170120277E-5</v>
      </c>
      <c r="S609" s="46">
        <f>0.37*Model!$B$10*(Q609^2*(N609-K609)*I609/(R609*O609^2))^0.33333*(N609-K609)</f>
        <v>168385.2982256948</v>
      </c>
      <c r="T609" s="51">
        <f>Model!$B$32+(90-Model!$B$6)*SIN(RADIANS(-15*(E609+6)))</f>
        <v>13.32934659032103</v>
      </c>
      <c r="U609" s="46">
        <f t="shared" si="184"/>
        <v>13.32934659032103</v>
      </c>
      <c r="V609" s="51">
        <f t="shared" si="185"/>
        <v>4.3374884568309122</v>
      </c>
      <c r="W609" s="46">
        <f t="shared" si="186"/>
        <v>494.04893569240687</v>
      </c>
      <c r="X609" s="46">
        <f>0.3*W609*Model!$B$9</f>
        <v>44753.24649020972</v>
      </c>
      <c r="Y609" s="17">
        <f>(S609-X609)/Model!$B$11</f>
        <v>2.6521946097926652E-3</v>
      </c>
      <c r="Z609" s="46">
        <f t="shared" si="187"/>
        <v>26.577882369650123</v>
      </c>
      <c r="AA609" s="57">
        <f>Y609/Model!$B$12*3600</f>
        <v>17.171710975682021</v>
      </c>
      <c r="AB609" s="51">
        <f t="shared" si="192"/>
        <v>122.86385937166115</v>
      </c>
      <c r="AC609" s="51">
        <f t="shared" si="196"/>
        <v>1677.1361406283388</v>
      </c>
      <c r="AD609" s="13">
        <f>IF(AE609=0, Model!$B$19, 0 )</f>
        <v>0</v>
      </c>
      <c r="AE609" s="51">
        <f>IF(AE608+AB608-AB609&lt;Model!$B$19*Model!$B$18, AE608+AB608-AB609,  0)</f>
        <v>320.77071433445241</v>
      </c>
      <c r="AF609" s="13">
        <f t="shared" si="188"/>
        <v>30.350000000000296</v>
      </c>
      <c r="AG609" s="50">
        <f t="shared" si="189"/>
        <v>0.23372734178192989</v>
      </c>
    </row>
    <row r="610" spans="2:33" x14ac:dyDescent="0.25">
      <c r="B610" s="15">
        <f t="shared" si="190"/>
        <v>30.400000000000297</v>
      </c>
      <c r="C610" s="15">
        <f>B610+Model!$B$4</f>
        <v>32.400000000000297</v>
      </c>
      <c r="D610" s="15">
        <f t="shared" si="191"/>
        <v>2</v>
      </c>
      <c r="E610" s="15">
        <f t="shared" si="177"/>
        <v>8.400000000000297</v>
      </c>
      <c r="F610" s="16">
        <f>IF(AB610&gt;0, VLOOKUP(B610,Model!$A$40:$B$60, 2), 0)</f>
        <v>300</v>
      </c>
      <c r="G610" s="15">
        <f>IF(AB610&gt;0, VLOOKUP(B610,Model!$A$39:$C$58, 3), 0)</f>
        <v>1</v>
      </c>
      <c r="H610" s="15">
        <f t="shared" si="178"/>
        <v>97</v>
      </c>
      <c r="I610" s="45">
        <f>Model!$B$21*EXP((-0.029*9.81*F610)/(8.31*(273+J610)))</f>
        <v>100357.4491247143</v>
      </c>
      <c r="J610" s="15">
        <f>IF(Model!$B$31="Summer",  IF(F610&lt;=2000,  Model!$B$20-Model!$B$35*F610/1000,  IF(F610&lt;Model!$B$36,  Model!$B$33-6.5*F610/1000,  Model!$B$38)),     IF(F610&lt;=2000,  Model!$B$20-Model!$B$35*F610/1000,  IF(F610&lt;Model!$B$36,  Model!$B$33-5.4*F610/1000,   Model!$B$38)))</f>
        <v>-19.088750000000001</v>
      </c>
      <c r="K610" s="15">
        <f t="shared" si="193"/>
        <v>253.91125</v>
      </c>
      <c r="L610" s="45">
        <f>IF(AB609-AA609*(B610-B609)&gt;0, L609-Y609*(B610-B609)*3600-AD610*Model!$B$16, 0)</f>
        <v>588.83798237736676</v>
      </c>
      <c r="M610" s="56">
        <f t="shared" si="180"/>
        <v>11.732479289766843</v>
      </c>
      <c r="N610" s="56">
        <f>Model!$B$13*I610*K610/(Model!$B$13*I610-L610*287*K610)</f>
        <v>284.73247928976684</v>
      </c>
      <c r="O610" s="56">
        <f t="shared" si="181"/>
        <v>269.32186464488342</v>
      </c>
      <c r="P610" s="56">
        <f t="shared" si="182"/>
        <v>-0.38447578383386638</v>
      </c>
      <c r="Q610" s="62">
        <f t="shared" si="194"/>
        <v>2.3738852389786722E-2</v>
      </c>
      <c r="R610" s="33">
        <f t="shared" si="195"/>
        <v>1.3217473923067874E-5</v>
      </c>
      <c r="S610" s="45">
        <f>0.37*Model!$B$10*(Q610^2*(N610-K610)*I610/(R610*O610^2))^0.33333*(N610-K610)</f>
        <v>168188.69253418935</v>
      </c>
      <c r="T610" s="50">
        <f>Model!$B$32+(90-Model!$B$6)*SIN(RADIANS(-15*(E610+6)))</f>
        <v>13.701748769254444</v>
      </c>
      <c r="U610" s="45">
        <f t="shared" si="184"/>
        <v>13.701748769254444</v>
      </c>
      <c r="V610" s="50">
        <f t="shared" si="185"/>
        <v>4.2217642190300699</v>
      </c>
      <c r="W610" s="45">
        <f t="shared" si="186"/>
        <v>508.06901607691981</v>
      </c>
      <c r="X610" s="45">
        <f>0.3*W610*Model!$B$9</f>
        <v>46023.250467409467</v>
      </c>
      <c r="Y610" s="33">
        <f>(S610-X610)/Model!$B$11</f>
        <v>2.6207324266176099E-3</v>
      </c>
      <c r="Z610" s="45">
        <f t="shared" si="187"/>
        <v>27.364057460672555</v>
      </c>
      <c r="AA610" s="56">
        <f>Y610/Model!$B$12*3600</f>
        <v>16.968008157588951</v>
      </c>
      <c r="AB610" s="50">
        <f t="shared" si="192"/>
        <v>122.00527382287703</v>
      </c>
      <c r="AC610" s="50">
        <f t="shared" si="196"/>
        <v>1677.9947261771231</v>
      </c>
      <c r="AD610" s="15">
        <f>IF(AE610=0, Model!$B$19, 0 )</f>
        <v>0</v>
      </c>
      <c r="AE610" s="50">
        <f>IF(AE609+AB609-AB610&lt;Model!$B$19*Model!$B$18, AE609+AB609-AB610,  0)</f>
        <v>321.62929988323651</v>
      </c>
      <c r="AF610" s="15">
        <f t="shared" si="188"/>
        <v>30.400000000000297</v>
      </c>
      <c r="AG610" s="50">
        <f t="shared" si="189"/>
        <v>0.19223789191693319</v>
      </c>
    </row>
    <row r="611" spans="2:33" x14ac:dyDescent="0.25">
      <c r="B611" s="13">
        <f t="shared" si="190"/>
        <v>30.450000000000298</v>
      </c>
      <c r="C611" s="13">
        <f>B611+Model!$B$4</f>
        <v>32.450000000000301</v>
      </c>
      <c r="D611" s="13">
        <f t="shared" si="191"/>
        <v>2</v>
      </c>
      <c r="E611" s="13">
        <f t="shared" ref="E611:E674" si="197">C611-24*(D611-1)</f>
        <v>8.4500000000003013</v>
      </c>
      <c r="F611" s="14">
        <f>IF(AB611&gt;0, VLOOKUP(B611,Model!$A$40:$B$60, 2), 0)</f>
        <v>300</v>
      </c>
      <c r="G611" s="13">
        <f>IF(AB611&gt;0, VLOOKUP(B611,Model!$A$39:$C$58, 3), 0)</f>
        <v>1</v>
      </c>
      <c r="H611" s="13">
        <f t="shared" si="178"/>
        <v>97</v>
      </c>
      <c r="I611" s="46">
        <f>Model!$B$21*EXP((-0.029*9.81*F611)/(8.31*(273+J611)))</f>
        <v>100357.4491247143</v>
      </c>
      <c r="J611" s="13">
        <f>IF(Model!$B$31="Summer",  IF(F611&lt;=2000,  Model!$B$20-Model!$B$35*F611/1000,  IF(F611&lt;Model!$B$36,  Model!$B$33-6.5*F611/1000,  Model!$B$38)),     IF(F611&lt;=2000,  Model!$B$20-Model!$B$35*F611/1000,  IF(F611&lt;Model!$B$36,  Model!$B$33-5.4*F611/1000,   Model!$B$38)))</f>
        <v>-19.088750000000001</v>
      </c>
      <c r="K611" s="13">
        <f t="shared" si="193"/>
        <v>253.91125</v>
      </c>
      <c r="L611" s="46">
        <f>IF(AB610-AA610*(B611-B610)&gt;0, L610-Y610*(B611-B610)*3600-AD611*Model!$B$16, 0)</f>
        <v>588.36625054057561</v>
      </c>
      <c r="M611" s="57">
        <f t="shared" si="180"/>
        <v>11.704793165547699</v>
      </c>
      <c r="N611" s="57">
        <f>Model!$B$13*I611*K611/(Model!$B$13*I611-L611*287*K611)</f>
        <v>284.7047931655477</v>
      </c>
      <c r="O611" s="57">
        <f t="shared" si="181"/>
        <v>269.30802158277385</v>
      </c>
      <c r="P611" s="57">
        <f t="shared" si="182"/>
        <v>-0.30485164338001924</v>
      </c>
      <c r="Q611" s="63">
        <f t="shared" si="194"/>
        <v>2.3737869532376943E-2</v>
      </c>
      <c r="R611" s="17">
        <f t="shared" si="195"/>
        <v>1.321603424460848E-5</v>
      </c>
      <c r="S611" s="46">
        <f>0.37*Model!$B$10*(Q611^2*(N611-K611)*I611/(R611*O611^2))^0.33333*(N611-K611)</f>
        <v>167994.50147616348</v>
      </c>
      <c r="T611" s="51">
        <f>Model!$B$32+(90-Model!$B$6)*SIN(RADIANS(-15*(E611+6)))</f>
        <v>14.070625958990959</v>
      </c>
      <c r="U611" s="46">
        <f t="shared" si="184"/>
        <v>14.070625958990959</v>
      </c>
      <c r="V611" s="51">
        <f t="shared" si="185"/>
        <v>4.11323316471697</v>
      </c>
      <c r="W611" s="46">
        <f t="shared" si="186"/>
        <v>521.5789906182539</v>
      </c>
      <c r="X611" s="46">
        <f>0.3*W611*Model!$B$9</f>
        <v>47247.046688885821</v>
      </c>
      <c r="Y611" s="17">
        <f>(S611-X611)/Model!$B$11</f>
        <v>2.5903133066025453E-3</v>
      </c>
      <c r="Z611" s="46">
        <f t="shared" si="187"/>
        <v>28.124162561111941</v>
      </c>
      <c r="AA611" s="57">
        <f>Y611/Model!$B$12*3600</f>
        <v>16.771058682198039</v>
      </c>
      <c r="AB611" s="51">
        <f t="shared" si="192"/>
        <v>121.15687341499758</v>
      </c>
      <c r="AC611" s="51">
        <f t="shared" si="196"/>
        <v>1678.8431265850024</v>
      </c>
      <c r="AD611" s="13">
        <f>IF(AE611=0, Model!$B$19, 0 )</f>
        <v>0</v>
      </c>
      <c r="AE611" s="51">
        <f>IF(AE610+AB610-AB611&lt;Model!$B$19*Model!$B$18, AE610+AB610-AB611,  0)</f>
        <v>322.47770029111598</v>
      </c>
      <c r="AF611" s="13">
        <f t="shared" si="188"/>
        <v>30.450000000000298</v>
      </c>
      <c r="AG611" s="50">
        <f t="shared" si="189"/>
        <v>0.15242582169000962</v>
      </c>
    </row>
    <row r="612" spans="2:33" x14ac:dyDescent="0.25">
      <c r="B612" s="15">
        <f t="shared" si="190"/>
        <v>30.500000000000298</v>
      </c>
      <c r="C612" s="15">
        <f>B612+Model!$B$4</f>
        <v>32.500000000000298</v>
      </c>
      <c r="D612" s="15">
        <f t="shared" si="191"/>
        <v>2</v>
      </c>
      <c r="E612" s="15">
        <f t="shared" si="197"/>
        <v>8.5000000000002984</v>
      </c>
      <c r="F612" s="16">
        <f>IF(AB612&gt;0, VLOOKUP(B612,Model!$A$40:$B$60, 2), 0)</f>
        <v>300</v>
      </c>
      <c r="G612" s="15">
        <f>IF(AB612&gt;0, VLOOKUP(B612,Model!$A$39:$C$58, 3), 0)</f>
        <v>1</v>
      </c>
      <c r="H612" s="15">
        <f t="shared" si="178"/>
        <v>97</v>
      </c>
      <c r="I612" s="45">
        <f>Model!$B$21*EXP((-0.029*9.81*F612)/(8.31*(273+J612)))</f>
        <v>100357.4491247143</v>
      </c>
      <c r="J612" s="15">
        <f>IF(Model!$B$31="Summer",  IF(F612&lt;=2000,  Model!$B$20-Model!$B$35*F612/1000,  IF(F612&lt;Model!$B$36,  Model!$B$33-6.5*F612/1000,  Model!$B$38)),     IF(F612&lt;=2000,  Model!$B$20-Model!$B$35*F612/1000,  IF(F612&lt;Model!$B$36,  Model!$B$33-5.4*F612/1000,   Model!$B$38)))</f>
        <v>-19.088750000000001</v>
      </c>
      <c r="K612" s="15">
        <f t="shared" si="193"/>
        <v>253.91125</v>
      </c>
      <c r="L612" s="45">
        <f>IF(AB611-AA611*(B612-B611)&gt;0, L611-Y611*(B612-B611)*3600-AD612*Model!$B$16, 0)</f>
        <v>587.89999414538715</v>
      </c>
      <c r="M612" s="56">
        <f t="shared" si="180"/>
        <v>11.677433687381551</v>
      </c>
      <c r="N612" s="56">
        <f>Model!$B$13*I612*K612/(Model!$B$13*I612-L612*287*K612)</f>
        <v>284.67743368738155</v>
      </c>
      <c r="O612" s="56">
        <f t="shared" si="181"/>
        <v>269.29434184369075</v>
      </c>
      <c r="P612" s="56">
        <f t="shared" si="182"/>
        <v>-0.2284648855208653</v>
      </c>
      <c r="Q612" s="62">
        <f t="shared" si="194"/>
        <v>2.3736898270902043E-2</v>
      </c>
      <c r="R612" s="33">
        <f t="shared" si="195"/>
        <v>1.3214611551743837E-5</v>
      </c>
      <c r="S612" s="45">
        <f>0.37*Model!$B$10*(Q612^2*(N612-K612)*I612/(R612*O612^2))^0.33333*(N612-K612)</f>
        <v>167802.64486620197</v>
      </c>
      <c r="T612" s="50">
        <f>Model!$B$32+(90-Model!$B$6)*SIN(RADIANS(-15*(E612+6)))</f>
        <v>14.435914954323067</v>
      </c>
      <c r="U612" s="45">
        <f t="shared" si="184"/>
        <v>14.435914954323067</v>
      </c>
      <c r="V612" s="50">
        <f t="shared" si="185"/>
        <v>4.0112800512882938</v>
      </c>
      <c r="W612" s="45">
        <f t="shared" si="186"/>
        <v>534.59723533984356</v>
      </c>
      <c r="X612" s="45">
        <f>0.3*W612*Model!$B$9</f>
        <v>48426.299740162314</v>
      </c>
      <c r="Y612" s="33">
        <f>(S612-X612)/Model!$B$11</f>
        <v>2.5608998203591046E-3</v>
      </c>
      <c r="Z612" s="45">
        <f t="shared" si="187"/>
        <v>28.859080128787717</v>
      </c>
      <c r="AA612" s="56">
        <f>Y612/Model!$B$12*3600</f>
        <v>16.580620211847986</v>
      </c>
      <c r="AB612" s="50">
        <f t="shared" si="192"/>
        <v>120.31832048088766</v>
      </c>
      <c r="AC612" s="50">
        <f t="shared" si="196"/>
        <v>1679.6816795191123</v>
      </c>
      <c r="AD612" s="15">
        <f>IF(AE612=0, Model!$B$19, 0 )</f>
        <v>0</v>
      </c>
      <c r="AE612" s="50">
        <f>IF(AE611+AB611-AB612&lt;Model!$B$19*Model!$B$18, AE611+AB611-AB612,  0)</f>
        <v>323.31625322522586</v>
      </c>
      <c r="AF612" s="15">
        <f t="shared" si="188"/>
        <v>30.500000000000298</v>
      </c>
      <c r="AG612" s="50">
        <f t="shared" si="189"/>
        <v>0.11423244276043265</v>
      </c>
    </row>
    <row r="613" spans="2:33" x14ac:dyDescent="0.25">
      <c r="B613" s="13">
        <f t="shared" si="190"/>
        <v>30.550000000000299</v>
      </c>
      <c r="C613" s="13">
        <f>B613+Model!$B$4</f>
        <v>32.550000000000296</v>
      </c>
      <c r="D613" s="13">
        <f t="shared" si="191"/>
        <v>2</v>
      </c>
      <c r="E613" s="13">
        <f t="shared" si="197"/>
        <v>8.5500000000002956</v>
      </c>
      <c r="F613" s="14">
        <f>IF(AB613&gt;0, VLOOKUP(B613,Model!$A$40:$B$60, 2), 0)</f>
        <v>300</v>
      </c>
      <c r="G613" s="13">
        <f>IF(AB613&gt;0, VLOOKUP(B613,Model!$A$39:$C$58, 3), 0)</f>
        <v>1</v>
      </c>
      <c r="H613" s="13">
        <f t="shared" si="178"/>
        <v>97</v>
      </c>
      <c r="I613" s="46">
        <f>Model!$B$21*EXP((-0.029*9.81*F613)/(8.31*(273+J613)))</f>
        <v>100357.4491247143</v>
      </c>
      <c r="J613" s="13">
        <f>IF(Model!$B$31="Summer",  IF(F613&lt;=2000,  Model!$B$20-Model!$B$35*F613/1000,  IF(F613&lt;Model!$B$36,  Model!$B$33-6.5*F613/1000,  Model!$B$38)),     IF(F613&lt;=2000,  Model!$B$20-Model!$B$35*F613/1000,  IF(F613&lt;Model!$B$36,  Model!$B$33-5.4*F613/1000,   Model!$B$38)))</f>
        <v>-19.088750000000001</v>
      </c>
      <c r="K613" s="13">
        <f t="shared" si="193"/>
        <v>253.91125</v>
      </c>
      <c r="L613" s="46">
        <f>IF(AB612-AA612*(B613-B612)&gt;0, L612-Y612*(B613-B612)*3600-AD613*Model!$B$16, 0)</f>
        <v>587.43903217772254</v>
      </c>
      <c r="M613" s="57">
        <f t="shared" si="180"/>
        <v>11.650390049795362</v>
      </c>
      <c r="N613" s="57">
        <f>Model!$B$13*I613*K613/(Model!$B$13*I613-L613*287*K613)</f>
        <v>284.65039004979536</v>
      </c>
      <c r="O613" s="57">
        <f t="shared" si="181"/>
        <v>269.28082002489771</v>
      </c>
      <c r="P613" s="57">
        <f t="shared" si="182"/>
        <v>-0.15519840617002911</v>
      </c>
      <c r="Q613" s="63">
        <f t="shared" si="194"/>
        <v>2.3735938221767738E-2</v>
      </c>
      <c r="R613" s="17">
        <f t="shared" si="195"/>
        <v>1.3213205282589361E-5</v>
      </c>
      <c r="S613" s="46">
        <f>0.37*Model!$B$10*(Q613^2*(N613-K613)*I613/(R613*O613^2))^0.33333*(N613-K613)</f>
        <v>167613.04545192726</v>
      </c>
      <c r="T613" s="51">
        <f>Model!$B$32+(90-Model!$B$6)*SIN(RADIANS(-15*(E613+6)))</f>
        <v>14.797553164861991</v>
      </c>
      <c r="U613" s="46">
        <f t="shared" si="184"/>
        <v>14.797553164861991</v>
      </c>
      <c r="V613" s="51">
        <f t="shared" si="185"/>
        <v>3.9153582674777403</v>
      </c>
      <c r="W613" s="46">
        <f t="shared" si="186"/>
        <v>547.14188919047899</v>
      </c>
      <c r="X613" s="46">
        <f>0.3*W613*Model!$B$9</f>
        <v>49562.652731440452</v>
      </c>
      <c r="Y613" s="17">
        <f>(S613-X613)/Model!$B$11</f>
        <v>2.5324550621149159E-3</v>
      </c>
      <c r="Z613" s="46">
        <f t="shared" si="187"/>
        <v>29.569686892692019</v>
      </c>
      <c r="AA613" s="57">
        <f>Y613/Model!$B$12*3600</f>
        <v>16.396453799044462</v>
      </c>
      <c r="AB613" s="51">
        <f t="shared" si="192"/>
        <v>119.48928947029525</v>
      </c>
      <c r="AC613" s="51">
        <f t="shared" si="196"/>
        <v>1680.5107105297047</v>
      </c>
      <c r="AD613" s="13">
        <f>IF(AE613=0, Model!$B$19, 0 )</f>
        <v>0</v>
      </c>
      <c r="AE613" s="51">
        <f>IF(AE612+AB612-AB613&lt;Model!$B$19*Model!$B$18, AE612+AB612-AB613,  0)</f>
        <v>324.14528423581828</v>
      </c>
      <c r="AF613" s="13">
        <f t="shared" si="188"/>
        <v>30.550000000000299</v>
      </c>
      <c r="AG613" s="50">
        <f t="shared" si="189"/>
        <v>7.7599203085014556E-2</v>
      </c>
    </row>
    <row r="614" spans="2:33" x14ac:dyDescent="0.25">
      <c r="B614" s="15">
        <f t="shared" si="190"/>
        <v>30.6000000000003</v>
      </c>
      <c r="C614" s="15">
        <f>B614+Model!$B$4</f>
        <v>32.6000000000003</v>
      </c>
      <c r="D614" s="15">
        <f t="shared" si="191"/>
        <v>2</v>
      </c>
      <c r="E614" s="15">
        <f t="shared" si="197"/>
        <v>8.6000000000002998</v>
      </c>
      <c r="F614" s="16">
        <f>IF(AB614&gt;0, VLOOKUP(B614,Model!$A$40:$B$60, 2), 0)</f>
        <v>300</v>
      </c>
      <c r="G614" s="15">
        <f>IF(AB614&gt;0, VLOOKUP(B614,Model!$A$39:$C$58, 3), 0)</f>
        <v>1</v>
      </c>
      <c r="H614" s="15">
        <f t="shared" si="178"/>
        <v>97</v>
      </c>
      <c r="I614" s="45">
        <f>Model!$B$21*EXP((-0.029*9.81*F614)/(8.31*(273+J614)))</f>
        <v>100357.4491247143</v>
      </c>
      <c r="J614" s="15">
        <f>IF(Model!$B$31="Summer",  IF(F614&lt;=2000,  Model!$B$20-Model!$B$35*F614/1000,  IF(F614&lt;Model!$B$36,  Model!$B$33-6.5*F614/1000,  Model!$B$38)),     IF(F614&lt;=2000,  Model!$B$20-Model!$B$35*F614/1000,  IF(F614&lt;Model!$B$36,  Model!$B$33-5.4*F614/1000,   Model!$B$38)))</f>
        <v>-19.088750000000001</v>
      </c>
      <c r="K614" s="15">
        <f t="shared" si="193"/>
        <v>253.91125</v>
      </c>
      <c r="L614" s="45">
        <f>IF(AB613-AA613*(B614-B613)&gt;0, L613-Y613*(B614-B613)*3600-AD614*Model!$B$16, 0)</f>
        <v>586.9831902665419</v>
      </c>
      <c r="M614" s="56">
        <f t="shared" si="180"/>
        <v>11.623651847194083</v>
      </c>
      <c r="N614" s="56">
        <f>Model!$B$13*I614*K614/(Model!$B$13*I614-L614*287*K614)</f>
        <v>284.62365184719408</v>
      </c>
      <c r="O614" s="56">
        <f t="shared" si="181"/>
        <v>269.26745092359704</v>
      </c>
      <c r="P614" s="56">
        <f t="shared" si="182"/>
        <v>-8.4936481799765762E-2</v>
      </c>
      <c r="Q614" s="62">
        <f t="shared" si="194"/>
        <v>2.373498901557539E-2</v>
      </c>
      <c r="R614" s="33">
        <f t="shared" si="195"/>
        <v>1.3211814896054091E-5</v>
      </c>
      <c r="S614" s="45">
        <f>0.37*Model!$B$10*(Q614^2*(N614-K614)*I614/(R614*O614^2))^0.33333*(N614-K614)</f>
        <v>167425.62886589958</v>
      </c>
      <c r="T614" s="50">
        <f>Model!$B$32+(90-Model!$B$6)*SIN(RADIANS(-15*(E614+6)))</f>
        <v>15.155478625762118</v>
      </c>
      <c r="U614" s="45">
        <f t="shared" si="184"/>
        <v>15.155478625762118</v>
      </c>
      <c r="V614" s="50">
        <f t="shared" si="185"/>
        <v>3.8249805378580737</v>
      </c>
      <c r="W614" s="45">
        <f t="shared" si="186"/>
        <v>559.23073076180106</v>
      </c>
      <c r="X614" s="45">
        <f>0.3*W614*Model!$B$9</f>
        <v>50657.716130098001</v>
      </c>
      <c r="Y614" s="33">
        <f>(S614-X614)/Model!$B$11</f>
        <v>2.5049428882505968E-3</v>
      </c>
      <c r="Z614" s="45">
        <f t="shared" si="187"/>
        <v>30.256846859851166</v>
      </c>
      <c r="AA614" s="56">
        <f>Y614/Model!$B$12*3600</f>
        <v>16.218325430874778</v>
      </c>
      <c r="AB614" s="50">
        <f t="shared" si="192"/>
        <v>118.66946678034301</v>
      </c>
      <c r="AC614" s="50">
        <f t="shared" si="196"/>
        <v>1681.3305332196569</v>
      </c>
      <c r="AD614" s="15">
        <f>IF(AE614=0, Model!$B$19, 0 )</f>
        <v>0</v>
      </c>
      <c r="AE614" s="50">
        <f>IF(AE613+AB613-AB614&lt;Model!$B$19*Model!$B$18, AE613+AB613-AB614,  0)</f>
        <v>324.96510692577056</v>
      </c>
      <c r="AF614" s="15">
        <f t="shared" si="188"/>
        <v>30.6000000000003</v>
      </c>
      <c r="AG614" s="50">
        <f t="shared" si="189"/>
        <v>4.2468240899882881E-2</v>
      </c>
    </row>
    <row r="615" spans="2:33" x14ac:dyDescent="0.25">
      <c r="B615" s="13">
        <f t="shared" si="190"/>
        <v>30.650000000000301</v>
      </c>
      <c r="C615" s="13">
        <f>B615+Model!$B$4</f>
        <v>32.650000000000304</v>
      </c>
      <c r="D615" s="13">
        <f t="shared" si="191"/>
        <v>2</v>
      </c>
      <c r="E615" s="13">
        <f t="shared" si="197"/>
        <v>8.6500000000003041</v>
      </c>
      <c r="F615" s="14">
        <f>IF(AB615&gt;0, VLOOKUP(B615,Model!$A$40:$B$60, 2), 0)</f>
        <v>300</v>
      </c>
      <c r="G615" s="13">
        <f>IF(AB615&gt;0, VLOOKUP(B615,Model!$A$39:$C$58, 3), 0)</f>
        <v>1</v>
      </c>
      <c r="H615" s="13">
        <f t="shared" si="178"/>
        <v>97</v>
      </c>
      <c r="I615" s="46">
        <f>Model!$B$21*EXP((-0.029*9.81*F615)/(8.31*(273+J615)))</f>
        <v>100357.4491247143</v>
      </c>
      <c r="J615" s="13">
        <f>IF(Model!$B$31="Summer",  IF(F615&lt;=2000,  Model!$B$20-Model!$B$35*F615/1000,  IF(F615&lt;Model!$B$36,  Model!$B$33-6.5*F615/1000,  Model!$B$38)),     IF(F615&lt;=2000,  Model!$B$20-Model!$B$35*F615/1000,  IF(F615&lt;Model!$B$36,  Model!$B$33-5.4*F615/1000,   Model!$B$38)))</f>
        <v>-19.088750000000001</v>
      </c>
      <c r="K615" s="13">
        <f t="shared" si="193"/>
        <v>253.91125</v>
      </c>
      <c r="L615" s="46">
        <f>IF(AB614-AA614*(B615-B614)&gt;0, L614-Y614*(B615-B614)*3600-AD615*Model!$B$16, 0)</f>
        <v>586.53230054665676</v>
      </c>
      <c r="M615" s="57">
        <f t="shared" si="180"/>
        <v>11.597209065218408</v>
      </c>
      <c r="N615" s="57">
        <f>Model!$B$13*I615*K615/(Model!$B$13*I615-L615*287*K615)</f>
        <v>284.59720906521841</v>
      </c>
      <c r="O615" s="57">
        <f t="shared" si="181"/>
        <v>269.2542295326092</v>
      </c>
      <c r="P615" s="57">
        <f t="shared" si="182"/>
        <v>-1.7565595645456344E-2</v>
      </c>
      <c r="Q615" s="63">
        <f t="shared" si="194"/>
        <v>2.3734050296815253E-2</v>
      </c>
      <c r="R615" s="17">
        <f t="shared" si="195"/>
        <v>1.3210439871391356E-5</v>
      </c>
      <c r="S615" s="46">
        <f>0.37*Model!$B$10*(Q615^2*(N615-K615)*I615/(R615*O615^2))^0.33333*(N615-K615)</f>
        <v>167240.32356029292</v>
      </c>
      <c r="T615" s="51">
        <f>Model!$B$32+(90-Model!$B$6)*SIN(RADIANS(-15*(E615+6)))</f>
        <v>15.509630008338277</v>
      </c>
      <c r="U615" s="46">
        <f t="shared" si="184"/>
        <v>15.509630008338277</v>
      </c>
      <c r="V615" s="51">
        <f t="shared" si="185"/>
        <v>3.7397110988369731</v>
      </c>
      <c r="W615" s="46">
        <f t="shared" si="186"/>
        <v>570.88108841371957</v>
      </c>
      <c r="X615" s="46">
        <f>0.3*W615*Model!$B$9</f>
        <v>51713.059619432068</v>
      </c>
      <c r="Y615" s="17">
        <f>(S615-X615)/Model!$B$11</f>
        <v>2.4783280905472669E-3</v>
      </c>
      <c r="Z615" s="46">
        <f t="shared" si="187"/>
        <v>30.921406105022658</v>
      </c>
      <c r="AA615" s="57">
        <f>Y615/Model!$B$12*3600</f>
        <v>16.046007150703947</v>
      </c>
      <c r="AB615" s="51">
        <f t="shared" si="192"/>
        <v>117.85855050879927</v>
      </c>
      <c r="AC615" s="51">
        <f t="shared" si="196"/>
        <v>1682.1414494912008</v>
      </c>
      <c r="AD615" s="13">
        <f>IF(AE615=0, Model!$B$19, 0 )</f>
        <v>0</v>
      </c>
      <c r="AE615" s="51">
        <f>IF(AE614+AB614-AB615&lt;Model!$B$19*Model!$B$18, AE614+AB614-AB615,  0)</f>
        <v>325.77602319731426</v>
      </c>
      <c r="AF615" s="13">
        <f t="shared" si="188"/>
        <v>30.650000000000301</v>
      </c>
      <c r="AG615" s="50">
        <f t="shared" si="189"/>
        <v>8.7827978227281722E-3</v>
      </c>
    </row>
    <row r="616" spans="2:33" x14ac:dyDescent="0.25">
      <c r="B616" s="15">
        <f t="shared" si="190"/>
        <v>30.700000000000301</v>
      </c>
      <c r="C616" s="15">
        <f>B616+Model!$B$4</f>
        <v>32.700000000000301</v>
      </c>
      <c r="D616" s="15">
        <f t="shared" si="191"/>
        <v>2</v>
      </c>
      <c r="E616" s="15">
        <f t="shared" si="197"/>
        <v>8.7000000000003013</v>
      </c>
      <c r="F616" s="16">
        <f>IF(AB616&gt;0, VLOOKUP(B616,Model!$A$40:$B$60, 2), 0)</f>
        <v>300</v>
      </c>
      <c r="G616" s="15">
        <f>IF(AB616&gt;0, VLOOKUP(B616,Model!$A$39:$C$58, 3), 0)</f>
        <v>1</v>
      </c>
      <c r="H616" s="15">
        <f t="shared" si="178"/>
        <v>97</v>
      </c>
      <c r="I616" s="45">
        <f>Model!$B$21*EXP((-0.029*9.81*F616)/(8.31*(273+J616)))</f>
        <v>100357.4491247143</v>
      </c>
      <c r="J616" s="15">
        <f>IF(Model!$B$31="Summer",  IF(F616&lt;=2000,  Model!$B$20-Model!$B$35*F616/1000,  IF(F616&lt;Model!$B$36,  Model!$B$33-6.5*F616/1000,  Model!$B$38)),     IF(F616&lt;=2000,  Model!$B$20-Model!$B$35*F616/1000,  IF(F616&lt;Model!$B$36,  Model!$B$33-5.4*F616/1000,   Model!$B$38)))</f>
        <v>-19.088750000000001</v>
      </c>
      <c r="K616" s="15">
        <f t="shared" si="193"/>
        <v>253.91125</v>
      </c>
      <c r="L616" s="45">
        <f>IF(AB615-AA615*(B616-B615)&gt;0, L615-Y615*(B616-B615)*3600-AD616*Model!$B$16, 0)</f>
        <v>586.08620149035823</v>
      </c>
      <c r="M616" s="56">
        <f t="shared" si="180"/>
        <v>11.571052070301732</v>
      </c>
      <c r="N616" s="56">
        <f>Model!$B$13*I616*K616/(Model!$B$13*I616-L616*287*K616)</f>
        <v>284.57105207030173</v>
      </c>
      <c r="O616" s="56">
        <f t="shared" si="181"/>
        <v>269.24115103515089</v>
      </c>
      <c r="P616" s="56">
        <f t="shared" si="182"/>
        <v>4.7024957908996079E-2</v>
      </c>
      <c r="Q616" s="62">
        <f t="shared" si="194"/>
        <v>2.3733121723495714E-2</v>
      </c>
      <c r="R616" s="33">
        <f t="shared" si="195"/>
        <v>1.3209079707655693E-5</v>
      </c>
      <c r="S616" s="45">
        <f>0.37*Model!$B$10*(Q616^2*(N616-K616)*I616/(R616*O616^2))^0.33333*(N616-K616)</f>
        <v>167057.06072918195</v>
      </c>
      <c r="T616" s="50">
        <f>Model!$B$32+(90-Model!$B$6)*SIN(RADIANS(-15*(E616+6)))</f>
        <v>15.859946630574203</v>
      </c>
      <c r="U616" s="45">
        <f t="shared" si="184"/>
        <v>15.859946630574203</v>
      </c>
      <c r="V616" s="50">
        <f t="shared" si="185"/>
        <v>3.6591590813936645</v>
      </c>
      <c r="W616" s="45">
        <f t="shared" si="186"/>
        <v>582.10977663932044</v>
      </c>
      <c r="X616" s="45">
        <f>0.3*W616*Model!$B$9</f>
        <v>52730.20633429697</v>
      </c>
      <c r="Y616" s="33">
        <f>(S616-X616)/Model!$B$11</f>
        <v>2.4525765181783758E-3</v>
      </c>
      <c r="Z616" s="45">
        <f t="shared" si="187"/>
        <v>31.564188968808981</v>
      </c>
      <c r="AA616" s="56">
        <f>Y616/Model!$B$12*3600</f>
        <v>15.879277848014302</v>
      </c>
      <c r="AB616" s="50">
        <f t="shared" si="192"/>
        <v>117.05625015126407</v>
      </c>
      <c r="AC616" s="50">
        <f t="shared" si="196"/>
        <v>1682.9437498487359</v>
      </c>
      <c r="AD616" s="15">
        <f>IF(AE616=0, Model!$B$19, 0 )</f>
        <v>0</v>
      </c>
      <c r="AE616" s="50">
        <f>IF(AE615+AB615-AB616&lt;Model!$B$19*Model!$B$18, AE615+AB615-AB616,  0)</f>
        <v>326.57832355484948</v>
      </c>
      <c r="AF616" s="15">
        <f t="shared" si="188"/>
        <v>30.700000000000301</v>
      </c>
      <c r="AG616" s="50">
        <f t="shared" si="189"/>
        <v>0</v>
      </c>
    </row>
    <row r="617" spans="2:33" x14ac:dyDescent="0.25">
      <c r="B617" s="13">
        <f t="shared" si="190"/>
        <v>30.750000000000302</v>
      </c>
      <c r="C617" s="13">
        <f>B617+Model!$B$4</f>
        <v>32.750000000000298</v>
      </c>
      <c r="D617" s="13">
        <f t="shared" si="191"/>
        <v>2</v>
      </c>
      <c r="E617" s="13">
        <f t="shared" si="197"/>
        <v>8.7500000000002984</v>
      </c>
      <c r="F617" s="14">
        <f>IF(AB617&gt;0, VLOOKUP(B617,Model!$A$40:$B$60, 2), 0)</f>
        <v>300</v>
      </c>
      <c r="G617" s="13">
        <f>IF(AB617&gt;0, VLOOKUP(B617,Model!$A$39:$C$58, 3), 0)</f>
        <v>1</v>
      </c>
      <c r="H617" s="13">
        <f t="shared" si="178"/>
        <v>97</v>
      </c>
      <c r="I617" s="46">
        <f>Model!$B$21*EXP((-0.029*9.81*F617)/(8.31*(273+J617)))</f>
        <v>100357.4491247143</v>
      </c>
      <c r="J617" s="13">
        <f>IF(Model!$B$31="Summer",  IF(F617&lt;=2000,  Model!$B$20-Model!$B$35*F617/1000,  IF(F617&lt;Model!$B$36,  Model!$B$33-6.5*F617/1000,  Model!$B$38)),     IF(F617&lt;=2000,  Model!$B$20-Model!$B$35*F617/1000,  IF(F617&lt;Model!$B$36,  Model!$B$33-5.4*F617/1000,   Model!$B$38)))</f>
        <v>-19.088750000000001</v>
      </c>
      <c r="K617" s="13">
        <f t="shared" si="193"/>
        <v>253.91125</v>
      </c>
      <c r="L617" s="46">
        <f>IF(AB616-AA616*(B617-B616)&gt;0, L616-Y616*(B617-B616)*3600-AD617*Model!$B$16, 0)</f>
        <v>585.64473771708617</v>
      </c>
      <c r="M617" s="57">
        <f t="shared" si="180"/>
        <v>11.54517159797058</v>
      </c>
      <c r="N617" s="57">
        <f>Model!$B$13*I617*K617/(Model!$B$13*I617-L617*287*K617)</f>
        <v>284.54517159797058</v>
      </c>
      <c r="O617" s="57">
        <f t="shared" si="181"/>
        <v>269.22821079898529</v>
      </c>
      <c r="P617" s="57">
        <f t="shared" si="182"/>
        <v>0.10894264324742542</v>
      </c>
      <c r="Q617" s="63">
        <f t="shared" si="194"/>
        <v>2.3732202966727955E-2</v>
      </c>
      <c r="R617" s="17">
        <f t="shared" si="195"/>
        <v>1.3207733923094469E-5</v>
      </c>
      <c r="S617" s="46">
        <f>0.37*Model!$B$10*(Q617^2*(N617-K617)*I617/(R617*O617^2))^0.33333*(N617-K617)</f>
        <v>166875.77422226011</v>
      </c>
      <c r="T617" s="51">
        <f>Model!$B$32+(90-Model!$B$6)*SIN(RADIANS(-15*(E617+6)))</f>
        <v>16.206368467520154</v>
      </c>
      <c r="U617" s="46">
        <f t="shared" si="184"/>
        <v>16.206368467520154</v>
      </c>
      <c r="V617" s="51">
        <f t="shared" si="185"/>
        <v>3.5829728888799059</v>
      </c>
      <c r="W617" s="46">
        <f t="shared" si="186"/>
        <v>592.93305298318478</v>
      </c>
      <c r="X617" s="46">
        <f>0.3*W617*Model!$B$9</f>
        <v>53710.628958565481</v>
      </c>
      <c r="Y617" s="17">
        <f>(S617-X617)/Model!$B$11</f>
        <v>2.4276551595772741E-3</v>
      </c>
      <c r="Z617" s="46">
        <f t="shared" si="187"/>
        <v>32.18599536624702</v>
      </c>
      <c r="AA617" s="57">
        <f>Y617/Model!$B$12*3600</f>
        <v>15.717923788459489</v>
      </c>
      <c r="AB617" s="51">
        <f t="shared" si="192"/>
        <v>116.26228625886334</v>
      </c>
      <c r="AC617" s="51">
        <f t="shared" si="196"/>
        <v>1683.7377137411368</v>
      </c>
      <c r="AD617" s="13">
        <f>IF(AE617=0, Model!$B$19, 0 )</f>
        <v>0</v>
      </c>
      <c r="AE617" s="51">
        <f>IF(AE616+AB616-AB617&lt;Model!$B$19*Model!$B$18, AE616+AB616-AB617,  0)</f>
        <v>327.37228744725019</v>
      </c>
      <c r="AF617" s="13">
        <f t="shared" si="188"/>
        <v>30.750000000000302</v>
      </c>
      <c r="AG617" s="50">
        <f t="shared" si="189"/>
        <v>0</v>
      </c>
    </row>
    <row r="618" spans="2:33" x14ac:dyDescent="0.25">
      <c r="B618" s="15">
        <f t="shared" si="190"/>
        <v>30.800000000000303</v>
      </c>
      <c r="C618" s="15">
        <f>B618+Model!$B$4</f>
        <v>32.800000000000303</v>
      </c>
      <c r="D618" s="15">
        <f t="shared" si="191"/>
        <v>2</v>
      </c>
      <c r="E618" s="15">
        <f t="shared" si="197"/>
        <v>8.8000000000003027</v>
      </c>
      <c r="F618" s="16">
        <f>IF(AB618&gt;0, VLOOKUP(B618,Model!$A$40:$B$60, 2), 0)</f>
        <v>300</v>
      </c>
      <c r="G618" s="15">
        <f>IF(AB618&gt;0, VLOOKUP(B618,Model!$A$39:$C$58, 3), 0)</f>
        <v>1</v>
      </c>
      <c r="H618" s="15">
        <f t="shared" si="178"/>
        <v>97</v>
      </c>
      <c r="I618" s="45">
        <f>Model!$B$21*EXP((-0.029*9.81*F618)/(8.31*(273+J618)))</f>
        <v>100357.4491247143</v>
      </c>
      <c r="J618" s="15">
        <f>IF(Model!$B$31="Summer",  IF(F618&lt;=2000,  Model!$B$20-Model!$B$35*F618/1000,  IF(F618&lt;Model!$B$36,  Model!$B$33-6.5*F618/1000,  Model!$B$38)),     IF(F618&lt;=2000,  Model!$B$20-Model!$B$35*F618/1000,  IF(F618&lt;Model!$B$36,  Model!$B$33-5.4*F618/1000,   Model!$B$38)))</f>
        <v>-19.088750000000001</v>
      </c>
      <c r="K618" s="15">
        <f t="shared" si="193"/>
        <v>253.91125</v>
      </c>
      <c r="L618" s="45">
        <f>IF(AB617-AA617*(B618-B617)&gt;0, L617-Y617*(B618-B617)*3600-AD618*Model!$B$16, 0)</f>
        <v>585.2077597883623</v>
      </c>
      <c r="M618" s="56">
        <f t="shared" si="180"/>
        <v>11.519558740310401</v>
      </c>
      <c r="N618" s="56">
        <f>Model!$B$13*I618*K618/(Model!$B$13*I618-L618*287*K618)</f>
        <v>284.5195587403104</v>
      </c>
      <c r="O618" s="56">
        <f t="shared" si="181"/>
        <v>269.21540437015517</v>
      </c>
      <c r="P618" s="56">
        <f t="shared" si="182"/>
        <v>0.16829139004309868</v>
      </c>
      <c r="Q618" s="62">
        <f t="shared" si="194"/>
        <v>2.3731293710281019E-2</v>
      </c>
      <c r="R618" s="33">
        <f t="shared" si="195"/>
        <v>1.3206402054496138E-5</v>
      </c>
      <c r="S618" s="45">
        <f>0.37*Model!$B$10*(Q618^2*(N618-K618)*I618/(R618*O618^2))^0.33333*(N618-K618)</f>
        <v>166696.40045294867</v>
      </c>
      <c r="T618" s="50">
        <f>Model!$B$32+(90-Model!$B$6)*SIN(RADIANS(-15*(E618+6)))</f>
        <v>16.548836161577782</v>
      </c>
      <c r="U618" s="45">
        <f t="shared" si="184"/>
        <v>16.548836161577782</v>
      </c>
      <c r="V618" s="50">
        <f t="shared" si="185"/>
        <v>3.5108353996074659</v>
      </c>
      <c r="W618" s="45">
        <f t="shared" si="186"/>
        <v>603.36659100072518</v>
      </c>
      <c r="X618" s="45">
        <f>0.3*W618*Model!$B$9</f>
        <v>54655.747275660033</v>
      </c>
      <c r="Y618" s="33">
        <f>(S618-X618)/Model!$B$11</f>
        <v>2.403532193012735E-3</v>
      </c>
      <c r="Z618" s="45">
        <f t="shared" si="187"/>
        <v>32.787598968633418</v>
      </c>
      <c r="AA618" s="56">
        <f>Y618/Model!$B$12*3600</f>
        <v>15.56173894131711</v>
      </c>
      <c r="AB618" s="50">
        <f t="shared" si="192"/>
        <v>115.47639006944036</v>
      </c>
      <c r="AC618" s="50">
        <f t="shared" si="196"/>
        <v>1684.5236099305596</v>
      </c>
      <c r="AD618" s="15">
        <f>IF(AE618=0, Model!$B$19, 0 )</f>
        <v>0</v>
      </c>
      <c r="AE618" s="50">
        <f>IF(AE617+AB617-AB618&lt;Model!$B$19*Model!$B$18, AE617+AB617-AB618,  0)</f>
        <v>328.15818363667319</v>
      </c>
      <c r="AF618" s="15">
        <f t="shared" si="188"/>
        <v>30.800000000000303</v>
      </c>
      <c r="AG618" s="50">
        <f t="shared" si="189"/>
        <v>0</v>
      </c>
    </row>
    <row r="619" spans="2:33" x14ac:dyDescent="0.25">
      <c r="B619" s="13">
        <f t="shared" si="190"/>
        <v>30.850000000000303</v>
      </c>
      <c r="C619" s="13">
        <f>B619+Model!$B$4</f>
        <v>32.850000000000307</v>
      </c>
      <c r="D619" s="13">
        <f t="shared" si="191"/>
        <v>2</v>
      </c>
      <c r="E619" s="13">
        <f t="shared" si="197"/>
        <v>8.850000000000307</v>
      </c>
      <c r="F619" s="14">
        <f>IF(AB619&gt;0, VLOOKUP(B619,Model!$A$40:$B$60, 2), 0)</f>
        <v>300</v>
      </c>
      <c r="G619" s="13">
        <f>IF(AB619&gt;0, VLOOKUP(B619,Model!$A$39:$C$58, 3), 0)</f>
        <v>1</v>
      </c>
      <c r="H619" s="13">
        <f t="shared" si="178"/>
        <v>97</v>
      </c>
      <c r="I619" s="46">
        <f>Model!$B$21*EXP((-0.029*9.81*F619)/(8.31*(273+J619)))</f>
        <v>100357.4491247143</v>
      </c>
      <c r="J619" s="13">
        <f>IF(Model!$B$31="Summer",  IF(F619&lt;=2000,  Model!$B$20-Model!$B$35*F619/1000,  IF(F619&lt;Model!$B$36,  Model!$B$33-6.5*F619/1000,  Model!$B$38)),     IF(F619&lt;=2000,  Model!$B$20-Model!$B$35*F619/1000,  IF(F619&lt;Model!$B$36,  Model!$B$33-5.4*F619/1000,   Model!$B$38)))</f>
        <v>-19.088750000000001</v>
      </c>
      <c r="K619" s="13">
        <f t="shared" si="193"/>
        <v>253.91125</v>
      </c>
      <c r="L619" s="46">
        <f>IF(AB618-AA618*(B619-B618)&gt;0, L618-Y618*(B619-B618)*3600-AD619*Model!$B$16, 0)</f>
        <v>584.77512399362001</v>
      </c>
      <c r="M619" s="57">
        <f t="shared" si="180"/>
        <v>11.494204932927971</v>
      </c>
      <c r="N619" s="57">
        <f>Model!$B$13*I619*K619/(Model!$B$13*I619-L619*287*K619)</f>
        <v>284.49420493292797</v>
      </c>
      <c r="O619" s="57">
        <f t="shared" si="181"/>
        <v>269.20272746646401</v>
      </c>
      <c r="P619" s="57">
        <f t="shared" si="182"/>
        <v>0.22517140646881995</v>
      </c>
      <c r="Q619" s="63">
        <f t="shared" si="194"/>
        <v>2.3730393650118944E-2</v>
      </c>
      <c r="R619" s="17">
        <f t="shared" si="195"/>
        <v>1.3205083656512256E-5</v>
      </c>
      <c r="S619" s="46">
        <f>0.37*Model!$B$10*(Q619^2*(N619-K619)*I619/(R619*O619^2))^0.33333*(N619-K619)</f>
        <v>166518.87830321206</v>
      </c>
      <c r="T619" s="51">
        <f>Model!$B$32+(90-Model!$B$6)*SIN(RADIANS(-15*(E619+6)))</f>
        <v>16.887291032670706</v>
      </c>
      <c r="U619" s="46">
        <f t="shared" si="184"/>
        <v>16.887291032670706</v>
      </c>
      <c r="V619" s="51">
        <f t="shared" si="185"/>
        <v>3.4424598564515514</v>
      </c>
      <c r="W619" s="46">
        <f t="shared" si="186"/>
        <v>613.42546567649538</v>
      </c>
      <c r="X619" s="46">
        <f>0.3*W619*Model!$B$9</f>
        <v>55566.926847675437</v>
      </c>
      <c r="Y619" s="17">
        <f>(S619-X619)/Model!$B$11</f>
        <v>2.3801770128829051E-3</v>
      </c>
      <c r="Z619" s="46">
        <f t="shared" si="187"/>
        <v>33.369746069568365</v>
      </c>
      <c r="AA619" s="57">
        <f>Y619/Model!$B$12*3600</f>
        <v>15.410525149729702</v>
      </c>
      <c r="AB619" s="51">
        <f t="shared" si="192"/>
        <v>114.69830312237448</v>
      </c>
      <c r="AC619" s="51">
        <f t="shared" si="196"/>
        <v>1685.3016968776255</v>
      </c>
      <c r="AD619" s="13">
        <f>IF(AE619=0, Model!$B$19, 0 )</f>
        <v>0</v>
      </c>
      <c r="AE619" s="51">
        <f>IF(AE618+AB618-AB619&lt;Model!$B$19*Model!$B$18, AE618+AB618-AB619,  0)</f>
        <v>328.93627058373909</v>
      </c>
      <c r="AF619" s="13">
        <f t="shared" si="188"/>
        <v>30.850000000000303</v>
      </c>
      <c r="AG619" s="50">
        <f t="shared" si="189"/>
        <v>0</v>
      </c>
    </row>
    <row r="620" spans="2:33" x14ac:dyDescent="0.25">
      <c r="B620" s="15">
        <f t="shared" si="190"/>
        <v>30.900000000000304</v>
      </c>
      <c r="C620" s="15">
        <f>B620+Model!$B$4</f>
        <v>32.900000000000304</v>
      </c>
      <c r="D620" s="15">
        <f t="shared" si="191"/>
        <v>2</v>
      </c>
      <c r="E620" s="15">
        <f t="shared" si="197"/>
        <v>8.9000000000003041</v>
      </c>
      <c r="F620" s="16">
        <f>IF(AB620&gt;0, VLOOKUP(B620,Model!$A$40:$B$60, 2), 0)</f>
        <v>300</v>
      </c>
      <c r="G620" s="15">
        <f>IF(AB620&gt;0, VLOOKUP(B620,Model!$A$39:$C$58, 3), 0)</f>
        <v>1</v>
      </c>
      <c r="H620" s="15">
        <f t="shared" si="178"/>
        <v>97</v>
      </c>
      <c r="I620" s="45">
        <f>Model!$B$21*EXP((-0.029*9.81*F620)/(8.31*(273+J620)))</f>
        <v>100357.4491247143</v>
      </c>
      <c r="J620" s="15">
        <f>IF(Model!$B$31="Summer",  IF(F620&lt;=2000,  Model!$B$20-Model!$B$35*F620/1000,  IF(F620&lt;Model!$B$36,  Model!$B$33-6.5*F620/1000,  Model!$B$38)),     IF(F620&lt;=2000,  Model!$B$20-Model!$B$35*F620/1000,  IF(F620&lt;Model!$B$36,  Model!$B$33-5.4*F620/1000,   Model!$B$38)))</f>
        <v>-19.088750000000001</v>
      </c>
      <c r="K620" s="15">
        <f t="shared" si="193"/>
        <v>253.91125</v>
      </c>
      <c r="L620" s="45">
        <f>IF(AB619-AA619*(B620-B619)&gt;0, L619-Y619*(B620-B619)*3600-AD620*Model!$B$16, 0)</f>
        <v>584.3466921313011</v>
      </c>
      <c r="M620" s="56">
        <f t="shared" si="180"/>
        <v>11.469101941664633</v>
      </c>
      <c r="N620" s="56">
        <f>Model!$B$13*I620*K620/(Model!$B$13*I620-L620*287*K620)</f>
        <v>284.46910194166463</v>
      </c>
      <c r="O620" s="56">
        <f t="shared" si="181"/>
        <v>269.19017597083234</v>
      </c>
      <c r="P620" s="56">
        <f t="shared" si="182"/>
        <v>0.27967907534228509</v>
      </c>
      <c r="Q620" s="62">
        <f t="shared" si="194"/>
        <v>2.3729502493929099E-2</v>
      </c>
      <c r="R620" s="33">
        <f t="shared" si="195"/>
        <v>1.3203778300966563E-5</v>
      </c>
      <c r="S620" s="45">
        <f>0.37*Model!$B$10*(Q620^2*(N620-K620)*I620/(R620*O620^2))^0.33333*(N620-K620)</f>
        <v>166343.14902685746</v>
      </c>
      <c r="T620" s="50">
        <f>Model!$B$32+(90-Model!$B$6)*SIN(RADIANS(-15*(E620+6)))</f>
        <v>17.221675088299076</v>
      </c>
      <c r="U620" s="45">
        <f t="shared" si="184"/>
        <v>17.221675088299076</v>
      </c>
      <c r="V620" s="50">
        <f t="shared" si="185"/>
        <v>3.3775863313882213</v>
      </c>
      <c r="W620" s="45">
        <f t="shared" si="186"/>
        <v>623.12414845775004</v>
      </c>
      <c r="X620" s="45">
        <f>0.3*W620*Model!$B$9</f>
        <v>56445.478565495709</v>
      </c>
      <c r="Y620" s="33">
        <f>(S620-X620)/Model!$B$11</f>
        <v>2.3575602372918965E-3</v>
      </c>
      <c r="Z620" s="45">
        <f t="shared" si="187"/>
        <v>33.933154984568752</v>
      </c>
      <c r="AA620" s="56">
        <f>Y620/Model!$B$12*3600</f>
        <v>15.264092179759594</v>
      </c>
      <c r="AB620" s="50">
        <f t="shared" si="192"/>
        <v>113.92777686488799</v>
      </c>
      <c r="AC620" s="50">
        <f t="shared" si="196"/>
        <v>1686.0722231351119</v>
      </c>
      <c r="AD620" s="15">
        <f>IF(AE620=0, Model!$B$19, 0 )</f>
        <v>0</v>
      </c>
      <c r="AE620" s="50">
        <f>IF(AE619+AB619-AB620&lt;Model!$B$19*Model!$B$18, AE619+AB619-AB620,  0)</f>
        <v>329.70679684122558</v>
      </c>
      <c r="AF620" s="15">
        <f t="shared" si="188"/>
        <v>30.900000000000304</v>
      </c>
      <c r="AG620" s="50">
        <f t="shared" si="189"/>
        <v>0</v>
      </c>
    </row>
    <row r="621" spans="2:33" x14ac:dyDescent="0.25">
      <c r="B621" s="13">
        <f t="shared" si="190"/>
        <v>30.950000000000305</v>
      </c>
      <c r="C621" s="13">
        <f>B621+Model!$B$4</f>
        <v>32.950000000000301</v>
      </c>
      <c r="D621" s="13">
        <f t="shared" si="191"/>
        <v>2</v>
      </c>
      <c r="E621" s="13">
        <f t="shared" si="197"/>
        <v>8.9500000000003013</v>
      </c>
      <c r="F621" s="14">
        <f>IF(AB621&gt;0, VLOOKUP(B621,Model!$A$40:$B$60, 2), 0)</f>
        <v>300</v>
      </c>
      <c r="G621" s="13">
        <f>IF(AB621&gt;0, VLOOKUP(B621,Model!$A$39:$C$58, 3), 0)</f>
        <v>1</v>
      </c>
      <c r="H621" s="13">
        <f t="shared" si="178"/>
        <v>97</v>
      </c>
      <c r="I621" s="46">
        <f>Model!$B$21*EXP((-0.029*9.81*F621)/(8.31*(273+J621)))</f>
        <v>100357.4491247143</v>
      </c>
      <c r="J621" s="13">
        <f>IF(Model!$B$31="Summer",  IF(F621&lt;=2000,  Model!$B$20-Model!$B$35*F621/1000,  IF(F621&lt;Model!$B$36,  Model!$B$33-6.5*F621/1000,  Model!$B$38)),     IF(F621&lt;=2000,  Model!$B$20-Model!$B$35*F621/1000,  IF(F621&lt;Model!$B$36,  Model!$B$33-5.4*F621/1000,   Model!$B$38)))</f>
        <v>-19.088750000000001</v>
      </c>
      <c r="K621" s="13">
        <f t="shared" si="193"/>
        <v>253.91125</v>
      </c>
      <c r="L621" s="46">
        <f>IF(AB620-AA620*(B621-B620)&gt;0, L620-Y620*(B621-B620)*3600-AD621*Model!$B$16, 0)</f>
        <v>583.92233128858857</v>
      </c>
      <c r="M621" s="57">
        <f t="shared" si="180"/>
        <v>11.444241849257594</v>
      </c>
      <c r="N621" s="57">
        <f>Model!$B$13*I621*K621/(Model!$B$13*I621-L621*287*K621)</f>
        <v>284.44424184925759</v>
      </c>
      <c r="O621" s="57">
        <f t="shared" si="181"/>
        <v>269.17774592462877</v>
      </c>
      <c r="P621" s="57">
        <f t="shared" si="182"/>
        <v>0.33190691434713049</v>
      </c>
      <c r="Q621" s="63">
        <f t="shared" si="194"/>
        <v>2.3728619960648643E-2</v>
      </c>
      <c r="R621" s="17">
        <f t="shared" si="195"/>
        <v>1.3202485576161391E-5</v>
      </c>
      <c r="S621" s="46">
        <f>0.37*Model!$B$10*(Q621^2*(N621-K621)*I621/(R621*O621^2))^0.33333*(N621-K621)</f>
        <v>166169.15615269032</v>
      </c>
      <c r="T621" s="51">
        <f>Model!$B$32+(90-Model!$B$6)*SIN(RADIANS(-15*(E621+6)))</f>
        <v>17.551931033476457</v>
      </c>
      <c r="U621" s="46">
        <f t="shared" si="184"/>
        <v>17.551931033476457</v>
      </c>
      <c r="V621" s="51">
        <f t="shared" si="185"/>
        <v>3.3159786733065366</v>
      </c>
      <c r="W621" s="46">
        <f t="shared" si="186"/>
        <v>632.47650964619618</v>
      </c>
      <c r="X621" s="46">
        <f>0.3*W621*Model!$B$9</f>
        <v>57292.658865450016</v>
      </c>
      <c r="Y621" s="17">
        <f>(S621-X621)/Model!$B$11</f>
        <v>2.3356537013244734E-3</v>
      </c>
      <c r="Z621" s="46">
        <f t="shared" si="187"/>
        <v>34.478515864162333</v>
      </c>
      <c r="AA621" s="57">
        <f>Y621/Model!$B$12*3600</f>
        <v>15.122257676845654</v>
      </c>
      <c r="AB621" s="51">
        <f t="shared" si="192"/>
        <v>113.1645722559</v>
      </c>
      <c r="AC621" s="51">
        <f t="shared" si="196"/>
        <v>1686.8354277440999</v>
      </c>
      <c r="AD621" s="13">
        <f>IF(AE621=0, Model!$B$19, 0 )</f>
        <v>0</v>
      </c>
      <c r="AE621" s="51">
        <f>IF(AE620+AB620-AB621&lt;Model!$B$19*Model!$B$18, AE620+AB620-AB621,  0)</f>
        <v>330.47000145021354</v>
      </c>
      <c r="AF621" s="13">
        <f t="shared" si="188"/>
        <v>30.950000000000305</v>
      </c>
      <c r="AG621" s="50">
        <f t="shared" si="189"/>
        <v>0</v>
      </c>
    </row>
    <row r="622" spans="2:33" x14ac:dyDescent="0.25">
      <c r="B622" s="15">
        <f t="shared" si="190"/>
        <v>31.000000000000306</v>
      </c>
      <c r="C622" s="15">
        <f>B622+Model!$B$4</f>
        <v>33.000000000000306</v>
      </c>
      <c r="D622" s="15">
        <f t="shared" si="191"/>
        <v>2</v>
      </c>
      <c r="E622" s="15">
        <f t="shared" si="197"/>
        <v>9.0000000000003055</v>
      </c>
      <c r="F622" s="16">
        <f>IF(AB622&gt;0, VLOOKUP(B622,Model!$A$40:$B$60, 2), 0)</f>
        <v>300</v>
      </c>
      <c r="G622" s="15">
        <f>IF(AB622&gt;0, VLOOKUP(B622,Model!$A$39:$C$58, 3), 0)</f>
        <v>1</v>
      </c>
      <c r="H622" s="15">
        <f t="shared" si="178"/>
        <v>97</v>
      </c>
      <c r="I622" s="45">
        <f>Model!$B$21*EXP((-0.029*9.81*F622)/(8.31*(273+J622)))</f>
        <v>100357.4491247143</v>
      </c>
      <c r="J622" s="15">
        <f>IF(Model!$B$31="Summer",  IF(F622&lt;=2000,  Model!$B$20-Model!$B$35*F622/1000,  IF(F622&lt;Model!$B$36,  Model!$B$33-6.5*F622/1000,  Model!$B$38)),     IF(F622&lt;=2000,  Model!$B$20-Model!$B$35*F622/1000,  IF(F622&lt;Model!$B$36,  Model!$B$33-5.4*F622/1000,   Model!$B$38)))</f>
        <v>-19.088750000000001</v>
      </c>
      <c r="K622" s="15">
        <f t="shared" si="193"/>
        <v>253.91125</v>
      </c>
      <c r="L622" s="45">
        <f>IF(AB621-AA621*(B622-B621)&gt;0, L621-Y621*(B622-B621)*3600-AD622*Model!$B$16, 0)</f>
        <v>583.50191362235012</v>
      </c>
      <c r="M622" s="56">
        <f t="shared" si="180"/>
        <v>11.419617042098878</v>
      </c>
      <c r="N622" s="56">
        <f>Model!$B$13*I622*K622/(Model!$B$13*I622-L622*287*K622)</f>
        <v>284.41961704209888</v>
      </c>
      <c r="O622" s="56">
        <f t="shared" si="181"/>
        <v>269.16543352104941</v>
      </c>
      <c r="P622" s="56">
        <f t="shared" si="182"/>
        <v>0.38194358535741291</v>
      </c>
      <c r="Q622" s="62">
        <f t="shared" si="194"/>
        <v>2.3727745779994508E-2</v>
      </c>
      <c r="R622" s="33">
        <f t="shared" si="195"/>
        <v>1.3201205086189136E-5</v>
      </c>
      <c r="S622" s="45">
        <f>0.37*Model!$B$10*(Q622^2*(N622-K622)*I622/(R622*O622^2))^0.33333*(N622-K622)</f>
        <v>165996.84538856617</v>
      </c>
      <c r="T622" s="50">
        <f>Model!$B$32+(90-Model!$B$6)*SIN(RADIANS(-15*(E622+6)))</f>
        <v>17.878002280546816</v>
      </c>
      <c r="U622" s="45">
        <f t="shared" si="184"/>
        <v>17.878002280546816</v>
      </c>
      <c r="V622" s="50">
        <f t="shared" si="185"/>
        <v>3.2574218637658681</v>
      </c>
      <c r="W622" s="45">
        <f t="shared" si="186"/>
        <v>641.49582635754723</v>
      </c>
      <c r="X622" s="45">
        <f>0.3*W622*Model!$B$9</f>
        <v>58109.670450326033</v>
      </c>
      <c r="Y622" s="33">
        <f>(S622-X622)/Model!$B$11</f>
        <v>2.3144304395203291E-3</v>
      </c>
      <c r="Z622" s="45">
        <f t="shared" si="187"/>
        <v>35.006490824751914</v>
      </c>
      <c r="AA622" s="56">
        <f>Y622/Model!$B$12*3600</f>
        <v>14.98484705233251</v>
      </c>
      <c r="AB622" s="50">
        <f t="shared" si="192"/>
        <v>112.40845937205771</v>
      </c>
      <c r="AC622" s="50">
        <f t="shared" si="196"/>
        <v>1687.5915406279423</v>
      </c>
      <c r="AD622" s="15">
        <f>IF(AE622=0, Model!$B$19, 0 )</f>
        <v>0</v>
      </c>
      <c r="AE622" s="50">
        <f>IF(AE621+AB621-AB622&lt;Model!$B$19*Model!$B$18, AE621+AB621-AB622,  0)</f>
        <v>331.22611433405586</v>
      </c>
      <c r="AF622" s="15">
        <f t="shared" si="188"/>
        <v>31.000000000000306</v>
      </c>
      <c r="AG622" s="50">
        <f t="shared" si="189"/>
        <v>0</v>
      </c>
    </row>
    <row r="623" spans="2:33" x14ac:dyDescent="0.25">
      <c r="B623" s="13">
        <f t="shared" si="190"/>
        <v>31.050000000000306</v>
      </c>
      <c r="C623" s="13">
        <f>B623+Model!$B$4</f>
        <v>33.05000000000031</v>
      </c>
      <c r="D623" s="13">
        <f t="shared" si="191"/>
        <v>2</v>
      </c>
      <c r="E623" s="13">
        <f t="shared" si="197"/>
        <v>9.0500000000003098</v>
      </c>
      <c r="F623" s="14">
        <f>IF(AB623&gt;0, VLOOKUP(B623,Model!$A$40:$B$60, 2), 0)</f>
        <v>300</v>
      </c>
      <c r="G623" s="13">
        <f>IF(AB623&gt;0, VLOOKUP(B623,Model!$A$39:$C$58, 3), 0)</f>
        <v>1</v>
      </c>
      <c r="H623" s="13">
        <f t="shared" si="178"/>
        <v>97</v>
      </c>
      <c r="I623" s="46">
        <f>Model!$B$21*EXP((-0.029*9.81*F623)/(8.31*(273+J623)))</f>
        <v>100357.4491247143</v>
      </c>
      <c r="J623" s="13">
        <f>IF(Model!$B$31="Summer",  IF(F623&lt;=2000,  Model!$B$20-Model!$B$35*F623/1000,  IF(F623&lt;Model!$B$36,  Model!$B$33-6.5*F623/1000,  Model!$B$38)),     IF(F623&lt;=2000,  Model!$B$20-Model!$B$35*F623/1000,  IF(F623&lt;Model!$B$36,  Model!$B$33-5.4*F623/1000,   Model!$B$38)))</f>
        <v>-19.088750000000001</v>
      </c>
      <c r="K623" s="13">
        <f t="shared" si="193"/>
        <v>253.91125</v>
      </c>
      <c r="L623" s="46">
        <f>IF(AB622-AA622*(B623-B622)&gt;0, L622-Y622*(B623-B622)*3600-AD623*Model!$B$16, 0)</f>
        <v>583.08531614323647</v>
      </c>
      <c r="M623" s="57">
        <f t="shared" si="180"/>
        <v>11.395220197204537</v>
      </c>
      <c r="N623" s="57">
        <f>Model!$B$13*I623*K623/(Model!$B$13*I623-L623*287*K623)</f>
        <v>284.39522019720454</v>
      </c>
      <c r="O623" s="57">
        <f t="shared" si="181"/>
        <v>269.15323509860229</v>
      </c>
      <c r="P623" s="57">
        <f t="shared" si="182"/>
        <v>0.42987394098591647</v>
      </c>
      <c r="Q623" s="63">
        <f t="shared" si="194"/>
        <v>2.3726879692000765E-2</v>
      </c>
      <c r="R623" s="17">
        <f t="shared" si="195"/>
        <v>1.3199936450254638E-5</v>
      </c>
      <c r="S623" s="46">
        <f>0.37*Model!$B$10*(Q623^2*(N623-K623)*I623/(R623*O623^2))^0.33333*(N623-K623)</f>
        <v>165826.16452711602</v>
      </c>
      <c r="T623" s="51">
        <f>Model!$B$32+(90-Model!$B$6)*SIN(RADIANS(-15*(E623+6)))</f>
        <v>18.199832958880556</v>
      </c>
      <c r="U623" s="46">
        <f t="shared" si="184"/>
        <v>18.199832958880556</v>
      </c>
      <c r="V623" s="51">
        <f t="shared" si="185"/>
        <v>3.2017197184966011</v>
      </c>
      <c r="W623" s="46">
        <f t="shared" si="186"/>
        <v>650.19479463018206</v>
      </c>
      <c r="X623" s="46">
        <f>0.3*W623*Model!$B$9</f>
        <v>58897.66338622848</v>
      </c>
      <c r="Y623" s="17">
        <f>(S623-X623)/Model!$B$11</f>
        <v>2.2938646603215176E-3</v>
      </c>
      <c r="Z623" s="46">
        <f t="shared" si="187"/>
        <v>35.517714321009628</v>
      </c>
      <c r="AA623" s="57">
        <f>Y623/Model!$B$12*3600</f>
        <v>14.851693318029698</v>
      </c>
      <c r="AB623" s="51">
        <f t="shared" si="192"/>
        <v>111.65921701944107</v>
      </c>
      <c r="AC623" s="51">
        <f t="shared" si="196"/>
        <v>1688.340782980559</v>
      </c>
      <c r="AD623" s="13">
        <f>IF(AE623=0, Model!$B$19, 0 )</f>
        <v>0</v>
      </c>
      <c r="AE623" s="51">
        <f>IF(AE622+AB622-AB623&lt;Model!$B$19*Model!$B$18, AE622+AB622-AB623,  0)</f>
        <v>331.97535668667246</v>
      </c>
      <c r="AF623" s="13">
        <f t="shared" si="188"/>
        <v>31.050000000000306</v>
      </c>
      <c r="AG623" s="50">
        <f t="shared" si="189"/>
        <v>0</v>
      </c>
    </row>
    <row r="624" spans="2:33" x14ac:dyDescent="0.25">
      <c r="B624" s="15">
        <f t="shared" si="190"/>
        <v>31.100000000000307</v>
      </c>
      <c r="C624" s="15">
        <f>B624+Model!$B$4</f>
        <v>33.100000000000307</v>
      </c>
      <c r="D624" s="15">
        <f t="shared" si="191"/>
        <v>2</v>
      </c>
      <c r="E624" s="15">
        <f t="shared" si="197"/>
        <v>9.100000000000307</v>
      </c>
      <c r="F624" s="16">
        <f>IF(AB624&gt;0, VLOOKUP(B624,Model!$A$40:$B$60, 2), 0)</f>
        <v>300</v>
      </c>
      <c r="G624" s="15">
        <f>IF(AB624&gt;0, VLOOKUP(B624,Model!$A$39:$C$58, 3), 0)</f>
        <v>1</v>
      </c>
      <c r="H624" s="15">
        <f t="shared" si="178"/>
        <v>97</v>
      </c>
      <c r="I624" s="45">
        <f>Model!$B$21*EXP((-0.029*9.81*F624)/(8.31*(273+J624)))</f>
        <v>100357.4491247143</v>
      </c>
      <c r="J624" s="15">
        <f>IF(Model!$B$31="Summer",  IF(F624&lt;=2000,  Model!$B$20-Model!$B$35*F624/1000,  IF(F624&lt;Model!$B$36,  Model!$B$33-6.5*F624/1000,  Model!$B$38)),     IF(F624&lt;=2000,  Model!$B$20-Model!$B$35*F624/1000,  IF(F624&lt;Model!$B$36,  Model!$B$33-5.4*F624/1000,   Model!$B$38)))</f>
        <v>-19.088750000000001</v>
      </c>
      <c r="K624" s="15">
        <f t="shared" si="193"/>
        <v>253.91125</v>
      </c>
      <c r="L624" s="45">
        <f>IF(AB623-AA623*(B624-B623)&gt;0, L623-Y623*(B624-B623)*3600-AD624*Model!$B$16, 0)</f>
        <v>582.67242050437858</v>
      </c>
      <c r="M624" s="56">
        <f t="shared" si="180"/>
        <v>11.371044269477238</v>
      </c>
      <c r="N624" s="56">
        <f>Model!$B$13*I624*K624/(Model!$B$13*I624-L624*287*K624)</f>
        <v>284.37104426947724</v>
      </c>
      <c r="O624" s="56">
        <f t="shared" si="181"/>
        <v>269.14114713473862</v>
      </c>
      <c r="P624" s="56">
        <f t="shared" si="182"/>
        <v>0.4757790989398325</v>
      </c>
      <c r="Q624" s="62">
        <f t="shared" si="194"/>
        <v>2.3726021446566443E-2</v>
      </c>
      <c r="R624" s="33">
        <f t="shared" si="195"/>
        <v>1.3198679302012815E-5</v>
      </c>
      <c r="S624" s="45">
        <f>0.37*Model!$B$10*(Q624^2*(N624-K624)*I624/(R624*O624^2))^0.33333*(N624-K624)</f>
        <v>165657.06335371875</v>
      </c>
      <c r="T624" s="50">
        <f>Model!$B$32+(90-Model!$B$6)*SIN(RADIANS(-15*(E624+6)))</f>
        <v>18.517367924447679</v>
      </c>
      <c r="U624" s="45">
        <f t="shared" si="184"/>
        <v>18.517367924447679</v>
      </c>
      <c r="V624" s="50">
        <f t="shared" si="185"/>
        <v>3.1486928830518095</v>
      </c>
      <c r="W624" s="45">
        <f t="shared" si="186"/>
        <v>658.58554456043225</v>
      </c>
      <c r="X624" s="45">
        <f>0.3*W624*Model!$B$9</f>
        <v>59657.736473603763</v>
      </c>
      <c r="Y624" s="33">
        <f>(S624-X624)/Model!$B$11</f>
        <v>2.2739317146865815E-3</v>
      </c>
      <c r="Z624" s="45">
        <f t="shared" si="187"/>
        <v>36.012793699125133</v>
      </c>
      <c r="AA624" s="56">
        <f>Y624/Model!$B$12*3600</f>
        <v>14.72263688300291</v>
      </c>
      <c r="AB624" s="50">
        <f t="shared" si="192"/>
        <v>110.91663235353958</v>
      </c>
      <c r="AC624" s="50">
        <f t="shared" si="196"/>
        <v>1689.0833676464604</v>
      </c>
      <c r="AD624" s="15">
        <f>IF(AE624=0, Model!$B$19, 0 )</f>
        <v>0</v>
      </c>
      <c r="AE624" s="50">
        <f>IF(AE623+AB623-AB624&lt;Model!$B$19*Model!$B$18, AE623+AB623-AB624,  0)</f>
        <v>332.71794135257397</v>
      </c>
      <c r="AF624" s="15">
        <f t="shared" si="188"/>
        <v>31.100000000000307</v>
      </c>
      <c r="AG624" s="50">
        <f t="shared" si="189"/>
        <v>0</v>
      </c>
    </row>
    <row r="625" spans="2:33" x14ac:dyDescent="0.25">
      <c r="B625" s="13">
        <f t="shared" si="190"/>
        <v>31.150000000000308</v>
      </c>
      <c r="C625" s="13">
        <f>B625+Model!$B$4</f>
        <v>33.150000000000304</v>
      </c>
      <c r="D625" s="13">
        <f t="shared" si="191"/>
        <v>2</v>
      </c>
      <c r="E625" s="13">
        <f t="shared" si="197"/>
        <v>9.1500000000003041</v>
      </c>
      <c r="F625" s="14">
        <f>IF(AB625&gt;0, VLOOKUP(B625,Model!$A$40:$B$60, 2), 0)</f>
        <v>300</v>
      </c>
      <c r="G625" s="13">
        <f>IF(AB625&gt;0, VLOOKUP(B625,Model!$A$39:$C$58, 3), 0)</f>
        <v>1</v>
      </c>
      <c r="H625" s="13">
        <f t="shared" si="178"/>
        <v>97</v>
      </c>
      <c r="I625" s="46">
        <f>Model!$B$21*EXP((-0.029*9.81*F625)/(8.31*(273+J625)))</f>
        <v>100357.4491247143</v>
      </c>
      <c r="J625" s="13">
        <f>IF(Model!$B$31="Summer",  IF(F625&lt;=2000,  Model!$B$20-Model!$B$35*F625/1000,  IF(F625&lt;Model!$B$36,  Model!$B$33-6.5*F625/1000,  Model!$B$38)),     IF(F625&lt;=2000,  Model!$B$20-Model!$B$35*F625/1000,  IF(F625&lt;Model!$B$36,  Model!$B$33-5.4*F625/1000,   Model!$B$38)))</f>
        <v>-19.088750000000001</v>
      </c>
      <c r="K625" s="13">
        <f t="shared" si="193"/>
        <v>253.91125</v>
      </c>
      <c r="L625" s="46">
        <f>IF(AB624-AA624*(B625-B624)&gt;0, L624-Y624*(B625-B624)*3600-AD625*Model!$B$16, 0)</f>
        <v>582.26311279573497</v>
      </c>
      <c r="M625" s="57">
        <f t="shared" si="180"/>
        <v>11.347082479323149</v>
      </c>
      <c r="N625" s="57">
        <f>Model!$B$13*I625*K625/(Model!$B$13*I625-L625*287*K625)</f>
        <v>284.34708247932315</v>
      </c>
      <c r="O625" s="57">
        <f t="shared" si="181"/>
        <v>269.12916623966157</v>
      </c>
      <c r="P625" s="57">
        <f t="shared" si="182"/>
        <v>0.51973653673112175</v>
      </c>
      <c r="Q625" s="63">
        <f t="shared" si="194"/>
        <v>2.3725170803015973E-2</v>
      </c>
      <c r="R625" s="17">
        <f t="shared" si="195"/>
        <v>1.3197433288924802E-5</v>
      </c>
      <c r="S625" s="46">
        <f>0.37*Model!$B$10*(Q625^2*(N625-K625)*I625/(R625*O625^2))^0.33333*(N625-K625)</f>
        <v>165489.4935571345</v>
      </c>
      <c r="T625" s="51">
        <f>Model!$B$32+(90-Model!$B$6)*SIN(RADIANS(-15*(E625+6)))</f>
        <v>18.830552769266554</v>
      </c>
      <c r="U625" s="46">
        <f t="shared" si="184"/>
        <v>18.830552769266554</v>
      </c>
      <c r="V625" s="51">
        <f t="shared" si="185"/>
        <v>3.0981770796333428</v>
      </c>
      <c r="W625" s="46">
        <f t="shared" si="186"/>
        <v>666.67965757838317</v>
      </c>
      <c r="X625" s="46">
        <f>0.3*W625*Model!$B$9</f>
        <v>60390.938812162181</v>
      </c>
      <c r="Y625" s="17">
        <f>(S625-X625)/Model!$B$11</f>
        <v>2.2546080606022163E-3</v>
      </c>
      <c r="Z625" s="46">
        <f t="shared" si="187"/>
        <v>36.492309882689007</v>
      </c>
      <c r="AA625" s="57">
        <f>Y625/Model!$B$12*3600</f>
        <v>14.597525323803749</v>
      </c>
      <c r="AB625" s="51">
        <f t="shared" si="192"/>
        <v>110.18050050938943</v>
      </c>
      <c r="AC625" s="51">
        <f t="shared" si="196"/>
        <v>1689.8194994906105</v>
      </c>
      <c r="AD625" s="13">
        <f>IF(AE625=0, Model!$B$19, 0 )</f>
        <v>0</v>
      </c>
      <c r="AE625" s="51">
        <f>IF(AE624+AB624-AB625&lt;Model!$B$19*Model!$B$18, AE624+AB624-AB625,  0)</f>
        <v>333.4540731967241</v>
      </c>
      <c r="AF625" s="13">
        <f t="shared" si="188"/>
        <v>31.150000000000308</v>
      </c>
      <c r="AG625" s="50">
        <f t="shared" si="189"/>
        <v>0</v>
      </c>
    </row>
    <row r="626" spans="2:33" x14ac:dyDescent="0.25">
      <c r="B626" s="15">
        <f t="shared" si="190"/>
        <v>31.200000000000308</v>
      </c>
      <c r="C626" s="15">
        <f>B626+Model!$B$4</f>
        <v>33.200000000000308</v>
      </c>
      <c r="D626" s="15">
        <f t="shared" si="191"/>
        <v>2</v>
      </c>
      <c r="E626" s="15">
        <f t="shared" si="197"/>
        <v>9.2000000000003084</v>
      </c>
      <c r="F626" s="16">
        <f>IF(AB626&gt;0, VLOOKUP(B626,Model!$A$40:$B$60, 2), 0)</f>
        <v>300</v>
      </c>
      <c r="G626" s="15">
        <f>IF(AB626&gt;0, VLOOKUP(B626,Model!$A$39:$C$58, 3), 0)</f>
        <v>1</v>
      </c>
      <c r="H626" s="15">
        <f t="shared" si="178"/>
        <v>97</v>
      </c>
      <c r="I626" s="45">
        <f>Model!$B$21*EXP((-0.029*9.81*F626)/(8.31*(273+J626)))</f>
        <v>100357.4491247143</v>
      </c>
      <c r="J626" s="15">
        <f>IF(Model!$B$31="Summer",  IF(F626&lt;=2000,  Model!$B$20-Model!$B$35*F626/1000,  IF(F626&lt;Model!$B$36,  Model!$B$33-6.5*F626/1000,  Model!$B$38)),     IF(F626&lt;=2000,  Model!$B$20-Model!$B$35*F626/1000,  IF(F626&lt;Model!$B$36,  Model!$B$33-5.4*F626/1000,   Model!$B$38)))</f>
        <v>-19.088750000000001</v>
      </c>
      <c r="K626" s="15">
        <f t="shared" si="193"/>
        <v>253.91125</v>
      </c>
      <c r="L626" s="45">
        <f>IF(AB625-AA625*(B626-B625)&gt;0, L625-Y625*(B626-B625)*3600-AD626*Model!$B$16, 0)</f>
        <v>581.85728334482656</v>
      </c>
      <c r="M626" s="56">
        <f t="shared" si="180"/>
        <v>11.323328300663832</v>
      </c>
      <c r="N626" s="56">
        <f>Model!$B$13*I626*K626/(Model!$B$13*I626-L626*287*K626)</f>
        <v>284.32332830066383</v>
      </c>
      <c r="O626" s="56">
        <f t="shared" si="181"/>
        <v>269.11728915033189</v>
      </c>
      <c r="P626" s="56">
        <f t="shared" si="182"/>
        <v>0.56182020085446993</v>
      </c>
      <c r="Q626" s="62">
        <f t="shared" si="194"/>
        <v>2.3724327529673565E-2</v>
      </c>
      <c r="R626" s="33">
        <f t="shared" si="195"/>
        <v>1.3196198071634515E-5</v>
      </c>
      <c r="S626" s="45">
        <f>0.37*Model!$B$10*(Q626^2*(N626-K626)*I626/(R626*O626^2))^0.33333*(N626-K626)</f>
        <v>165323.40864307544</v>
      </c>
      <c r="T626" s="50">
        <f>Model!$B$32+(90-Model!$B$6)*SIN(RADIANS(-15*(E626+6)))</f>
        <v>19.139333830726372</v>
      </c>
      <c r="U626" s="45">
        <f t="shared" si="184"/>
        <v>19.139333830726372</v>
      </c>
      <c r="V626" s="50">
        <f t="shared" si="185"/>
        <v>3.050021569146256</v>
      </c>
      <c r="W626" s="45">
        <f t="shared" si="186"/>
        <v>674.48818516672827</v>
      </c>
      <c r="X626" s="45">
        <f>0.3*W626*Model!$B$9</f>
        <v>61098.271496518741</v>
      </c>
      <c r="Y626" s="33">
        <f>(S626-X626)/Model!$B$11</f>
        <v>2.2358712248537315E-3</v>
      </c>
      <c r="Z626" s="45">
        <f t="shared" si="187"/>
        <v>36.956818152973547</v>
      </c>
      <c r="AA626" s="56">
        <f>Y626/Model!$B$12*3600</f>
        <v>14.476213136951456</v>
      </c>
      <c r="AB626" s="50">
        <f t="shared" si="192"/>
        <v>109.45062424319923</v>
      </c>
      <c r="AC626" s="50">
        <f t="shared" si="196"/>
        <v>1690.5493757568008</v>
      </c>
      <c r="AD626" s="15">
        <f>IF(AE626=0, Model!$B$19, 0 )</f>
        <v>0</v>
      </c>
      <c r="AE626" s="50">
        <f>IF(AE625+AB625-AB626&lt;Model!$B$19*Model!$B$18, AE625+AB625-AB626,  0)</f>
        <v>334.18394946291431</v>
      </c>
      <c r="AF626" s="15">
        <f t="shared" si="188"/>
        <v>31.200000000000308</v>
      </c>
      <c r="AG626" s="50">
        <f t="shared" si="189"/>
        <v>0</v>
      </c>
    </row>
    <row r="627" spans="2:33" x14ac:dyDescent="0.25">
      <c r="B627" s="13">
        <f t="shared" si="190"/>
        <v>31.250000000000309</v>
      </c>
      <c r="C627" s="13">
        <f>B627+Model!$B$4</f>
        <v>33.250000000000313</v>
      </c>
      <c r="D627" s="13">
        <f t="shared" si="191"/>
        <v>2</v>
      </c>
      <c r="E627" s="13">
        <f t="shared" si="197"/>
        <v>9.2500000000003126</v>
      </c>
      <c r="F627" s="14">
        <f>IF(AB627&gt;0, VLOOKUP(B627,Model!$A$40:$B$60, 2), 0)</f>
        <v>300</v>
      </c>
      <c r="G627" s="13">
        <f>IF(AB627&gt;0, VLOOKUP(B627,Model!$A$39:$C$58, 3), 0)</f>
        <v>1</v>
      </c>
      <c r="H627" s="13">
        <f t="shared" si="178"/>
        <v>97</v>
      </c>
      <c r="I627" s="46">
        <f>Model!$B$21*EXP((-0.029*9.81*F627)/(8.31*(273+J627)))</f>
        <v>100357.4491247143</v>
      </c>
      <c r="J627" s="13">
        <f>IF(Model!$B$31="Summer",  IF(F627&lt;=2000,  Model!$B$20-Model!$B$35*F627/1000,  IF(F627&lt;Model!$B$36,  Model!$B$33-6.5*F627/1000,  Model!$B$38)),     IF(F627&lt;=2000,  Model!$B$20-Model!$B$35*F627/1000,  IF(F627&lt;Model!$B$36,  Model!$B$33-5.4*F627/1000,   Model!$B$38)))</f>
        <v>-19.088750000000001</v>
      </c>
      <c r="K627" s="13">
        <f t="shared" si="193"/>
        <v>253.91125</v>
      </c>
      <c r="L627" s="46">
        <f>IF(AB626-AA626*(B627-B626)&gt;0, L626-Y626*(B627-B626)*3600-AD627*Model!$B$16, 0)</f>
        <v>581.45482652435282</v>
      </c>
      <c r="M627" s="57">
        <f t="shared" si="180"/>
        <v>11.299775449372589</v>
      </c>
      <c r="N627" s="57">
        <f>Model!$B$13*I627*K627/(Model!$B$13*I627-L627*287*K627)</f>
        <v>284.29977544937259</v>
      </c>
      <c r="O627" s="57">
        <f t="shared" si="181"/>
        <v>269.10551272468626</v>
      </c>
      <c r="P627" s="57">
        <f t="shared" si="182"/>
        <v>0.60210062579781631</v>
      </c>
      <c r="Q627" s="63">
        <f t="shared" si="194"/>
        <v>2.3723491403452725E-2</v>
      </c>
      <c r="R627" s="17">
        <f t="shared" si="195"/>
        <v>1.319497332336737E-5</v>
      </c>
      <c r="S627" s="46">
        <f>0.37*Model!$B$10*(Q627^2*(N627-K627)*I627/(R627*O627^2))^0.33333*(N627-K627)</f>
        <v>165158.76385090908</v>
      </c>
      <c r="T627" s="51">
        <f>Model!$B$32+(90-Model!$B$6)*SIN(RADIANS(-15*(E627+6)))</f>
        <v>19.443658200781776</v>
      </c>
      <c r="U627" s="46">
        <f t="shared" si="184"/>
        <v>19.443658200781776</v>
      </c>
      <c r="V627" s="51">
        <f t="shared" si="185"/>
        <v>3.0040877982979723</v>
      </c>
      <c r="W627" s="46">
        <f t="shared" si="186"/>
        <v>682.02166847589763</v>
      </c>
      <c r="X627" s="46">
        <f>0.3*W627*Model!$B$9</f>
        <v>61780.689393022505</v>
      </c>
      <c r="Y627" s="17">
        <f>(S627-X627)/Model!$B$11</f>
        <v>2.2176997631210248E-3</v>
      </c>
      <c r="Z627" s="46">
        <f t="shared" si="187"/>
        <v>37.406848993367817</v>
      </c>
      <c r="AA627" s="57">
        <f>Y627/Model!$B$12*3600</f>
        <v>14.358561480573158</v>
      </c>
      <c r="AB627" s="51">
        <f t="shared" si="192"/>
        <v>108.72681358635164</v>
      </c>
      <c r="AC627" s="51">
        <f t="shared" si="196"/>
        <v>1691.2731864136483</v>
      </c>
      <c r="AD627" s="13">
        <f>IF(AE627=0, Model!$B$19, 0 )</f>
        <v>0</v>
      </c>
      <c r="AE627" s="51">
        <f>IF(AE626+AB626-AB627&lt;Model!$B$19*Model!$B$18, AE626+AB626-AB627,  0)</f>
        <v>334.90776011976192</v>
      </c>
      <c r="AF627" s="13">
        <f t="shared" si="188"/>
        <v>31.250000000000309</v>
      </c>
      <c r="AG627" s="50">
        <f t="shared" si="189"/>
        <v>0</v>
      </c>
    </row>
    <row r="628" spans="2:33" x14ac:dyDescent="0.25">
      <c r="B628" s="15">
        <f t="shared" si="190"/>
        <v>31.30000000000031</v>
      </c>
      <c r="C628" s="15">
        <f>B628+Model!$B$4</f>
        <v>33.30000000000031</v>
      </c>
      <c r="D628" s="15">
        <f t="shared" si="191"/>
        <v>2</v>
      </c>
      <c r="E628" s="15">
        <f t="shared" si="197"/>
        <v>9.3000000000003098</v>
      </c>
      <c r="F628" s="16">
        <f>IF(AB628&gt;0, VLOOKUP(B628,Model!$A$40:$B$60, 2), 0)</f>
        <v>300</v>
      </c>
      <c r="G628" s="15">
        <f>IF(AB628&gt;0, VLOOKUP(B628,Model!$A$39:$C$58, 3), 0)</f>
        <v>1</v>
      </c>
      <c r="H628" s="15">
        <f t="shared" si="178"/>
        <v>97</v>
      </c>
      <c r="I628" s="45">
        <f>Model!$B$21*EXP((-0.029*9.81*F628)/(8.31*(273+J628)))</f>
        <v>100357.4491247143</v>
      </c>
      <c r="J628" s="15">
        <f>IF(Model!$B$31="Summer",  IF(F628&lt;=2000,  Model!$B$20-Model!$B$35*F628/1000,  IF(F628&lt;Model!$B$36,  Model!$B$33-6.5*F628/1000,  Model!$B$38)),     IF(F628&lt;=2000,  Model!$B$20-Model!$B$35*F628/1000,  IF(F628&lt;Model!$B$36,  Model!$B$33-5.4*F628/1000,   Model!$B$38)))</f>
        <v>-19.088750000000001</v>
      </c>
      <c r="K628" s="15">
        <f t="shared" si="193"/>
        <v>253.91125</v>
      </c>
      <c r="L628" s="45">
        <f>IF(AB627-AA627*(B628-B627)&gt;0, L627-Y627*(B628-B627)*3600-AD628*Model!$B$16, 0)</f>
        <v>581.05564056699109</v>
      </c>
      <c r="M628" s="56">
        <f t="shared" si="180"/>
        <v>11.276417872149352</v>
      </c>
      <c r="N628" s="56">
        <f>Model!$B$13*I628*K628/(Model!$B$13*I628-L628*287*K628)</f>
        <v>284.27641787214935</v>
      </c>
      <c r="O628" s="56">
        <f t="shared" si="181"/>
        <v>269.0938339360747</v>
      </c>
      <c r="P628" s="56">
        <f t="shared" si="182"/>
        <v>0.64064505924732629</v>
      </c>
      <c r="Q628" s="62">
        <f t="shared" si="194"/>
        <v>2.3722662209461304E-2</v>
      </c>
      <c r="R628" s="33">
        <f t="shared" si="195"/>
        <v>1.3193758729351769E-5</v>
      </c>
      <c r="S628" s="45">
        <f>0.37*Model!$B$10*(Q628^2*(N628-K628)*I628/(R628*O628^2))^0.33333*(N628-K628)</f>
        <v>164995.51607358226</v>
      </c>
      <c r="T628" s="50">
        <f>Model!$B$32+(90-Model!$B$6)*SIN(RADIANS(-15*(E628+6)))</f>
        <v>19.743473735018604</v>
      </c>
      <c r="U628" s="45">
        <f t="shared" si="184"/>
        <v>19.743473735018604</v>
      </c>
      <c r="V628" s="50">
        <f t="shared" si="185"/>
        <v>2.9602482063022584</v>
      </c>
      <c r="W628" s="45">
        <f t="shared" si="186"/>
        <v>689.29015840903844</v>
      </c>
      <c r="X628" s="45">
        <f>0.3*W628*Model!$B$9</f>
        <v>62439.102959147429</v>
      </c>
      <c r="Y628" s="33">
        <f>(S628-X628)/Model!$B$11</f>
        <v>2.2000732192306088E-3</v>
      </c>
      <c r="Z628" s="45">
        <f t="shared" si="187"/>
        <v>37.842908974145551</v>
      </c>
      <c r="AA628" s="56">
        <f>Y628/Model!$B$12*3600</f>
        <v>14.244437910579906</v>
      </c>
      <c r="AB628" s="50">
        <f t="shared" si="192"/>
        <v>108.00888551232298</v>
      </c>
      <c r="AC628" s="50">
        <f t="shared" si="196"/>
        <v>1691.9911144876771</v>
      </c>
      <c r="AD628" s="15">
        <f>IF(AE628=0, Model!$B$19, 0 )</f>
        <v>0</v>
      </c>
      <c r="AE628" s="50">
        <f>IF(AE627+AB627-AB628&lt;Model!$B$19*Model!$B$18, AE627+AB627-AB628,  0)</f>
        <v>335.62568819379055</v>
      </c>
      <c r="AF628" s="15">
        <f t="shared" si="188"/>
        <v>31.30000000000031</v>
      </c>
      <c r="AG628" s="50">
        <f t="shared" si="189"/>
        <v>0</v>
      </c>
    </row>
    <row r="629" spans="2:33" x14ac:dyDescent="0.25">
      <c r="B629" s="13">
        <f t="shared" si="190"/>
        <v>31.350000000000311</v>
      </c>
      <c r="C629" s="13">
        <f>B629+Model!$B$4</f>
        <v>33.350000000000307</v>
      </c>
      <c r="D629" s="13">
        <f t="shared" si="191"/>
        <v>2</v>
      </c>
      <c r="E629" s="13">
        <f t="shared" si="197"/>
        <v>9.350000000000307</v>
      </c>
      <c r="F629" s="14">
        <f>IF(AB629&gt;0, VLOOKUP(B629,Model!$A$40:$B$60, 2), 0)</f>
        <v>300</v>
      </c>
      <c r="G629" s="13">
        <f>IF(AB629&gt;0, VLOOKUP(B629,Model!$A$39:$C$58, 3), 0)</f>
        <v>1</v>
      </c>
      <c r="H629" s="13">
        <f t="shared" si="178"/>
        <v>97</v>
      </c>
      <c r="I629" s="46">
        <f>Model!$B$21*EXP((-0.029*9.81*F629)/(8.31*(273+J629)))</f>
        <v>100357.4491247143</v>
      </c>
      <c r="J629" s="13">
        <f>IF(Model!$B$31="Summer",  IF(F629&lt;=2000,  Model!$B$20-Model!$B$35*F629/1000,  IF(F629&lt;Model!$B$36,  Model!$B$33-6.5*F629/1000,  Model!$B$38)),     IF(F629&lt;=2000,  Model!$B$20-Model!$B$35*F629/1000,  IF(F629&lt;Model!$B$36,  Model!$B$33-5.4*F629/1000,   Model!$B$38)))</f>
        <v>-19.088750000000001</v>
      </c>
      <c r="K629" s="13">
        <f t="shared" si="193"/>
        <v>253.91125</v>
      </c>
      <c r="L629" s="46">
        <f>IF(AB628-AA628*(B629-B628)&gt;0, L628-Y628*(B629-B628)*3600-AD629*Model!$B$16, 0)</f>
        <v>580.65962738752955</v>
      </c>
      <c r="M629" s="57">
        <f t="shared" si="180"/>
        <v>11.253249735843895</v>
      </c>
      <c r="N629" s="57">
        <f>Model!$B$13*I629*K629/(Model!$B$13*I629-L629*287*K629)</f>
        <v>284.25324973584389</v>
      </c>
      <c r="O629" s="57">
        <f t="shared" si="181"/>
        <v>269.08224986792197</v>
      </c>
      <c r="P629" s="57">
        <f t="shared" si="182"/>
        <v>0.67751759064886929</v>
      </c>
      <c r="Q629" s="63">
        <f t="shared" si="194"/>
        <v>2.3721839740622461E-2</v>
      </c>
      <c r="R629" s="17">
        <f t="shared" si="195"/>
        <v>1.3192553986263884E-5</v>
      </c>
      <c r="S629" s="46">
        <f>0.37*Model!$B$10*(Q629^2*(N629-K629)*I629/(R629*O629^2))^0.33333*(N629-K629)</f>
        <v>164833.6237808266</v>
      </c>
      <c r="T629" s="51">
        <f>Model!$B$32+(90-Model!$B$6)*SIN(RADIANS(-15*(E629+6)))</f>
        <v>20.038729061588558</v>
      </c>
      <c r="U629" s="46">
        <f t="shared" si="184"/>
        <v>20.038729061588558</v>
      </c>
      <c r="V629" s="51">
        <f t="shared" si="185"/>
        <v>2.9183851696694783</v>
      </c>
      <c r="W629" s="46">
        <f t="shared" si="186"/>
        <v>696.30323584650228</v>
      </c>
      <c r="X629" s="46">
        <f>0.3*W629*Model!$B$9</f>
        <v>63074.380075520276</v>
      </c>
      <c r="Y629" s="17">
        <f>(S629-X629)/Model!$B$11</f>
        <v>2.1829720842069357E-3</v>
      </c>
      <c r="Z629" s="46">
        <f t="shared" si="187"/>
        <v>38.265481658880489</v>
      </c>
      <c r="AA629" s="57">
        <f>Y629/Model!$B$12*3600</f>
        <v>14.133716115543312</v>
      </c>
      <c r="AB629" s="51">
        <f t="shared" si="192"/>
        <v>107.29666361679396</v>
      </c>
      <c r="AC629" s="51">
        <f t="shared" si="196"/>
        <v>1692.7033363832061</v>
      </c>
      <c r="AD629" s="13">
        <f>IF(AE629=0, Model!$B$19, 0 )</f>
        <v>0</v>
      </c>
      <c r="AE629" s="51">
        <f>IF(AE628+AB628-AB629&lt;Model!$B$19*Model!$B$18, AE628+AB628-AB629,  0)</f>
        <v>336.33791008931956</v>
      </c>
      <c r="AF629" s="13">
        <f t="shared" si="188"/>
        <v>31.350000000000311</v>
      </c>
      <c r="AG629" s="50">
        <f t="shared" si="189"/>
        <v>0</v>
      </c>
    </row>
    <row r="630" spans="2:33" x14ac:dyDescent="0.25">
      <c r="B630" s="15">
        <f t="shared" si="190"/>
        <v>31.400000000000311</v>
      </c>
      <c r="C630" s="15">
        <f>B630+Model!$B$4</f>
        <v>33.400000000000311</v>
      </c>
      <c r="D630" s="15">
        <f t="shared" si="191"/>
        <v>2</v>
      </c>
      <c r="E630" s="15">
        <f t="shared" si="197"/>
        <v>9.4000000000003112</v>
      </c>
      <c r="F630" s="16">
        <f>IF(AB630&gt;0, VLOOKUP(B630,Model!$A$40:$B$60, 2), 0)</f>
        <v>300</v>
      </c>
      <c r="G630" s="15">
        <f>IF(AB630&gt;0, VLOOKUP(B630,Model!$A$39:$C$58, 3), 0)</f>
        <v>1</v>
      </c>
      <c r="H630" s="15">
        <f t="shared" si="178"/>
        <v>97</v>
      </c>
      <c r="I630" s="45">
        <f>Model!$B$21*EXP((-0.029*9.81*F630)/(8.31*(273+J630)))</f>
        <v>100357.4491247143</v>
      </c>
      <c r="J630" s="15">
        <f>IF(Model!$B$31="Summer",  IF(F630&lt;=2000,  Model!$B$20-Model!$B$35*F630/1000,  IF(F630&lt;Model!$B$36,  Model!$B$33-6.5*F630/1000,  Model!$B$38)),     IF(F630&lt;=2000,  Model!$B$20-Model!$B$35*F630/1000,  IF(F630&lt;Model!$B$36,  Model!$B$33-5.4*F630/1000,   Model!$B$38)))</f>
        <v>-19.088750000000001</v>
      </c>
      <c r="K630" s="15">
        <f t="shared" si="193"/>
        <v>253.91125</v>
      </c>
      <c r="L630" s="45">
        <f>IF(AB629-AA629*(B630-B629)&gt;0, L629-Y629*(B630-B629)*3600-AD630*Model!$B$16, 0)</f>
        <v>580.26669241237232</v>
      </c>
      <c r="M630" s="56">
        <f t="shared" si="180"/>
        <v>11.230265417227201</v>
      </c>
      <c r="N630" s="56">
        <f>Model!$B$13*I630*K630/(Model!$B$13*I630-L630*287*K630)</f>
        <v>284.2302654172272</v>
      </c>
      <c r="O630" s="56">
        <f t="shared" si="181"/>
        <v>269.0707577086136</v>
      </c>
      <c r="P630" s="56">
        <f t="shared" si="182"/>
        <v>0.71277928092361531</v>
      </c>
      <c r="Q630" s="62">
        <f t="shared" si="194"/>
        <v>2.3721023797311565E-2</v>
      </c>
      <c r="R630" s="33">
        <f t="shared" si="195"/>
        <v>1.3191358801695813E-5</v>
      </c>
      <c r="S630" s="45">
        <f>0.37*Model!$B$10*(Q630^2*(N630-K630)*I630/(R630*O630^2))^0.33333*(N630-K630)</f>
        <v>164673.04694563258</v>
      </c>
      <c r="T630" s="50">
        <f>Model!$B$32+(90-Model!$B$6)*SIN(RADIANS(-15*(E630+6)))</f>
        <v>20.329373590011446</v>
      </c>
      <c r="U630" s="45">
        <f t="shared" si="184"/>
        <v>20.329373590011446</v>
      </c>
      <c r="V630" s="50">
        <f t="shared" si="185"/>
        <v>2.8783900668186568</v>
      </c>
      <c r="W630" s="45">
        <f t="shared" si="186"/>
        <v>703.07003175623163</v>
      </c>
      <c r="X630" s="45">
        <f>0.3*W630*Model!$B$9</f>
        <v>63687.347867612851</v>
      </c>
      <c r="Y630" s="33">
        <f>(S630-X630)/Model!$B$11</f>
        <v>2.166377755615569E-3</v>
      </c>
      <c r="Z630" s="45">
        <f t="shared" si="187"/>
        <v>38.675028517957443</v>
      </c>
      <c r="AA630" s="56">
        <f>Y630/Model!$B$12*3600</f>
        <v>14.026275653461713</v>
      </c>
      <c r="AB630" s="50">
        <f t="shared" si="192"/>
        <v>106.58997781101679</v>
      </c>
      <c r="AC630" s="50">
        <f t="shared" si="196"/>
        <v>1693.4100221889832</v>
      </c>
      <c r="AD630" s="15">
        <f>IF(AE630=0, Model!$B$19, 0 )</f>
        <v>0</v>
      </c>
      <c r="AE630" s="50">
        <f>IF(AE629+AB629-AB630&lt;Model!$B$19*Model!$B$18, AE629+AB629-AB630,  0)</f>
        <v>337.04459589509673</v>
      </c>
      <c r="AF630" s="15">
        <f t="shared" si="188"/>
        <v>31.400000000000311</v>
      </c>
      <c r="AG630" s="50">
        <f t="shared" si="189"/>
        <v>0</v>
      </c>
    </row>
    <row r="631" spans="2:33" x14ac:dyDescent="0.25">
      <c r="B631" s="13">
        <f t="shared" si="190"/>
        <v>31.450000000000312</v>
      </c>
      <c r="C631" s="13">
        <f>B631+Model!$B$4</f>
        <v>33.450000000000315</v>
      </c>
      <c r="D631" s="13">
        <f t="shared" si="191"/>
        <v>2</v>
      </c>
      <c r="E631" s="13">
        <f t="shared" si="197"/>
        <v>9.4500000000003155</v>
      </c>
      <c r="F631" s="14">
        <f>IF(AB631&gt;0, VLOOKUP(B631,Model!$A$40:$B$60, 2), 0)</f>
        <v>300</v>
      </c>
      <c r="G631" s="13">
        <f>IF(AB631&gt;0, VLOOKUP(B631,Model!$A$39:$C$58, 3), 0)</f>
        <v>1</v>
      </c>
      <c r="H631" s="13">
        <f t="shared" si="178"/>
        <v>97</v>
      </c>
      <c r="I631" s="46">
        <f>Model!$B$21*EXP((-0.029*9.81*F631)/(8.31*(273+J631)))</f>
        <v>100357.4491247143</v>
      </c>
      <c r="J631" s="13">
        <f>IF(Model!$B$31="Summer",  IF(F631&lt;=2000,  Model!$B$20-Model!$B$35*F631/1000,  IF(F631&lt;Model!$B$36,  Model!$B$33-6.5*F631/1000,  Model!$B$38)),     IF(F631&lt;=2000,  Model!$B$20-Model!$B$35*F631/1000,  IF(F631&lt;Model!$B$36,  Model!$B$33-5.4*F631/1000,   Model!$B$38)))</f>
        <v>-19.088750000000001</v>
      </c>
      <c r="K631" s="13">
        <f t="shared" si="193"/>
        <v>253.91125</v>
      </c>
      <c r="L631" s="46">
        <f>IF(AB630-AA630*(B631-B630)&gt;0, L630-Y630*(B631-B630)*3600-AD631*Model!$B$16, 0)</f>
        <v>579.87674441636148</v>
      </c>
      <c r="M631" s="57">
        <f t="shared" si="180"/>
        <v>11.207459493207125</v>
      </c>
      <c r="N631" s="57">
        <f>Model!$B$13*I631*K631/(Model!$B$13*I631-L631*287*K631)</f>
        <v>284.20745949320712</v>
      </c>
      <c r="O631" s="57">
        <f t="shared" si="181"/>
        <v>269.05935474660356</v>
      </c>
      <c r="P631" s="57">
        <f t="shared" si="182"/>
        <v>0.74648829164510655</v>
      </c>
      <c r="Q631" s="63">
        <f t="shared" si="194"/>
        <v>2.3720214187008853E-2</v>
      </c>
      <c r="R631" s="17">
        <f t="shared" si="195"/>
        <v>1.3190172893646769E-5</v>
      </c>
      <c r="S631" s="46">
        <f>0.37*Model!$B$10*(Q631^2*(N631-K631)*I631/(R631*O631^2))^0.33333*(N631-K631)</f>
        <v>164513.74697395856</v>
      </c>
      <c r="T631" s="51">
        <f>Model!$B$32+(90-Model!$B$6)*SIN(RADIANS(-15*(E631+6)))</f>
        <v>20.615357519843531</v>
      </c>
      <c r="U631" s="46">
        <f t="shared" si="184"/>
        <v>20.615357519843531</v>
      </c>
      <c r="V631" s="51">
        <f t="shared" si="185"/>
        <v>2.8401624469577484</v>
      </c>
      <c r="W631" s="46">
        <f t="shared" si="186"/>
        <v>709.59924699761882</v>
      </c>
      <c r="X631" s="46">
        <f>0.3*W631*Model!$B$9</f>
        <v>64278.794499667449</v>
      </c>
      <c r="Y631" s="17">
        <f>(S631-X631)/Model!$B$11</f>
        <v>2.1502724975714063E-3</v>
      </c>
      <c r="Z631" s="46">
        <f t="shared" si="187"/>
        <v>39.071989837932726</v>
      </c>
      <c r="AA631" s="57">
        <f>Y631/Model!$B$12*3600</f>
        <v>13.92200169283227</v>
      </c>
      <c r="AB631" s="51">
        <f t="shared" si="192"/>
        <v>105.8886640283437</v>
      </c>
      <c r="AC631" s="51">
        <f t="shared" si="196"/>
        <v>1694.1113359716562</v>
      </c>
      <c r="AD631" s="13">
        <f>IF(AE631=0, Model!$B$19, 0 )</f>
        <v>0</v>
      </c>
      <c r="AE631" s="51">
        <f>IF(AE630+AB630-AB631&lt;Model!$B$19*Model!$B$18, AE630+AB630-AB631,  0)</f>
        <v>337.74590967776987</v>
      </c>
      <c r="AF631" s="13">
        <f t="shared" si="188"/>
        <v>31.450000000000312</v>
      </c>
      <c r="AG631" s="50">
        <f t="shared" si="189"/>
        <v>0</v>
      </c>
    </row>
    <row r="632" spans="2:33" x14ac:dyDescent="0.25">
      <c r="B632" s="15">
        <f t="shared" si="190"/>
        <v>31.500000000000313</v>
      </c>
      <c r="C632" s="15">
        <f>B632+Model!$B$4</f>
        <v>33.500000000000313</v>
      </c>
      <c r="D632" s="15">
        <f t="shared" si="191"/>
        <v>2</v>
      </c>
      <c r="E632" s="15">
        <f t="shared" si="197"/>
        <v>9.5000000000003126</v>
      </c>
      <c r="F632" s="16">
        <f>IF(AB632&gt;0, VLOOKUP(B632,Model!$A$40:$B$60, 2), 0)</f>
        <v>300</v>
      </c>
      <c r="G632" s="15">
        <f>IF(AB632&gt;0, VLOOKUP(B632,Model!$A$39:$C$58, 3), 0)</f>
        <v>1</v>
      </c>
      <c r="H632" s="15">
        <f t="shared" si="178"/>
        <v>97</v>
      </c>
      <c r="I632" s="45">
        <f>Model!$B$21*EXP((-0.029*9.81*F632)/(8.31*(273+J632)))</f>
        <v>100357.4491247143</v>
      </c>
      <c r="J632" s="15">
        <f>IF(Model!$B$31="Summer",  IF(F632&lt;=2000,  Model!$B$20-Model!$B$35*F632/1000,  IF(F632&lt;Model!$B$36,  Model!$B$33-6.5*F632/1000,  Model!$B$38)),     IF(F632&lt;=2000,  Model!$B$20-Model!$B$35*F632/1000,  IF(F632&lt;Model!$B$36,  Model!$B$33-5.4*F632/1000,   Model!$B$38)))</f>
        <v>-19.088750000000001</v>
      </c>
      <c r="K632" s="15">
        <f t="shared" si="193"/>
        <v>253.91125</v>
      </c>
      <c r="L632" s="45">
        <f>IF(AB631-AA631*(B632-B631)&gt;0, L631-Y631*(B632-B631)*3600-AD632*Model!$B$16, 0)</f>
        <v>579.48969536679863</v>
      </c>
      <c r="M632" s="56">
        <f t="shared" si="180"/>
        <v>11.184826731480371</v>
      </c>
      <c r="N632" s="56">
        <f>Model!$B$13*I632*K632/(Model!$B$13*I632-L632*287*K632)</f>
        <v>284.18482673148037</v>
      </c>
      <c r="O632" s="56">
        <f t="shared" si="181"/>
        <v>269.04803836574018</v>
      </c>
      <c r="P632" s="56">
        <f t="shared" si="182"/>
        <v>0.77870001239097686</v>
      </c>
      <c r="Q632" s="62">
        <f t="shared" si="194"/>
        <v>2.3719410723967552E-2</v>
      </c>
      <c r="R632" s="33">
        <f t="shared" si="195"/>
        <v>1.3188995990036978E-5</v>
      </c>
      <c r="S632" s="45">
        <f>0.37*Model!$B$10*(Q632^2*(N632-K632)*I632/(R632*O632^2))^0.33333*(N632-K632)</f>
        <v>164355.68663761002</v>
      </c>
      <c r="T632" s="50">
        <f>Model!$B$32+(90-Model!$B$6)*SIN(RADIANS(-15*(E632+6)))</f>
        <v>20.896631849210642</v>
      </c>
      <c r="U632" s="45">
        <f t="shared" si="184"/>
        <v>20.896631849210642</v>
      </c>
      <c r="V632" s="50">
        <f t="shared" si="185"/>
        <v>2.8036092899450722</v>
      </c>
      <c r="W632" s="45">
        <f t="shared" si="186"/>
        <v>715.89917167513113</v>
      </c>
      <c r="X632" s="45">
        <f>0.3*W632*Model!$B$9</f>
        <v>64849.47092783812</v>
      </c>
      <c r="Y632" s="33">
        <f>(S632-X632)/Model!$B$11</f>
        <v>2.1346394016898401E-3</v>
      </c>
      <c r="Z632" s="45">
        <f t="shared" si="187"/>
        <v>39.456785618148743</v>
      </c>
      <c r="AA632" s="56">
        <f>Y632/Model!$B$12*3600</f>
        <v>13.82078475982811</v>
      </c>
      <c r="AB632" s="50">
        <f t="shared" si="192"/>
        <v>105.19256394370207</v>
      </c>
      <c r="AC632" s="50">
        <f t="shared" si="196"/>
        <v>1694.807436056298</v>
      </c>
      <c r="AD632" s="15">
        <f>IF(AE632=0, Model!$B$19, 0 )</f>
        <v>0</v>
      </c>
      <c r="AE632" s="50">
        <f>IF(AE631+AB631-AB632&lt;Model!$B$19*Model!$B$18, AE631+AB631-AB632,  0)</f>
        <v>338.44200976241149</v>
      </c>
      <c r="AF632" s="15">
        <f t="shared" si="188"/>
        <v>31.500000000000313</v>
      </c>
      <c r="AG632" s="50">
        <f t="shared" si="189"/>
        <v>0</v>
      </c>
    </row>
    <row r="633" spans="2:33" x14ac:dyDescent="0.25">
      <c r="B633" s="13">
        <f t="shared" si="190"/>
        <v>31.550000000000313</v>
      </c>
      <c r="C633" s="13">
        <f>B633+Model!$B$4</f>
        <v>33.55000000000031</v>
      </c>
      <c r="D633" s="13">
        <f t="shared" si="191"/>
        <v>2</v>
      </c>
      <c r="E633" s="13">
        <f t="shared" si="197"/>
        <v>9.5500000000003098</v>
      </c>
      <c r="F633" s="14">
        <f>IF(AB633&gt;0, VLOOKUP(B633,Model!$A$40:$B$60, 2), 0)</f>
        <v>300</v>
      </c>
      <c r="G633" s="13">
        <f>IF(AB633&gt;0, VLOOKUP(B633,Model!$A$39:$C$58, 3), 0)</f>
        <v>1</v>
      </c>
      <c r="H633" s="13">
        <f t="shared" si="178"/>
        <v>97</v>
      </c>
      <c r="I633" s="46">
        <f>Model!$B$21*EXP((-0.029*9.81*F633)/(8.31*(273+J633)))</f>
        <v>100357.4491247143</v>
      </c>
      <c r="J633" s="13">
        <f>IF(Model!$B$31="Summer",  IF(F633&lt;=2000,  Model!$B$20-Model!$B$35*F633/1000,  IF(F633&lt;Model!$B$36,  Model!$B$33-6.5*F633/1000,  Model!$B$38)),     IF(F633&lt;=2000,  Model!$B$20-Model!$B$35*F633/1000,  IF(F633&lt;Model!$B$36,  Model!$B$33-5.4*F633/1000,   Model!$B$38)))</f>
        <v>-19.088750000000001</v>
      </c>
      <c r="K633" s="13">
        <f t="shared" si="193"/>
        <v>253.91125</v>
      </c>
      <c r="L633" s="46">
        <f>IF(AB632-AA632*(B633-B632)&gt;0, L632-Y632*(B633-B632)*3600-AD633*Model!$B$16, 0)</f>
        <v>579.10546027449448</v>
      </c>
      <c r="M633" s="57">
        <f t="shared" si="180"/>
        <v>11.162362081609388</v>
      </c>
      <c r="N633" s="57">
        <f>Model!$B$13*I633*K633/(Model!$B$13*I633-L633*287*K633)</f>
        <v>284.16236208160939</v>
      </c>
      <c r="O633" s="57">
        <f t="shared" si="181"/>
        <v>269.03680604080466</v>
      </c>
      <c r="P633" s="57">
        <f t="shared" si="182"/>
        <v>0.80946718530556705</v>
      </c>
      <c r="Q633" s="63">
        <f t="shared" si="194"/>
        <v>2.371861322889713E-2</v>
      </c>
      <c r="R633" s="17">
        <f t="shared" si="195"/>
        <v>1.3187827828243683E-5</v>
      </c>
      <c r="S633" s="46">
        <f>0.37*Model!$B$10*(Q633^2*(N633-K633)*I633/(R633*O633^2))^0.33333*(N633-K633)</f>
        <v>164198.83001020193</v>
      </c>
      <c r="T633" s="51">
        <f>Model!$B$32+(90-Model!$B$6)*SIN(RADIANS(-15*(E633+6)))</f>
        <v>21.173148383204506</v>
      </c>
      <c r="U633" s="46">
        <f t="shared" si="184"/>
        <v>21.173148383204506</v>
      </c>
      <c r="V633" s="51">
        <f t="shared" si="185"/>
        <v>2.768644345746512</v>
      </c>
      <c r="W633" s="46">
        <f t="shared" si="186"/>
        <v>721.97770393673409</v>
      </c>
      <c r="X633" s="46">
        <f>0.3*W633*Model!$B$9</f>
        <v>65400.092603039091</v>
      </c>
      <c r="Y633" s="17">
        <f>(S633-X633)/Model!$B$11</f>
        <v>2.119462349182942E-3</v>
      </c>
      <c r="Z633" s="46">
        <f t="shared" si="187"/>
        <v>39.829816448129186</v>
      </c>
      <c r="AA633" s="57">
        <f>Y633/Model!$B$12*3600</f>
        <v>13.722520492888973</v>
      </c>
      <c r="AB633" s="51">
        <f t="shared" si="192"/>
        <v>104.50152470571065</v>
      </c>
      <c r="AC633" s="51">
        <f t="shared" si="196"/>
        <v>1695.4984752942894</v>
      </c>
      <c r="AD633" s="13">
        <f>IF(AE633=0, Model!$B$19, 0 )</f>
        <v>0</v>
      </c>
      <c r="AE633" s="51">
        <f>IF(AE632+AB632-AB633&lt;Model!$B$19*Model!$B$18, AE632+AB632-AB633,  0)</f>
        <v>339.13304900040288</v>
      </c>
      <c r="AF633" s="13">
        <f t="shared" si="188"/>
        <v>31.550000000000313</v>
      </c>
      <c r="AG633" s="50">
        <f t="shared" si="189"/>
        <v>0</v>
      </c>
    </row>
    <row r="634" spans="2:33" x14ac:dyDescent="0.25">
      <c r="B634" s="15">
        <f t="shared" si="190"/>
        <v>31.600000000000314</v>
      </c>
      <c r="C634" s="15">
        <f>B634+Model!$B$4</f>
        <v>33.600000000000314</v>
      </c>
      <c r="D634" s="15">
        <f t="shared" si="191"/>
        <v>2</v>
      </c>
      <c r="E634" s="15">
        <f t="shared" si="197"/>
        <v>9.6000000000003141</v>
      </c>
      <c r="F634" s="16">
        <f>IF(AB634&gt;0, VLOOKUP(B634,Model!$A$40:$B$60, 2), 0)</f>
        <v>300</v>
      </c>
      <c r="G634" s="15">
        <f>IF(AB634&gt;0, VLOOKUP(B634,Model!$A$39:$C$58, 3), 0)</f>
        <v>1</v>
      </c>
      <c r="H634" s="15">
        <f t="shared" si="178"/>
        <v>97</v>
      </c>
      <c r="I634" s="45">
        <f>Model!$B$21*EXP((-0.029*9.81*F634)/(8.31*(273+J634)))</f>
        <v>100357.4491247143</v>
      </c>
      <c r="J634" s="15">
        <f>IF(Model!$B$31="Summer",  IF(F634&lt;=2000,  Model!$B$20-Model!$B$35*F634/1000,  IF(F634&lt;Model!$B$36,  Model!$B$33-6.5*F634/1000,  Model!$B$38)),     IF(F634&lt;=2000,  Model!$B$20-Model!$B$35*F634/1000,  IF(F634&lt;Model!$B$36,  Model!$B$33-5.4*F634/1000,   Model!$B$38)))</f>
        <v>-19.088750000000001</v>
      </c>
      <c r="K634" s="15">
        <f t="shared" si="193"/>
        <v>253.91125</v>
      </c>
      <c r="L634" s="45">
        <f>IF(AB633-AA633*(B634-B633)&gt;0, L633-Y633*(B634-B633)*3600-AD634*Model!$B$16, 0)</f>
        <v>578.72395705164149</v>
      </c>
      <c r="M634" s="56">
        <f t="shared" si="180"/>
        <v>11.140060666512341</v>
      </c>
      <c r="N634" s="56">
        <f>Model!$B$13*I634*K634/(Model!$B$13*I634-L634*287*K634)</f>
        <v>284.14006066651234</v>
      </c>
      <c r="O634" s="56">
        <f t="shared" si="181"/>
        <v>269.02565533325617</v>
      </c>
      <c r="P634" s="56">
        <f t="shared" si="182"/>
        <v>0.83884002616773046</v>
      </c>
      <c r="Q634" s="62">
        <f t="shared" si="194"/>
        <v>2.3717821528661188E-2</v>
      </c>
      <c r="R634" s="33">
        <f t="shared" si="195"/>
        <v>1.3186668154658641E-5</v>
      </c>
      <c r="S634" s="45">
        <f>0.37*Model!$B$10*(Q634^2*(N634-K634)*I634/(R634*O634^2))^0.33333*(N634-K634)</f>
        <v>164043.14240611254</v>
      </c>
      <c r="T634" s="50">
        <f>Model!$B$32+(90-Model!$B$6)*SIN(RADIANS(-15*(E634+6)))</f>
        <v>21.444859742140533</v>
      </c>
      <c r="U634" s="45">
        <f t="shared" si="184"/>
        <v>21.444859742140533</v>
      </c>
      <c r="V634" s="50">
        <f t="shared" si="185"/>
        <v>2.7351875437040736</v>
      </c>
      <c r="W634" s="45">
        <f t="shared" si="186"/>
        <v>727.8423681428385</v>
      </c>
      <c r="X634" s="45">
        <f>0.3*W634*Model!$B$9</f>
        <v>65931.341116772368</v>
      </c>
      <c r="Y634" s="33">
        <f>(S634-X634)/Model!$B$11</f>
        <v>2.1047259742430586E-3</v>
      </c>
      <c r="Z634" s="45">
        <f t="shared" si="187"/>
        <v>40.191464360972674</v>
      </c>
      <c r="AA634" s="56">
        <f>Y634/Model!$B$12*3600</f>
        <v>13.627109405647248</v>
      </c>
      <c r="AB634" s="50">
        <f t="shared" si="192"/>
        <v>103.8153986810662</v>
      </c>
      <c r="AC634" s="50">
        <f t="shared" si="196"/>
        <v>1696.1846013189338</v>
      </c>
      <c r="AD634" s="15">
        <f>IF(AE634=0, Model!$B$19, 0 )</f>
        <v>0</v>
      </c>
      <c r="AE634" s="50">
        <f>IF(AE633+AB633-AB634&lt;Model!$B$19*Model!$B$18, AE633+AB633-AB634,  0)</f>
        <v>339.81917502504734</v>
      </c>
      <c r="AF634" s="15">
        <f t="shared" si="188"/>
        <v>31.600000000000314</v>
      </c>
      <c r="AG634" s="50">
        <f t="shared" si="189"/>
        <v>0</v>
      </c>
    </row>
    <row r="635" spans="2:33" x14ac:dyDescent="0.25">
      <c r="B635" s="13">
        <f t="shared" si="190"/>
        <v>31.650000000000315</v>
      </c>
      <c r="C635" s="13">
        <f>B635+Model!$B$4</f>
        <v>33.650000000000318</v>
      </c>
      <c r="D635" s="13">
        <f t="shared" si="191"/>
        <v>2</v>
      </c>
      <c r="E635" s="13">
        <f t="shared" si="197"/>
        <v>9.6500000000003183</v>
      </c>
      <c r="F635" s="14">
        <f>IF(AB635&gt;0, VLOOKUP(B635,Model!$A$40:$B$60, 2), 0)</f>
        <v>300</v>
      </c>
      <c r="G635" s="13">
        <f>IF(AB635&gt;0, VLOOKUP(B635,Model!$A$39:$C$58, 3), 0)</f>
        <v>1</v>
      </c>
      <c r="H635" s="13">
        <f t="shared" si="178"/>
        <v>97</v>
      </c>
      <c r="I635" s="46">
        <f>Model!$B$21*EXP((-0.029*9.81*F635)/(8.31*(273+J635)))</f>
        <v>100357.4491247143</v>
      </c>
      <c r="J635" s="13">
        <f>IF(Model!$B$31="Summer",  IF(F635&lt;=2000,  Model!$B$20-Model!$B$35*F635/1000,  IF(F635&lt;Model!$B$36,  Model!$B$33-6.5*F635/1000,  Model!$B$38)),     IF(F635&lt;=2000,  Model!$B$20-Model!$B$35*F635/1000,  IF(F635&lt;Model!$B$36,  Model!$B$33-5.4*F635/1000,   Model!$B$38)))</f>
        <v>-19.088750000000001</v>
      </c>
      <c r="K635" s="13">
        <f t="shared" si="193"/>
        <v>253.91125</v>
      </c>
      <c r="L635" s="46">
        <f>IF(AB634-AA634*(B635-B634)&gt;0, L634-Y634*(B635-B634)*3600-AD635*Model!$B$16, 0)</f>
        <v>578.34510637627773</v>
      </c>
      <c r="M635" s="57">
        <f t="shared" si="180"/>
        <v>11.117917774350303</v>
      </c>
      <c r="N635" s="57">
        <f>Model!$B$13*I635*K635/(Model!$B$13*I635-L635*287*K635)</f>
        <v>284.1179177743503</v>
      </c>
      <c r="O635" s="57">
        <f t="shared" si="181"/>
        <v>269.01458388717515</v>
      </c>
      <c r="P635" s="57">
        <f t="shared" si="182"/>
        <v>0.86686634146074137</v>
      </c>
      <c r="Q635" s="63">
        <f t="shared" si="194"/>
        <v>2.3717035455989435E-2</v>
      </c>
      <c r="R635" s="17">
        <f t="shared" si="195"/>
        <v>1.3185516724266214E-5</v>
      </c>
      <c r="S635" s="46">
        <f>0.37*Model!$B$10*(Q635^2*(N635-K635)*I635/(R635*O635^2))^0.33333*(N635-K635)</f>
        <v>163888.59032231403</v>
      </c>
      <c r="T635" s="51">
        <f>Model!$B$32+(90-Model!$B$6)*SIN(RADIANS(-15*(E635+6)))</f>
        <v>21.711719369676125</v>
      </c>
      <c r="U635" s="46">
        <f t="shared" si="184"/>
        <v>21.711719369676125</v>
      </c>
      <c r="V635" s="51">
        <f t="shared" si="185"/>
        <v>2.7031644631833749</v>
      </c>
      <c r="W635" s="46">
        <f t="shared" si="186"/>
        <v>733.50033235578076</v>
      </c>
      <c r="X635" s="46">
        <f>0.3*W635*Model!$B$9</f>
        <v>66443.865785406088</v>
      </c>
      <c r="Y635" s="17">
        <f>(S635-X635)/Model!$B$11</f>
        <v>2.090415628808494E-3</v>
      </c>
      <c r="Z635" s="46">
        <f t="shared" si="187"/>
        <v>40.542093659316507</v>
      </c>
      <c r="AA635" s="57">
        <f>Y635/Model!$B$12*3600</f>
        <v>13.534456658802352</v>
      </c>
      <c r="AB635" s="51">
        <f t="shared" si="192"/>
        <v>103.13404321078383</v>
      </c>
      <c r="AC635" s="51">
        <f t="shared" si="196"/>
        <v>1696.8659567892162</v>
      </c>
      <c r="AD635" s="13">
        <f>IF(AE635=0, Model!$B$19, 0 )</f>
        <v>0</v>
      </c>
      <c r="AE635" s="51">
        <f>IF(AE634+AB634-AB635&lt;Model!$B$19*Model!$B$18, AE634+AB634-AB635,  0)</f>
        <v>340.50053049532971</v>
      </c>
      <c r="AF635" s="13">
        <f t="shared" si="188"/>
        <v>31.650000000000315</v>
      </c>
      <c r="AG635" s="50">
        <f t="shared" si="189"/>
        <v>0</v>
      </c>
    </row>
    <row r="636" spans="2:33" x14ac:dyDescent="0.25">
      <c r="B636" s="15">
        <f t="shared" si="190"/>
        <v>31.700000000000315</v>
      </c>
      <c r="C636" s="15">
        <f>B636+Model!$B$4</f>
        <v>33.700000000000315</v>
      </c>
      <c r="D636" s="15">
        <f t="shared" si="191"/>
        <v>2</v>
      </c>
      <c r="E636" s="15">
        <f t="shared" si="197"/>
        <v>9.7000000000003155</v>
      </c>
      <c r="F636" s="16">
        <f>IF(AB636&gt;0, VLOOKUP(B636,Model!$A$40:$B$60, 2), 0)</f>
        <v>300</v>
      </c>
      <c r="G636" s="15">
        <f>IF(AB636&gt;0, VLOOKUP(B636,Model!$A$39:$C$58, 3), 0)</f>
        <v>1</v>
      </c>
      <c r="H636" s="15">
        <f t="shared" si="178"/>
        <v>97</v>
      </c>
      <c r="I636" s="45">
        <f>Model!$B$21*EXP((-0.029*9.81*F636)/(8.31*(273+J636)))</f>
        <v>100357.4491247143</v>
      </c>
      <c r="J636" s="15">
        <f>IF(Model!$B$31="Summer",  IF(F636&lt;=2000,  Model!$B$20-Model!$B$35*F636/1000,  IF(F636&lt;Model!$B$36,  Model!$B$33-6.5*F636/1000,  Model!$B$38)),     IF(F636&lt;=2000,  Model!$B$20-Model!$B$35*F636/1000,  IF(F636&lt;Model!$B$36,  Model!$B$33-5.4*F636/1000,   Model!$B$38)))</f>
        <v>-19.088750000000001</v>
      </c>
      <c r="K636" s="15">
        <f t="shared" si="193"/>
        <v>253.91125</v>
      </c>
      <c r="L636" s="45">
        <f>IF(AB635-AA635*(B636-B635)&gt;0, L635-Y635*(B636-B635)*3600-AD636*Model!$B$16, 0)</f>
        <v>577.96883156309218</v>
      </c>
      <c r="M636" s="56">
        <f t="shared" si="180"/>
        <v>11.095928850797463</v>
      </c>
      <c r="N636" s="56">
        <f>Model!$B$13*I636*K636/(Model!$B$13*I636-L636*287*K636)</f>
        <v>284.09592885079746</v>
      </c>
      <c r="O636" s="56">
        <f t="shared" si="181"/>
        <v>269.00358942539873</v>
      </c>
      <c r="P636" s="56">
        <f t="shared" si="182"/>
        <v>0.89359164110393596</v>
      </c>
      <c r="Q636" s="62">
        <f t="shared" si="194"/>
        <v>2.3716254849203311E-2</v>
      </c>
      <c r="R636" s="33">
        <f t="shared" si="195"/>
        <v>1.3184373300241467E-5</v>
      </c>
      <c r="S636" s="45">
        <f>0.37*Model!$B$10*(Q636^2*(N636-K636)*I636/(R636*O636^2))^0.33333*(N636-K636)</f>
        <v>163735.14138297085</v>
      </c>
      <c r="T636" s="50">
        <f>Model!$B$32+(90-Model!$B$6)*SIN(RADIANS(-15*(E636+6)))</f>
        <v>21.973681540787862</v>
      </c>
      <c r="U636" s="45">
        <f t="shared" si="184"/>
        <v>21.973681540787862</v>
      </c>
      <c r="V636" s="50">
        <f t="shared" si="185"/>
        <v>2.6725058583132926</v>
      </c>
      <c r="W636" s="45">
        <f t="shared" si="186"/>
        <v>738.9584251189151</v>
      </c>
      <c r="X636" s="45">
        <f>0.3*W636*Model!$B$9</f>
        <v>66938.28517010255</v>
      </c>
      <c r="Y636" s="33">
        <f>(S636-X636)/Model!$B$11</f>
        <v>2.0765173487690292E-3</v>
      </c>
      <c r="Z636" s="45">
        <f t="shared" si="187"/>
        <v>40.882051711511465</v>
      </c>
      <c r="AA636" s="56">
        <f>Y636/Model!$B$12*3600</f>
        <v>13.444471841317396</v>
      </c>
      <c r="AB636" s="50">
        <f t="shared" si="192"/>
        <v>102.4573203778437</v>
      </c>
      <c r="AC636" s="50">
        <f t="shared" si="196"/>
        <v>1697.5426796221564</v>
      </c>
      <c r="AD636" s="15">
        <f>IF(AE636=0, Model!$B$19, 0 )</f>
        <v>0</v>
      </c>
      <c r="AE636" s="50">
        <f>IF(AE635+AB635-AB636&lt;Model!$B$19*Model!$B$18, AE635+AB635-AB636,  0)</f>
        <v>341.17725332826984</v>
      </c>
      <c r="AF636" s="15">
        <f t="shared" si="188"/>
        <v>31.700000000000315</v>
      </c>
      <c r="AG636" s="50">
        <f t="shared" si="189"/>
        <v>0</v>
      </c>
    </row>
    <row r="637" spans="2:33" x14ac:dyDescent="0.25">
      <c r="B637" s="13">
        <f t="shared" si="190"/>
        <v>31.750000000000316</v>
      </c>
      <c r="C637" s="13">
        <f>B637+Model!$B$4</f>
        <v>33.750000000000313</v>
      </c>
      <c r="D637" s="13">
        <f t="shared" si="191"/>
        <v>2</v>
      </c>
      <c r="E637" s="13">
        <f t="shared" si="197"/>
        <v>9.7500000000003126</v>
      </c>
      <c r="F637" s="14">
        <f>IF(AB637&gt;0, VLOOKUP(B637,Model!$A$40:$B$60, 2), 0)</f>
        <v>300</v>
      </c>
      <c r="G637" s="13">
        <f>IF(AB637&gt;0, VLOOKUP(B637,Model!$A$39:$C$58, 3), 0)</f>
        <v>1</v>
      </c>
      <c r="H637" s="13">
        <f t="shared" si="178"/>
        <v>97</v>
      </c>
      <c r="I637" s="46">
        <f>Model!$B$21*EXP((-0.029*9.81*F637)/(8.31*(273+J637)))</f>
        <v>100357.4491247143</v>
      </c>
      <c r="J637" s="13">
        <f>IF(Model!$B$31="Summer",  IF(F637&lt;=2000,  Model!$B$20-Model!$B$35*F637/1000,  IF(F637&lt;Model!$B$36,  Model!$B$33-6.5*F637/1000,  Model!$B$38)),     IF(F637&lt;=2000,  Model!$B$20-Model!$B$35*F637/1000,  IF(F637&lt;Model!$B$36,  Model!$B$33-5.4*F637/1000,   Model!$B$38)))</f>
        <v>-19.088750000000001</v>
      </c>
      <c r="K637" s="13">
        <f t="shared" si="193"/>
        <v>253.91125</v>
      </c>
      <c r="L637" s="46">
        <f>IF(AB636-AA636*(B637-B636)&gt;0, L636-Y636*(B637-B636)*3600-AD637*Model!$B$16, 0)</f>
        <v>577.59505844031378</v>
      </c>
      <c r="M637" s="57">
        <f t="shared" si="180"/>
        <v>11.074089491677626</v>
      </c>
      <c r="N637" s="57">
        <f>Model!$B$13*I637*K637/(Model!$B$13*I637-L637*287*K637)</f>
        <v>284.07408949167763</v>
      </c>
      <c r="O637" s="57">
        <f t="shared" si="181"/>
        <v>268.99266974583884</v>
      </c>
      <c r="P637" s="57">
        <f t="shared" si="182"/>
        <v>0.9190592466315799</v>
      </c>
      <c r="Q637" s="63">
        <f t="shared" si="194"/>
        <v>2.371547955195456E-2</v>
      </c>
      <c r="R637" s="17">
        <f t="shared" si="195"/>
        <v>1.318323765356724E-5</v>
      </c>
      <c r="S637" s="46">
        <f>0.37*Model!$B$10*(Q637^2*(N637-K637)*I637/(R637*O637^2))^0.33333*(N637-K637)</f>
        <v>163582.76428668501</v>
      </c>
      <c r="T637" s="51">
        <f>Model!$B$32+(90-Model!$B$6)*SIN(RADIANS(-15*(E637+6)))</f>
        <v>22.230701369606351</v>
      </c>
      <c r="U637" s="46">
        <f t="shared" si="184"/>
        <v>22.230701369606351</v>
      </c>
      <c r="V637" s="51">
        <f t="shared" si="185"/>
        <v>2.6431472305043888</v>
      </c>
      <c r="W637" s="46">
        <f t="shared" si="186"/>
        <v>744.22315150933753</v>
      </c>
      <c r="X637" s="46">
        <f>0.3*W637*Model!$B$9</f>
        <v>67415.188530948522</v>
      </c>
      <c r="Y637" s="17">
        <f>(S637-X637)/Model!$B$11</f>
        <v>2.0630178216397401E-3</v>
      </c>
      <c r="Z637" s="46">
        <f t="shared" si="187"/>
        <v>41.2116697164995</v>
      </c>
      <c r="AA637" s="57">
        <f>Y637/Model!$B$12*3600</f>
        <v>13.357068761122367</v>
      </c>
      <c r="AB637" s="51">
        <f t="shared" si="192"/>
        <v>101.78509678577782</v>
      </c>
      <c r="AC637" s="51">
        <f t="shared" si="196"/>
        <v>1698.2149032142222</v>
      </c>
      <c r="AD637" s="13">
        <f>IF(AE637=0, Model!$B$19, 0 )</f>
        <v>0</v>
      </c>
      <c r="AE637" s="51">
        <f>IF(AE636+AB636-AB637&lt;Model!$B$19*Model!$B$18, AE636+AB636-AB637,  0)</f>
        <v>341.84947692033575</v>
      </c>
      <c r="AF637" s="13">
        <f t="shared" si="188"/>
        <v>31.750000000000316</v>
      </c>
      <c r="AG637" s="50">
        <f t="shared" si="189"/>
        <v>0</v>
      </c>
    </row>
    <row r="638" spans="2:33" x14ac:dyDescent="0.25">
      <c r="B638" s="15">
        <f t="shared" si="190"/>
        <v>31.800000000000317</v>
      </c>
      <c r="C638" s="15">
        <f>B638+Model!$B$4</f>
        <v>33.800000000000317</v>
      </c>
      <c r="D638" s="15">
        <f t="shared" si="191"/>
        <v>2</v>
      </c>
      <c r="E638" s="15">
        <f t="shared" si="197"/>
        <v>9.8000000000003169</v>
      </c>
      <c r="F638" s="16">
        <f>IF(AB638&gt;0, VLOOKUP(B638,Model!$A$40:$B$60, 2), 0)</f>
        <v>300</v>
      </c>
      <c r="G638" s="15">
        <f>IF(AB638&gt;0, VLOOKUP(B638,Model!$A$39:$C$58, 3), 0)</f>
        <v>1</v>
      </c>
      <c r="H638" s="15">
        <f t="shared" si="178"/>
        <v>97</v>
      </c>
      <c r="I638" s="45">
        <f>Model!$B$21*EXP((-0.029*9.81*F638)/(8.31*(273+J638)))</f>
        <v>100357.4491247143</v>
      </c>
      <c r="J638" s="15">
        <f>IF(Model!$B$31="Summer",  IF(F638&lt;=2000,  Model!$B$20-Model!$B$35*F638/1000,  IF(F638&lt;Model!$B$36,  Model!$B$33-6.5*F638/1000,  Model!$B$38)),     IF(F638&lt;=2000,  Model!$B$20-Model!$B$35*F638/1000,  IF(F638&lt;Model!$B$36,  Model!$B$33-5.4*F638/1000,   Model!$B$38)))</f>
        <v>-19.088750000000001</v>
      </c>
      <c r="K638" s="15">
        <f t="shared" si="193"/>
        <v>253.91125</v>
      </c>
      <c r="L638" s="45">
        <f>IF(AB637-AA637*(B638-B637)&gt;0, L637-Y637*(B638-B637)*3600-AD638*Model!$B$16, 0)</f>
        <v>577.22371523241861</v>
      </c>
      <c r="M638" s="56">
        <f t="shared" si="180"/>
        <v>11.052395435951496</v>
      </c>
      <c r="N638" s="56">
        <f>Model!$B$13*I638*K638/(Model!$B$13*I638-L638*287*K638)</f>
        <v>284.0523954359515</v>
      </c>
      <c r="O638" s="56">
        <f t="shared" si="181"/>
        <v>268.98182271797577</v>
      </c>
      <c r="P638" s="56">
        <f t="shared" si="182"/>
        <v>0.94331039470466393</v>
      </c>
      <c r="Q638" s="62">
        <f t="shared" si="194"/>
        <v>2.3714709412976282E-2</v>
      </c>
      <c r="R638" s="33">
        <f t="shared" si="195"/>
        <v>1.3182109562669479E-5</v>
      </c>
      <c r="S638" s="45">
        <f>0.37*Model!$B$10*(Q638^2*(N638-K638)*I638/(R638*O638^2))^0.33333*(N638-K638)</f>
        <v>163431.42875627388</v>
      </c>
      <c r="T638" s="50">
        <f>Model!$B$32+(90-Model!$B$6)*SIN(RADIANS(-15*(E638+6)))</f>
        <v>22.482734817107097</v>
      </c>
      <c r="U638" s="45">
        <f t="shared" si="184"/>
        <v>22.482734817107097</v>
      </c>
      <c r="V638" s="50">
        <f t="shared" si="185"/>
        <v>2.6150284432624584</v>
      </c>
      <c r="W638" s="45">
        <f t="shared" si="186"/>
        <v>749.30070845982527</v>
      </c>
      <c r="X638" s="45">
        <f>0.3*W638*Model!$B$9</f>
        <v>67875.137214887669</v>
      </c>
      <c r="Y638" s="33">
        <f>(S638-X638)/Model!$B$11</f>
        <v>2.0499043557092398E-3</v>
      </c>
      <c r="Z638" s="45">
        <f t="shared" si="187"/>
        <v>41.531263436551249</v>
      </c>
      <c r="AA638" s="56">
        <f>Y638/Model!$B$12*3600</f>
        <v>13.272165245363542</v>
      </c>
      <c r="AB638" s="50">
        <f t="shared" si="192"/>
        <v>101.1172433477217</v>
      </c>
      <c r="AC638" s="50">
        <f t="shared" si="196"/>
        <v>1698.8827566522782</v>
      </c>
      <c r="AD638" s="15">
        <f>IF(AE638=0, Model!$B$19, 0 )</f>
        <v>0</v>
      </c>
      <c r="AE638" s="50">
        <f>IF(AE637+AB637-AB638&lt;Model!$B$19*Model!$B$18, AE637+AB637-AB638,  0)</f>
        <v>342.51733035839186</v>
      </c>
      <c r="AF638" s="15">
        <f t="shared" si="188"/>
        <v>31.800000000000317</v>
      </c>
      <c r="AG638" s="50">
        <f t="shared" si="189"/>
        <v>0</v>
      </c>
    </row>
    <row r="639" spans="2:33" x14ac:dyDescent="0.25">
      <c r="B639" s="13">
        <f t="shared" si="190"/>
        <v>31.850000000000318</v>
      </c>
      <c r="C639" s="13">
        <f>B639+Model!$B$4</f>
        <v>33.850000000000321</v>
      </c>
      <c r="D639" s="13">
        <f t="shared" si="191"/>
        <v>2</v>
      </c>
      <c r="E639" s="13">
        <f t="shared" si="197"/>
        <v>9.8500000000003212</v>
      </c>
      <c r="F639" s="14">
        <f>IF(AB639&gt;0, VLOOKUP(B639,Model!$A$40:$B$60, 2), 0)</f>
        <v>300</v>
      </c>
      <c r="G639" s="13">
        <f>IF(AB639&gt;0, VLOOKUP(B639,Model!$A$39:$C$58, 3), 0)</f>
        <v>1</v>
      </c>
      <c r="H639" s="13">
        <f t="shared" si="178"/>
        <v>97</v>
      </c>
      <c r="I639" s="46">
        <f>Model!$B$21*EXP((-0.029*9.81*F639)/(8.31*(273+J639)))</f>
        <v>100357.4491247143</v>
      </c>
      <c r="J639" s="13">
        <f>IF(Model!$B$31="Summer",  IF(F639&lt;=2000,  Model!$B$20-Model!$B$35*F639/1000,  IF(F639&lt;Model!$B$36,  Model!$B$33-6.5*F639/1000,  Model!$B$38)),     IF(F639&lt;=2000,  Model!$B$20-Model!$B$35*F639/1000,  IF(F639&lt;Model!$B$36,  Model!$B$33-5.4*F639/1000,   Model!$B$38)))</f>
        <v>-19.088750000000001</v>
      </c>
      <c r="K639" s="13">
        <f t="shared" si="193"/>
        <v>253.91125</v>
      </c>
      <c r="L639" s="46">
        <f>IF(AB638-AA638*(B639-B638)&gt;0, L638-Y638*(B639-B638)*3600-AD639*Model!$B$16, 0)</f>
        <v>576.85473244839091</v>
      </c>
      <c r="M639" s="57">
        <f t="shared" si="180"/>
        <v>11.030842559038149</v>
      </c>
      <c r="N639" s="57">
        <f>Model!$B$13*I639*K639/(Model!$B$13*I639-L639*287*K639)</f>
        <v>284.03084255903815</v>
      </c>
      <c r="O639" s="57">
        <f t="shared" si="181"/>
        <v>268.9710462795191</v>
      </c>
      <c r="P639" s="57">
        <f t="shared" si="182"/>
        <v>0.96638433591790918</v>
      </c>
      <c r="Q639" s="63">
        <f t="shared" si="194"/>
        <v>2.3713944285845858E-2</v>
      </c>
      <c r="R639" s="17">
        <f t="shared" si="195"/>
        <v>1.3180988813069986E-5</v>
      </c>
      <c r="S639" s="46">
        <f>0.37*Model!$B$10*(Q639^2*(N639-K639)*I639/(R639*O639^2))^0.33333*(N639-K639)</f>
        <v>163281.10549095873</v>
      </c>
      <c r="T639" s="51">
        <f>Model!$B$32+(90-Model!$B$6)*SIN(RADIANS(-15*(E639+6)))</f>
        <v>22.72973869865632</v>
      </c>
      <c r="U639" s="46">
        <f t="shared" si="184"/>
        <v>22.72973869865632</v>
      </c>
      <c r="V639" s="51">
        <f t="shared" si="185"/>
        <v>2.5880933745224701</v>
      </c>
      <c r="W639" s="46">
        <f t="shared" si="186"/>
        <v>754.19699935451922</v>
      </c>
      <c r="X639" s="46">
        <f>0.3*W639*Model!$B$9</f>
        <v>68318.665977865166</v>
      </c>
      <c r="Y639" s="17">
        <f>(S639-X639)/Model!$B$11</f>
        <v>2.0371648506509396E-3</v>
      </c>
      <c r="Z639" s="46">
        <f t="shared" si="187"/>
        <v>41.841133897545873</v>
      </c>
      <c r="AA639" s="57">
        <f>Y639/Model!$B$12*3600</f>
        <v>13.189682950125233</v>
      </c>
      <c r="AB639" s="51">
        <f t="shared" si="192"/>
        <v>100.45363508545351</v>
      </c>
      <c r="AC639" s="51">
        <f t="shared" si="196"/>
        <v>1699.5463649145465</v>
      </c>
      <c r="AD639" s="13">
        <f>IF(AE639=0, Model!$B$19, 0 )</f>
        <v>0</v>
      </c>
      <c r="AE639" s="51">
        <f>IF(AE638+AB638-AB639&lt;Model!$B$19*Model!$B$18, AE638+AB638-AB639,  0)</f>
        <v>343.18093862066002</v>
      </c>
      <c r="AF639" s="13">
        <f t="shared" si="188"/>
        <v>31.850000000000318</v>
      </c>
      <c r="AG639" s="50">
        <f t="shared" si="189"/>
        <v>0</v>
      </c>
    </row>
    <row r="640" spans="2:33" x14ac:dyDescent="0.25">
      <c r="B640" s="15">
        <f t="shared" si="190"/>
        <v>31.900000000000318</v>
      </c>
      <c r="C640" s="15">
        <f>B640+Model!$B$4</f>
        <v>33.900000000000318</v>
      </c>
      <c r="D640" s="15">
        <f t="shared" si="191"/>
        <v>2</v>
      </c>
      <c r="E640" s="15">
        <f t="shared" si="197"/>
        <v>9.9000000000003183</v>
      </c>
      <c r="F640" s="16">
        <f>IF(AB640&gt;0, VLOOKUP(B640,Model!$A$40:$B$60, 2), 0)</f>
        <v>300</v>
      </c>
      <c r="G640" s="15">
        <f>IF(AB640&gt;0, VLOOKUP(B640,Model!$A$39:$C$58, 3), 0)</f>
        <v>1</v>
      </c>
      <c r="H640" s="15">
        <f t="shared" si="178"/>
        <v>97</v>
      </c>
      <c r="I640" s="45">
        <f>Model!$B$21*EXP((-0.029*9.81*F640)/(8.31*(273+J640)))</f>
        <v>100357.4491247143</v>
      </c>
      <c r="J640" s="15">
        <f>IF(Model!$B$31="Summer",  IF(F640&lt;=2000,  Model!$B$20-Model!$B$35*F640/1000,  IF(F640&lt;Model!$B$36,  Model!$B$33-6.5*F640/1000,  Model!$B$38)),     IF(F640&lt;=2000,  Model!$B$20-Model!$B$35*F640/1000,  IF(F640&lt;Model!$B$36,  Model!$B$33-5.4*F640/1000,   Model!$B$38)))</f>
        <v>-19.088750000000001</v>
      </c>
      <c r="K640" s="15">
        <f t="shared" si="193"/>
        <v>253.91125</v>
      </c>
      <c r="L640" s="45">
        <f>IF(AB639-AA639*(B640-B639)&gt;0, L639-Y639*(B640-B639)*3600-AD640*Model!$B$16, 0)</f>
        <v>576.4880427752737</v>
      </c>
      <c r="M640" s="56">
        <f t="shared" si="180"/>
        <v>11.009426866454419</v>
      </c>
      <c r="N640" s="56">
        <f>Model!$B$13*I640*K640/(Model!$B$13*I640-L640*287*K640)</f>
        <v>284.00942686645442</v>
      </c>
      <c r="O640" s="56">
        <f t="shared" si="181"/>
        <v>268.96033843322721</v>
      </c>
      <c r="P640" s="56">
        <f t="shared" si="182"/>
        <v>0.98831842892400346</v>
      </c>
      <c r="Q640" s="62">
        <f t="shared" si="194"/>
        <v>2.3713184028759132E-2</v>
      </c>
      <c r="R640" s="33">
        <f t="shared" si="195"/>
        <v>1.3179875197055629E-5</v>
      </c>
      <c r="S640" s="45">
        <f>0.37*Model!$B$10*(Q640^2*(N640-K640)*I640/(R640*O640^2))^0.33333*(N640-K640)</f>
        <v>163131.76612084536</v>
      </c>
      <c r="T640" s="50">
        <f>Model!$B$32+(90-Model!$B$6)*SIN(RADIANS(-15*(E640+6)))</f>
        <v>22.97167069141042</v>
      </c>
      <c r="U640" s="45">
        <f t="shared" si="184"/>
        <v>22.97167069141042</v>
      </c>
      <c r="V640" s="50">
        <f t="shared" si="185"/>
        <v>2.5622896023358739</v>
      </c>
      <c r="W640" s="45">
        <f t="shared" si="186"/>
        <v>758.91764790961201</v>
      </c>
      <c r="X640" s="45">
        <f>0.3*W640*Model!$B$9</f>
        <v>68746.284242204987</v>
      </c>
      <c r="Y640" s="33">
        <f>(S640-X640)/Model!$B$11</f>
        <v>2.0247877695728925E-3</v>
      </c>
      <c r="Z640" s="45">
        <f t="shared" si="187"/>
        <v>42.141568056879159</v>
      </c>
      <c r="AA640" s="56">
        <f>Y640/Model!$B$12*3600</f>
        <v>13.109547179465695</v>
      </c>
      <c r="AB640" s="50">
        <f t="shared" si="192"/>
        <v>99.794150937947236</v>
      </c>
      <c r="AC640" s="50">
        <f t="shared" si="196"/>
        <v>1700.2058490620527</v>
      </c>
      <c r="AD640" s="15">
        <f>IF(AE640=0, Model!$B$19, 0 )</f>
        <v>0</v>
      </c>
      <c r="AE640" s="50">
        <f>IF(AE639+AB639-AB640&lt;Model!$B$19*Model!$B$18, AE639+AB639-AB640,  0)</f>
        <v>343.84042276816632</v>
      </c>
      <c r="AF640" s="15">
        <f t="shared" si="188"/>
        <v>31.900000000000318</v>
      </c>
      <c r="AG640" s="50">
        <f t="shared" si="189"/>
        <v>0</v>
      </c>
    </row>
    <row r="641" spans="2:33" x14ac:dyDescent="0.25">
      <c r="B641" s="13">
        <f t="shared" si="190"/>
        <v>31.950000000000319</v>
      </c>
      <c r="C641" s="13">
        <f>B641+Model!$B$4</f>
        <v>33.950000000000315</v>
      </c>
      <c r="D641" s="13">
        <f t="shared" si="191"/>
        <v>2</v>
      </c>
      <c r="E641" s="13">
        <f t="shared" si="197"/>
        <v>9.9500000000003155</v>
      </c>
      <c r="F641" s="14">
        <f>IF(AB641&gt;0, VLOOKUP(B641,Model!$A$40:$B$60, 2), 0)</f>
        <v>300</v>
      </c>
      <c r="G641" s="13">
        <f>IF(AB641&gt;0, VLOOKUP(B641,Model!$A$39:$C$58, 3), 0)</f>
        <v>1</v>
      </c>
      <c r="H641" s="13">
        <f t="shared" si="178"/>
        <v>97</v>
      </c>
      <c r="I641" s="46">
        <f>Model!$B$21*EXP((-0.029*9.81*F641)/(8.31*(273+J641)))</f>
        <v>100357.4491247143</v>
      </c>
      <c r="J641" s="13">
        <f>IF(Model!$B$31="Summer",  IF(F641&lt;=2000,  Model!$B$20-Model!$B$35*F641/1000,  IF(F641&lt;Model!$B$36,  Model!$B$33-6.5*F641/1000,  Model!$B$38)),     IF(F641&lt;=2000,  Model!$B$20-Model!$B$35*F641/1000,  IF(F641&lt;Model!$B$36,  Model!$B$33-5.4*F641/1000,   Model!$B$38)))</f>
        <v>-19.088750000000001</v>
      </c>
      <c r="K641" s="13">
        <f t="shared" si="193"/>
        <v>253.91125</v>
      </c>
      <c r="L641" s="46">
        <f>IF(AB640-AA640*(B641-B640)&gt;0, L640-Y640*(B641-B640)*3600-AD641*Model!$B$16, 0)</f>
        <v>576.12358097675053</v>
      </c>
      <c r="M641" s="57">
        <f t="shared" si="180"/>
        <v>10.988144487757552</v>
      </c>
      <c r="N641" s="57">
        <f>Model!$B$13*I641*K641/(Model!$B$13*I641-L641*287*K641)</f>
        <v>283.98814448775755</v>
      </c>
      <c r="O641" s="57">
        <f t="shared" si="181"/>
        <v>268.94969724387875</v>
      </c>
      <c r="P641" s="57">
        <f t="shared" si="182"/>
        <v>1.0091482299428556</v>
      </c>
      <c r="Q641" s="63">
        <f t="shared" si="194"/>
        <v>2.3712428504315392E-2</v>
      </c>
      <c r="R641" s="17">
        <f t="shared" si="195"/>
        <v>1.3178768513363389E-5</v>
      </c>
      <c r="S641" s="46">
        <f>0.37*Model!$B$10*(Q641^2*(N641-K641)*I641/(R641*O641^2))^0.33333*(N641-K641)</f>
        <v>162983.38316359094</v>
      </c>
      <c r="T641" s="51">
        <f>Model!$B$32+(90-Model!$B$6)*SIN(RADIANS(-15*(E641+6)))</f>
        <v>23.20848934156799</v>
      </c>
      <c r="U641" s="46">
        <f t="shared" si="184"/>
        <v>23.20848934156799</v>
      </c>
      <c r="V641" s="51">
        <f t="shared" si="185"/>
        <v>2.5375681202662648</v>
      </c>
      <c r="W641" s="46">
        <f t="shared" si="186"/>
        <v>763.46801135537419</v>
      </c>
      <c r="X641" s="46">
        <f>0.3*W641*Model!$B$9</f>
        <v>69158.477290698924</v>
      </c>
      <c r="Y641" s="17">
        <f>(S641-X641)/Model!$B$11</f>
        <v>2.012762112472209E-3</v>
      </c>
      <c r="Z641" s="46">
        <f t="shared" si="187"/>
        <v>42.432839439394037</v>
      </c>
      <c r="AA641" s="57">
        <f>Y641/Model!$B$12*3600</f>
        <v>13.031686713546968</v>
      </c>
      <c r="AB641" s="51">
        <f t="shared" si="192"/>
        <v>99.138673578973936</v>
      </c>
      <c r="AC641" s="51">
        <f t="shared" si="196"/>
        <v>1700.861326421026</v>
      </c>
      <c r="AD641" s="13">
        <f>IF(AE641=0, Model!$B$19, 0 )</f>
        <v>0</v>
      </c>
      <c r="AE641" s="51">
        <f>IF(AE640+AB640-AB641&lt;Model!$B$19*Model!$B$18, AE640+AB640-AB641,  0)</f>
        <v>344.49590012713963</v>
      </c>
      <c r="AF641" s="13">
        <f t="shared" si="188"/>
        <v>31.950000000000319</v>
      </c>
      <c r="AG641" s="50">
        <f t="shared" si="189"/>
        <v>0</v>
      </c>
    </row>
    <row r="642" spans="2:33" x14ac:dyDescent="0.25">
      <c r="B642" s="15">
        <f t="shared" si="190"/>
        <v>32.00000000000032</v>
      </c>
      <c r="C642" s="15">
        <f>B642+Model!$B$4</f>
        <v>34.00000000000032</v>
      </c>
      <c r="D642" s="15">
        <f t="shared" si="191"/>
        <v>2</v>
      </c>
      <c r="E642" s="15">
        <f t="shared" si="197"/>
        <v>10.00000000000032</v>
      </c>
      <c r="F642" s="16">
        <f>IF(AB642&gt;0, VLOOKUP(B642,Model!$A$40:$B$60, 2), 0)</f>
        <v>300</v>
      </c>
      <c r="G642" s="15">
        <f>IF(AB642&gt;0, VLOOKUP(B642,Model!$A$39:$C$58, 3), 0)</f>
        <v>1</v>
      </c>
      <c r="H642" s="15">
        <f t="shared" ref="H642:H705" si="198">IF(B642=1, 0, G642*97)</f>
        <v>97</v>
      </c>
      <c r="I642" s="45">
        <f>Model!$B$21*EXP((-0.029*9.81*F642)/(8.31*(273+J642)))</f>
        <v>100357.4491247143</v>
      </c>
      <c r="J642" s="15">
        <f>IF(Model!$B$31="Summer",  IF(F642&lt;=2000,  Model!$B$20-Model!$B$35*F642/1000,  IF(F642&lt;Model!$B$36,  Model!$B$33-6.5*F642/1000,  Model!$B$38)),     IF(F642&lt;=2000,  Model!$B$20-Model!$B$35*F642/1000,  IF(F642&lt;Model!$B$36,  Model!$B$33-5.4*F642/1000,   Model!$B$38)))</f>
        <v>-19.088750000000001</v>
      </c>
      <c r="K642" s="15">
        <f t="shared" si="193"/>
        <v>253.91125</v>
      </c>
      <c r="L642" s="45">
        <f>IF(AB641-AA641*(B642-B641)&gt;0, L641-Y641*(B642-B641)*3600-AD642*Model!$B$16, 0)</f>
        <v>575.7612837965055</v>
      </c>
      <c r="M642" s="56">
        <f t="shared" ref="M642:M705" si="199">IF(AB642=0, 0, N642-273)</f>
        <v>10.966991670774235</v>
      </c>
      <c r="N642" s="56">
        <f>Model!$B$13*I642*K642/(Model!$B$13*I642-L642*287*K642)</f>
        <v>283.96699167077423</v>
      </c>
      <c r="O642" s="56">
        <f t="shared" ref="O642:O705" si="200">(K642+N642)/2</f>
        <v>268.93912083538714</v>
      </c>
      <c r="P642" s="56">
        <f t="shared" ref="P642:P705" si="201">(J642+M642)/2+W641/150</f>
        <v>1.0289075777562777</v>
      </c>
      <c r="Q642" s="62">
        <f t="shared" si="194"/>
        <v>2.3711677579312487E-2</v>
      </c>
      <c r="R642" s="33">
        <f t="shared" si="195"/>
        <v>1.3177668566880263E-5</v>
      </c>
      <c r="S642" s="45">
        <f>0.37*Model!$B$10*(Q642^2*(N642-K642)*I642/(R642*O642^2))^0.33333*(N642-K642)</f>
        <v>162835.92998313377</v>
      </c>
      <c r="T642" s="50">
        <f>Model!$B$32+(90-Model!$B$6)*SIN(RADIANS(-15*(E642+6)))</f>
        <v>23.440154071472495</v>
      </c>
      <c r="U642" s="45">
        <f t="shared" ref="U642:U705" si="202">IF(OR(T642&lt;0, AB642=0),  0, T642)</f>
        <v>23.440154071472495</v>
      </c>
      <c r="V642" s="50">
        <f t="shared" ref="V642:V705" si="203">IF(T642&lt;0,99999,1/SIN(RADIANS(T642)))</f>
        <v>2.5138830792982128</v>
      </c>
      <c r="W642" s="45">
        <f t="shared" ref="W642:W705" si="204">IF(G642=0,0, 1353*((1+F642/7100)*0.7^V642^0.678)+F642/7100)</f>
        <v>767.85319293949908</v>
      </c>
      <c r="X642" s="45">
        <f>0.3*W642*Model!$B$9</f>
        <v>69555.707399217674</v>
      </c>
      <c r="Y642" s="33">
        <f>(S642-X642)/Model!$B$11</f>
        <v>2.0010773910525818E-3</v>
      </c>
      <c r="Z642" s="45">
        <f t="shared" ref="Z642:Z705" si="205">100*X642/S642</f>
        <v>42.715208741966293</v>
      </c>
      <c r="AA642" s="56">
        <f>Y642/Model!$B$12*3600</f>
        <v>12.956033645590207</v>
      </c>
      <c r="AB642" s="50">
        <f t="shared" si="192"/>
        <v>98.48708924329658</v>
      </c>
      <c r="AC642" s="50">
        <f t="shared" si="196"/>
        <v>1701.5129107567034</v>
      </c>
      <c r="AD642" s="15">
        <f>IF(AE642=0, Model!$B$19, 0 )</f>
        <v>0</v>
      </c>
      <c r="AE642" s="50">
        <f>IF(AE641+AB641-AB642&lt;Model!$B$19*Model!$B$18, AE641+AB641-AB642,  0)</f>
        <v>345.14748446281698</v>
      </c>
      <c r="AF642" s="15">
        <f t="shared" ref="AF642:AF705" si="206">B642</f>
        <v>32.00000000000032</v>
      </c>
      <c r="AG642" s="50">
        <f t="shared" ref="AG642:AG705" si="207">IF(OR(P642&gt;0, AB642&lt;=0),0, IF(P642&lt;-2,0.99,ABS(P642/2)))</f>
        <v>0</v>
      </c>
    </row>
    <row r="643" spans="2:33" x14ac:dyDescent="0.25">
      <c r="B643" s="13">
        <f t="shared" ref="B643:B706" si="208">IF(AB642&gt;0, B642+0.05, 1)</f>
        <v>32.050000000000317</v>
      </c>
      <c r="C643" s="13">
        <f>B643+Model!$B$4</f>
        <v>34.050000000000317</v>
      </c>
      <c r="D643" s="13">
        <f t="shared" ref="D643:D706" si="209">INT(C643/24+1)</f>
        <v>2</v>
      </c>
      <c r="E643" s="13">
        <f t="shared" si="197"/>
        <v>10.050000000000317</v>
      </c>
      <c r="F643" s="14">
        <f>IF(AB643&gt;0, VLOOKUP(B643,Model!$A$40:$B$60, 2), 0)</f>
        <v>300</v>
      </c>
      <c r="G643" s="13">
        <f>IF(AB643&gt;0, VLOOKUP(B643,Model!$A$39:$C$58, 3), 0)</f>
        <v>1</v>
      </c>
      <c r="H643" s="13">
        <f t="shared" si="198"/>
        <v>97</v>
      </c>
      <c r="I643" s="46">
        <f>Model!$B$21*EXP((-0.029*9.81*F643)/(8.31*(273+J643)))</f>
        <v>100357.4491247143</v>
      </c>
      <c r="J643" s="13">
        <f>IF(Model!$B$31="Summer",  IF(F643&lt;=2000,  Model!$B$20-Model!$B$35*F643/1000,  IF(F643&lt;Model!$B$36,  Model!$B$33-6.5*F643/1000,  Model!$B$38)),     IF(F643&lt;=2000,  Model!$B$20-Model!$B$35*F643/1000,  IF(F643&lt;Model!$B$36,  Model!$B$33-5.4*F643/1000,   Model!$B$38)))</f>
        <v>-19.088750000000001</v>
      </c>
      <c r="K643" s="13">
        <f t="shared" si="193"/>
        <v>253.91125</v>
      </c>
      <c r="L643" s="46">
        <f>IF(AB642-AA642*(B643-B642)&gt;0, L642-Y642*(B643-B642)*3600-AD643*Model!$B$16, 0)</f>
        <v>575.40108986611608</v>
      </c>
      <c r="M643" s="57">
        <f t="shared" si="199"/>
        <v>10.945964776102755</v>
      </c>
      <c r="N643" s="57">
        <f>Model!$B$13*I643*K643/(Model!$B$13*I643-L643*287*K643)</f>
        <v>283.94596477610276</v>
      </c>
      <c r="O643" s="57">
        <f t="shared" si="200"/>
        <v>268.92860738805138</v>
      </c>
      <c r="P643" s="57">
        <f t="shared" si="201"/>
        <v>1.0476286743147041</v>
      </c>
      <c r="Q643" s="63">
        <f t="shared" si="194"/>
        <v>2.3710931124551648E-2</v>
      </c>
      <c r="R643" s="17">
        <f t="shared" si="195"/>
        <v>1.3176575168357341E-5</v>
      </c>
      <c r="S643" s="46">
        <f>0.37*Model!$B$10*(Q643^2*(N643-K643)*I643/(R643*O643^2))^0.33333*(N643-K643)</f>
        <v>162689.38075038919</v>
      </c>
      <c r="T643" s="51">
        <f>Model!$B$32+(90-Model!$B$6)*SIN(RADIANS(-15*(E643+6)))</f>
        <v>23.666625186564996</v>
      </c>
      <c r="U643" s="46">
        <f t="shared" si="202"/>
        <v>23.666625186564996</v>
      </c>
      <c r="V643" s="51">
        <f t="shared" si="203"/>
        <v>2.4911915534522344</v>
      </c>
      <c r="W643" s="46">
        <f t="shared" si="204"/>
        <v>772.07805377436625</v>
      </c>
      <c r="X643" s="46">
        <f>0.3*W643*Model!$B$9</f>
        <v>69938.414909890998</v>
      </c>
      <c r="Y643" s="17">
        <f>(S643-X643)/Model!$B$11</f>
        <v>1.9897236048589122E-3</v>
      </c>
      <c r="Z643" s="46">
        <f t="shared" si="205"/>
        <v>42.988924407546925</v>
      </c>
      <c r="AA643" s="57">
        <f>Y643/Model!$B$12*3600</f>
        <v>12.882523227358632</v>
      </c>
      <c r="AB643" s="51">
        <f t="shared" ref="AB643:AB706" si="210">IF(AB642-AA642*(B643-B642)&gt;0, AB642-AA642*(B643-B642), 0)</f>
        <v>97.839287561017102</v>
      </c>
      <c r="AC643" s="51">
        <f t="shared" si="196"/>
        <v>1702.160712438983</v>
      </c>
      <c r="AD643" s="13">
        <f>IF(AE643=0, Model!$B$19, 0 )</f>
        <v>0</v>
      </c>
      <c r="AE643" s="51">
        <f>IF(AE642+AB642-AB643&lt;Model!$B$19*Model!$B$18, AE642+AB642-AB643,  0)</f>
        <v>345.79528614509644</v>
      </c>
      <c r="AF643" s="13">
        <f t="shared" si="206"/>
        <v>32.050000000000317</v>
      </c>
      <c r="AG643" s="50">
        <f t="shared" si="207"/>
        <v>0</v>
      </c>
    </row>
    <row r="644" spans="2:33" x14ac:dyDescent="0.25">
      <c r="B644" s="15">
        <f t="shared" si="208"/>
        <v>32.100000000000314</v>
      </c>
      <c r="C644" s="15">
        <f>B644+Model!$B$4</f>
        <v>34.100000000000314</v>
      </c>
      <c r="D644" s="15">
        <f t="shared" si="209"/>
        <v>2</v>
      </c>
      <c r="E644" s="15">
        <f t="shared" si="197"/>
        <v>10.100000000000314</v>
      </c>
      <c r="F644" s="16">
        <f>IF(AB644&gt;0, VLOOKUP(B644,Model!$A$40:$B$60, 2), 0)</f>
        <v>300</v>
      </c>
      <c r="G644" s="15">
        <f>IF(AB644&gt;0, VLOOKUP(B644,Model!$A$39:$C$58, 3), 0)</f>
        <v>1</v>
      </c>
      <c r="H644" s="15">
        <f t="shared" si="198"/>
        <v>97</v>
      </c>
      <c r="I644" s="45">
        <f>Model!$B$21*EXP((-0.029*9.81*F644)/(8.31*(273+J644)))</f>
        <v>100357.4491247143</v>
      </c>
      <c r="J644" s="15">
        <f>IF(Model!$B$31="Summer",  IF(F644&lt;=2000,  Model!$B$20-Model!$B$35*F644/1000,  IF(F644&lt;Model!$B$36,  Model!$B$33-6.5*F644/1000,  Model!$B$38)),     IF(F644&lt;=2000,  Model!$B$20-Model!$B$35*F644/1000,  IF(F644&lt;Model!$B$36,  Model!$B$33-5.4*F644/1000,   Model!$B$38)))</f>
        <v>-19.088750000000001</v>
      </c>
      <c r="K644" s="15">
        <f t="shared" si="193"/>
        <v>253.91125</v>
      </c>
      <c r="L644" s="45">
        <f>IF(AB643-AA643*(B644-B643)&gt;0, L643-Y643*(B644-B643)*3600-AD644*Model!$B$16, 0)</f>
        <v>575.04293961724147</v>
      </c>
      <c r="M644" s="56">
        <f t="shared" si="199"/>
        <v>10.925060271872724</v>
      </c>
      <c r="N644" s="56">
        <f>Model!$B$13*I644*K644/(Model!$B$13*I644-L644*287*K644)</f>
        <v>283.92506027187272</v>
      </c>
      <c r="O644" s="56">
        <f t="shared" si="200"/>
        <v>268.91815513593633</v>
      </c>
      <c r="P644" s="56">
        <f t="shared" si="201"/>
        <v>1.065342161098803</v>
      </c>
      <c r="Q644" s="62">
        <f t="shared" si="194"/>
        <v>2.3710189014651481E-2</v>
      </c>
      <c r="R644" s="33">
        <f t="shared" si="195"/>
        <v>1.3175488134137378E-5</v>
      </c>
      <c r="S644" s="45">
        <f>0.37*Model!$B$10*(Q644^2*(N644-K644)*I644/(R644*O644^2))^0.33333*(N644-K644)</f>
        <v>162543.71040580029</v>
      </c>
      <c r="T644" s="50">
        <f>Model!$B$32+(90-Model!$B$6)*SIN(RADIANS(-15*(E644+6)))</f>
        <v>23.88786388218584</v>
      </c>
      <c r="U644" s="45">
        <f t="shared" si="202"/>
        <v>23.88786388218584</v>
      </c>
      <c r="V644" s="50">
        <f t="shared" si="203"/>
        <v>2.4694533266350813</v>
      </c>
      <c r="W644" s="45">
        <f t="shared" si="204"/>
        <v>776.1472240525294</v>
      </c>
      <c r="X644" s="45">
        <f>0.3*W644*Model!$B$9</f>
        <v>70307.019247058619</v>
      </c>
      <c r="Y644" s="33">
        <f>(S644-X644)/Model!$B$11</f>
        <v>1.9786912186794308E-3</v>
      </c>
      <c r="Z644" s="45">
        <f t="shared" si="205"/>
        <v>43.254223169591036</v>
      </c>
      <c r="AA644" s="56">
        <f>Y644/Model!$B$12*3600</f>
        <v>12.811093722846906</v>
      </c>
      <c r="AB644" s="50">
        <f t="shared" si="210"/>
        <v>97.195161399649209</v>
      </c>
      <c r="AC644" s="50">
        <f t="shared" si="196"/>
        <v>1702.8048386003509</v>
      </c>
      <c r="AD644" s="15">
        <f>IF(AE644=0, Model!$B$19, 0 )</f>
        <v>0</v>
      </c>
      <c r="AE644" s="50">
        <f>IF(AE643+AB643-AB644&lt;Model!$B$19*Model!$B$18, AE643+AB643-AB644,  0)</f>
        <v>346.43941230646431</v>
      </c>
      <c r="AF644" s="15">
        <f t="shared" si="206"/>
        <v>32.100000000000314</v>
      </c>
      <c r="AG644" s="50">
        <f t="shared" si="207"/>
        <v>0</v>
      </c>
    </row>
    <row r="645" spans="2:33" x14ac:dyDescent="0.25">
      <c r="B645" s="13">
        <f t="shared" si="208"/>
        <v>32.150000000000311</v>
      </c>
      <c r="C645" s="13">
        <f>B645+Model!$B$4</f>
        <v>34.150000000000311</v>
      </c>
      <c r="D645" s="13">
        <f t="shared" si="209"/>
        <v>2</v>
      </c>
      <c r="E645" s="13">
        <f t="shared" si="197"/>
        <v>10.150000000000311</v>
      </c>
      <c r="F645" s="14">
        <f>IF(AB645&gt;0, VLOOKUP(B645,Model!$A$40:$B$60, 2), 0)</f>
        <v>300</v>
      </c>
      <c r="G645" s="13">
        <f>IF(AB645&gt;0, VLOOKUP(B645,Model!$A$39:$C$58, 3), 0)</f>
        <v>1</v>
      </c>
      <c r="H645" s="13">
        <f t="shared" si="198"/>
        <v>97</v>
      </c>
      <c r="I645" s="46">
        <f>Model!$B$21*EXP((-0.029*9.81*F645)/(8.31*(273+J645)))</f>
        <v>100357.4491247143</v>
      </c>
      <c r="J645" s="13">
        <f>IF(Model!$B$31="Summer",  IF(F645&lt;=2000,  Model!$B$20-Model!$B$35*F645/1000,  IF(F645&lt;Model!$B$36,  Model!$B$33-6.5*F645/1000,  Model!$B$38)),     IF(F645&lt;=2000,  Model!$B$20-Model!$B$35*F645/1000,  IF(F645&lt;Model!$B$36,  Model!$B$33-5.4*F645/1000,   Model!$B$38)))</f>
        <v>-19.088750000000001</v>
      </c>
      <c r="K645" s="13">
        <f t="shared" si="193"/>
        <v>253.91125</v>
      </c>
      <c r="L645" s="46">
        <f>IF(AB644-AA644*(B645-B644)&gt;0, L644-Y644*(B645-B644)*3600-AD645*Model!$B$16, 0)</f>
        <v>574.68677519787923</v>
      </c>
      <c r="M645" s="57">
        <f t="shared" si="199"/>
        <v>10.904274728749101</v>
      </c>
      <c r="N645" s="57">
        <f>Model!$B$13*I645*K645/(Model!$B$13*I645-L645*287*K645)</f>
        <v>283.9042747287491</v>
      </c>
      <c r="O645" s="57">
        <f t="shared" si="200"/>
        <v>268.90776236437455</v>
      </c>
      <c r="P645" s="57">
        <f t="shared" si="201"/>
        <v>1.0820771913914129</v>
      </c>
      <c r="Q645" s="63">
        <f t="shared" si="194"/>
        <v>2.3709451127870592E-2</v>
      </c>
      <c r="R645" s="17">
        <f t="shared" si="195"/>
        <v>1.3174407285894953E-5</v>
      </c>
      <c r="S645" s="46">
        <f>0.37*Model!$B$10*(Q645^2*(N645-K645)*I645/(R645*O645^2))^0.33333*(N645-K645)</f>
        <v>162398.89462364666</v>
      </c>
      <c r="T645" s="51">
        <f>Model!$B$32+(90-Model!$B$6)*SIN(RADIANS(-15*(E645+6)))</f>
        <v>24.103832250223473</v>
      </c>
      <c r="U645" s="46">
        <f t="shared" si="202"/>
        <v>24.103832250223473</v>
      </c>
      <c r="V645" s="51">
        <f t="shared" si="203"/>
        <v>2.4486306985461748</v>
      </c>
      <c r="W645" s="46">
        <f t="shared" si="204"/>
        <v>780.06511365575989</v>
      </c>
      <c r="X645" s="46">
        <f>0.3*W645*Model!$B$9</f>
        <v>70661.919878286717</v>
      </c>
      <c r="Y645" s="17">
        <f>(S645-X645)/Model!$B$11</f>
        <v>1.9679711411640017E-3</v>
      </c>
      <c r="Z645" s="46">
        <f t="shared" si="205"/>
        <v>43.511330567885373</v>
      </c>
      <c r="AA645" s="57">
        <f>Y645/Model!$B$12*3600</f>
        <v>12.741686269844713</v>
      </c>
      <c r="AB645" s="51">
        <f t="shared" si="210"/>
        <v>96.554606713506899</v>
      </c>
      <c r="AC645" s="51">
        <f t="shared" si="196"/>
        <v>1703.4453932864931</v>
      </c>
      <c r="AD645" s="13">
        <f>IF(AE645=0, Model!$B$19, 0 )</f>
        <v>0</v>
      </c>
      <c r="AE645" s="51">
        <f>IF(AE644+AB644-AB645&lt;Model!$B$19*Model!$B$18, AE644+AB644-AB645,  0)</f>
        <v>347.07996699260661</v>
      </c>
      <c r="AF645" s="13">
        <f t="shared" si="206"/>
        <v>32.150000000000311</v>
      </c>
      <c r="AG645" s="50">
        <f t="shared" si="207"/>
        <v>0</v>
      </c>
    </row>
    <row r="646" spans="2:33" x14ac:dyDescent="0.25">
      <c r="B646" s="15">
        <f t="shared" si="208"/>
        <v>32.200000000000308</v>
      </c>
      <c r="C646" s="15">
        <f>B646+Model!$B$4</f>
        <v>34.200000000000308</v>
      </c>
      <c r="D646" s="15">
        <f t="shared" si="209"/>
        <v>2</v>
      </c>
      <c r="E646" s="15">
        <f t="shared" si="197"/>
        <v>10.200000000000308</v>
      </c>
      <c r="F646" s="16">
        <f>IF(AB646&gt;0, VLOOKUP(B646,Model!$A$40:$B$60, 2), 0)</f>
        <v>300</v>
      </c>
      <c r="G646" s="15">
        <f>IF(AB646&gt;0, VLOOKUP(B646,Model!$A$39:$C$58, 3), 0)</f>
        <v>1</v>
      </c>
      <c r="H646" s="15">
        <f t="shared" si="198"/>
        <v>97</v>
      </c>
      <c r="I646" s="45">
        <f>Model!$B$21*EXP((-0.029*9.81*F646)/(8.31*(273+J646)))</f>
        <v>100357.4491247143</v>
      </c>
      <c r="J646" s="15">
        <f>IF(Model!$B$31="Summer",  IF(F646&lt;=2000,  Model!$B$20-Model!$B$35*F646/1000,  IF(F646&lt;Model!$B$36,  Model!$B$33-6.5*F646/1000,  Model!$B$38)),     IF(F646&lt;=2000,  Model!$B$20-Model!$B$35*F646/1000,  IF(F646&lt;Model!$B$36,  Model!$B$33-5.4*F646/1000,   Model!$B$38)))</f>
        <v>-19.088750000000001</v>
      </c>
      <c r="K646" s="15">
        <f t="shared" si="193"/>
        <v>253.91125</v>
      </c>
      <c r="L646" s="45">
        <f>IF(AB645-AA645*(B646-B645)&gt;0, L645-Y645*(B646-B645)*3600-AD646*Model!$B$16, 0)</f>
        <v>574.3325403924697</v>
      </c>
      <c r="M646" s="56">
        <f t="shared" si="199"/>
        <v>10.883604815167814</v>
      </c>
      <c r="N646" s="56">
        <f>Model!$B$13*I646*K646/(Model!$B$13*I646-L646*287*K646)</f>
        <v>283.88360481516781</v>
      </c>
      <c r="O646" s="56">
        <f t="shared" si="200"/>
        <v>268.8974274075839</v>
      </c>
      <c r="P646" s="56">
        <f t="shared" si="201"/>
        <v>1.0978614986223061</v>
      </c>
      <c r="Q646" s="62">
        <f t="shared" si="194"/>
        <v>2.3708717345938459E-2</v>
      </c>
      <c r="R646" s="33">
        <f t="shared" si="195"/>
        <v>1.3173332450388725E-5</v>
      </c>
      <c r="S646" s="45">
        <f>0.37*Model!$B$10*(Q646^2*(N646-K646)*I646/(R646*O646^2))^0.33333*(N646-K646)</f>
        <v>162254.90977801956</v>
      </c>
      <c r="T646" s="50">
        <f>Model!$B$32+(90-Model!$B$6)*SIN(RADIANS(-15*(E646+6)))</f>
        <v>24.314493285609835</v>
      </c>
      <c r="U646" s="45">
        <f t="shared" si="202"/>
        <v>24.314493285609835</v>
      </c>
      <c r="V646" s="50">
        <f t="shared" si="203"/>
        <v>2.4286883077144465</v>
      </c>
      <c r="W646" s="45">
        <f t="shared" si="204"/>
        <v>783.83592218350975</v>
      </c>
      <c r="X646" s="45">
        <f>0.3*W646*Model!$B$9</f>
        <v>71003.497222792605</v>
      </c>
      <c r="Y646" s="33">
        <f>(S646-X646)/Model!$B$11</f>
        <v>1.9575547046063917E-3</v>
      </c>
      <c r="Z646" s="45">
        <f t="shared" si="205"/>
        <v>43.760461436841744</v>
      </c>
      <c r="AA646" s="56">
        <f>Y646/Model!$B$12*3600</f>
        <v>12.674244749036482</v>
      </c>
      <c r="AB646" s="50">
        <f t="shared" si="210"/>
        <v>95.917522400014704</v>
      </c>
      <c r="AC646" s="50">
        <f t="shared" si="196"/>
        <v>1704.0824775999854</v>
      </c>
      <c r="AD646" s="15">
        <f>IF(AE646=0, Model!$B$19, 0 )</f>
        <v>0</v>
      </c>
      <c r="AE646" s="50">
        <f>IF(AE645+AB645-AB646&lt;Model!$B$19*Model!$B$18, AE645+AB645-AB646,  0)</f>
        <v>347.71705130609882</v>
      </c>
      <c r="AF646" s="15">
        <f t="shared" si="206"/>
        <v>32.200000000000308</v>
      </c>
      <c r="AG646" s="50">
        <f t="shared" si="207"/>
        <v>0</v>
      </c>
    </row>
    <row r="647" spans="2:33" x14ac:dyDescent="0.25">
      <c r="B647" s="13">
        <f t="shared" si="208"/>
        <v>32.250000000000306</v>
      </c>
      <c r="C647" s="13">
        <f>B647+Model!$B$4</f>
        <v>34.250000000000306</v>
      </c>
      <c r="D647" s="13">
        <f t="shared" si="209"/>
        <v>2</v>
      </c>
      <c r="E647" s="13">
        <f t="shared" si="197"/>
        <v>10.250000000000306</v>
      </c>
      <c r="F647" s="14">
        <f>IF(AB647&gt;0, VLOOKUP(B647,Model!$A$40:$B$60, 2), 0)</f>
        <v>300</v>
      </c>
      <c r="G647" s="13">
        <f>IF(AB647&gt;0, VLOOKUP(B647,Model!$A$39:$C$58, 3), 0)</f>
        <v>1</v>
      </c>
      <c r="H647" s="13">
        <f t="shared" si="198"/>
        <v>97</v>
      </c>
      <c r="I647" s="46">
        <f>Model!$B$21*EXP((-0.029*9.81*F647)/(8.31*(273+J647)))</f>
        <v>100357.4491247143</v>
      </c>
      <c r="J647" s="13">
        <f>IF(Model!$B$31="Summer",  IF(F647&lt;=2000,  Model!$B$20-Model!$B$35*F647/1000,  IF(F647&lt;Model!$B$36,  Model!$B$33-6.5*F647/1000,  Model!$B$38)),     IF(F647&lt;=2000,  Model!$B$20-Model!$B$35*F647/1000,  IF(F647&lt;Model!$B$36,  Model!$B$33-5.4*F647/1000,   Model!$B$38)))</f>
        <v>-19.088750000000001</v>
      </c>
      <c r="K647" s="13">
        <f t="shared" si="193"/>
        <v>253.91125</v>
      </c>
      <c r="L647" s="46">
        <f>IF(AB646-AA646*(B647-B646)&gt;0, L646-Y646*(B647-B646)*3600-AD647*Model!$B$16, 0)</f>
        <v>573.98018054564056</v>
      </c>
      <c r="M647" s="57">
        <f t="shared" si="199"/>
        <v>10.863047292788906</v>
      </c>
      <c r="N647" s="57">
        <f>Model!$B$13*I647*K647/(Model!$B$13*I647-L647*287*K647)</f>
        <v>283.86304729278891</v>
      </c>
      <c r="O647" s="57">
        <f t="shared" si="200"/>
        <v>268.88714864639445</v>
      </c>
      <c r="P647" s="57">
        <f t="shared" si="201"/>
        <v>1.1127214609511844</v>
      </c>
      <c r="Q647" s="63">
        <f t="shared" si="194"/>
        <v>2.3707987553894007E-2</v>
      </c>
      <c r="R647" s="17">
        <f t="shared" si="195"/>
        <v>1.3172263459225021E-5</v>
      </c>
      <c r="S647" s="46">
        <f>0.37*Model!$B$10*(Q647^2*(N647-K647)*I647/(R647*O647^2))^0.33333*(N647-K647)</f>
        <v>162111.73291036082</v>
      </c>
      <c r="T647" s="51">
        <f>Model!$B$32+(90-Model!$B$6)*SIN(RADIANS(-15*(E647+6)))</f>
        <v>24.519810892661006</v>
      </c>
      <c r="U647" s="46">
        <f t="shared" si="202"/>
        <v>24.519810892661006</v>
      </c>
      <c r="V647" s="51">
        <f t="shared" si="203"/>
        <v>2.4095929699608618</v>
      </c>
      <c r="W647" s="46">
        <f t="shared" si="204"/>
        <v>787.46364842672187</v>
      </c>
      <c r="X647" s="46">
        <f>0.3*W647*Model!$B$9</f>
        <v>71332.113509626492</v>
      </c>
      <c r="Y647" s="17">
        <f>(S647-X647)/Model!$B$11</f>
        <v>1.9474336458379132E-3</v>
      </c>
      <c r="Z647" s="46">
        <f t="shared" si="205"/>
        <v>44.001820367356977</v>
      </c>
      <c r="AA647" s="57">
        <f>Y647/Model!$B$12*3600</f>
        <v>12.608715660296726</v>
      </c>
      <c r="AB647" s="51">
        <f t="shared" si="210"/>
        <v>95.283810162562915</v>
      </c>
      <c r="AC647" s="51">
        <f t="shared" si="196"/>
        <v>1704.716189837437</v>
      </c>
      <c r="AD647" s="13">
        <f>IF(AE647=0, Model!$B$19, 0 )</f>
        <v>0</v>
      </c>
      <c r="AE647" s="51">
        <f>IF(AE646+AB646-AB647&lt;Model!$B$19*Model!$B$18, AE646+AB646-AB647,  0)</f>
        <v>348.35076354355061</v>
      </c>
      <c r="AF647" s="13">
        <f t="shared" si="206"/>
        <v>32.250000000000306</v>
      </c>
      <c r="AG647" s="50">
        <f t="shared" si="207"/>
        <v>0</v>
      </c>
    </row>
    <row r="648" spans="2:33" x14ac:dyDescent="0.25">
      <c r="B648" s="15">
        <f t="shared" si="208"/>
        <v>32.300000000000303</v>
      </c>
      <c r="C648" s="15">
        <f>B648+Model!$B$4</f>
        <v>34.300000000000303</v>
      </c>
      <c r="D648" s="15">
        <f t="shared" si="209"/>
        <v>2</v>
      </c>
      <c r="E648" s="15">
        <f t="shared" si="197"/>
        <v>10.300000000000303</v>
      </c>
      <c r="F648" s="16">
        <f>IF(AB648&gt;0, VLOOKUP(B648,Model!$A$40:$B$60, 2), 0)</f>
        <v>300</v>
      </c>
      <c r="G648" s="15">
        <f>IF(AB648&gt;0, VLOOKUP(B648,Model!$A$39:$C$58, 3), 0)</f>
        <v>1</v>
      </c>
      <c r="H648" s="15">
        <f t="shared" si="198"/>
        <v>97</v>
      </c>
      <c r="I648" s="45">
        <f>Model!$B$21*EXP((-0.029*9.81*F648)/(8.31*(273+J648)))</f>
        <v>100357.4491247143</v>
      </c>
      <c r="J648" s="15">
        <f>IF(Model!$B$31="Summer",  IF(F648&lt;=2000,  Model!$B$20-Model!$B$35*F648/1000,  IF(F648&lt;Model!$B$36,  Model!$B$33-6.5*F648/1000,  Model!$B$38)),     IF(F648&lt;=2000,  Model!$B$20-Model!$B$35*F648/1000,  IF(F648&lt;Model!$B$36,  Model!$B$33-5.4*F648/1000,   Model!$B$38)))</f>
        <v>-19.088750000000001</v>
      </c>
      <c r="K648" s="15">
        <f t="shared" si="193"/>
        <v>253.91125</v>
      </c>
      <c r="L648" s="45">
        <f>IF(AB647-AA647*(B648-B647)&gt;0, L647-Y647*(B648-B647)*3600-AD648*Model!$B$16, 0)</f>
        <v>573.62964248938977</v>
      </c>
      <c r="M648" s="56">
        <f t="shared" si="199"/>
        <v>10.842599012157052</v>
      </c>
      <c r="N648" s="56">
        <f>Model!$B$13*I648*K648/(Model!$B$13*I648-L648*287*K648)</f>
        <v>283.84259901215705</v>
      </c>
      <c r="O648" s="56">
        <f t="shared" si="200"/>
        <v>268.87692450607852</v>
      </c>
      <c r="P648" s="56">
        <f t="shared" si="201"/>
        <v>1.1266821622566718</v>
      </c>
      <c r="Q648" s="62">
        <f t="shared" si="194"/>
        <v>2.3707261639931577E-2</v>
      </c>
      <c r="R648" s="33">
        <f t="shared" si="195"/>
        <v>1.3171200148632166E-5</v>
      </c>
      <c r="S648" s="45">
        <f>0.37*Model!$B$10*(Q648^2*(N648-K648)*I648/(R648*O648^2))^0.33333*(N648-K648)</f>
        <v>161969.34169849439</v>
      </c>
      <c r="T648" s="50">
        <f>Model!$B$32+(90-Model!$B$6)*SIN(RADIANS(-15*(E648+6)))</f>
        <v>24.719749891261987</v>
      </c>
      <c r="U648" s="45">
        <f t="shared" si="202"/>
        <v>24.719749891261987</v>
      </c>
      <c r="V648" s="50">
        <f t="shared" si="203"/>
        <v>2.3913135307748186</v>
      </c>
      <c r="W648" s="45">
        <f t="shared" si="204"/>
        <v>790.95209931269051</v>
      </c>
      <c r="X648" s="45">
        <f>0.3*W648*Model!$B$9</f>
        <v>71648.113587938467</v>
      </c>
      <c r="Y648" s="33">
        <f>(S648-X648)/Model!$B$11</f>
        <v>1.9376000881809702E-3</v>
      </c>
      <c r="Z648" s="45">
        <f t="shared" si="205"/>
        <v>44.235602143343449</v>
      </c>
      <c r="AA648" s="56">
        <f>Y648/Model!$B$12*3600</f>
        <v>12.545048005847747</v>
      </c>
      <c r="AB648" s="50">
        <f t="shared" si="210"/>
        <v>94.653374379548112</v>
      </c>
      <c r="AC648" s="50">
        <f t="shared" si="196"/>
        <v>1705.346625620452</v>
      </c>
      <c r="AD648" s="15">
        <f>IF(AE648=0, Model!$B$19, 0 )</f>
        <v>0</v>
      </c>
      <c r="AE648" s="50">
        <f>IF(AE647+AB647-AB648&lt;Model!$B$19*Model!$B$18, AE647+AB647-AB648,  0)</f>
        <v>348.98119932656545</v>
      </c>
      <c r="AF648" s="15">
        <f t="shared" si="206"/>
        <v>32.300000000000303</v>
      </c>
      <c r="AG648" s="50">
        <f t="shared" si="207"/>
        <v>0</v>
      </c>
    </row>
    <row r="649" spans="2:33" x14ac:dyDescent="0.25">
      <c r="B649" s="13">
        <f t="shared" si="208"/>
        <v>32.3500000000003</v>
      </c>
      <c r="C649" s="13">
        <f>B649+Model!$B$4</f>
        <v>34.3500000000003</v>
      </c>
      <c r="D649" s="13">
        <f t="shared" si="209"/>
        <v>2</v>
      </c>
      <c r="E649" s="13">
        <f t="shared" si="197"/>
        <v>10.3500000000003</v>
      </c>
      <c r="F649" s="14">
        <f>IF(AB649&gt;0, VLOOKUP(B649,Model!$A$40:$B$60, 2), 0)</f>
        <v>300</v>
      </c>
      <c r="G649" s="13">
        <f>IF(AB649&gt;0, VLOOKUP(B649,Model!$A$39:$C$58, 3), 0)</f>
        <v>1</v>
      </c>
      <c r="H649" s="13">
        <f t="shared" si="198"/>
        <v>97</v>
      </c>
      <c r="I649" s="46">
        <f>Model!$B$21*EXP((-0.029*9.81*F649)/(8.31*(273+J649)))</f>
        <v>100357.4491247143</v>
      </c>
      <c r="J649" s="13">
        <f>IF(Model!$B$31="Summer",  IF(F649&lt;=2000,  Model!$B$20-Model!$B$35*F649/1000,  IF(F649&lt;Model!$B$36,  Model!$B$33-6.5*F649/1000,  Model!$B$38)),     IF(F649&lt;=2000,  Model!$B$20-Model!$B$35*F649/1000,  IF(F649&lt;Model!$B$36,  Model!$B$33-5.4*F649/1000,   Model!$B$38)))</f>
        <v>-19.088750000000001</v>
      </c>
      <c r="K649" s="13">
        <f t="shared" si="193"/>
        <v>253.91125</v>
      </c>
      <c r="L649" s="46">
        <f>IF(AB648-AA648*(B649-B648)&gt;0, L648-Y648*(B649-B648)*3600-AD649*Model!$B$16, 0)</f>
        <v>573.2808744735172</v>
      </c>
      <c r="M649" s="57">
        <f t="shared" si="199"/>
        <v>10.822256908556255</v>
      </c>
      <c r="N649" s="57">
        <f>Model!$B$13*I649*K649/(Model!$B$13*I649-L649*287*K649)</f>
        <v>283.82225690855626</v>
      </c>
      <c r="O649" s="57">
        <f t="shared" si="200"/>
        <v>268.86675345427813</v>
      </c>
      <c r="P649" s="57">
        <f t="shared" si="201"/>
        <v>1.1397674496960644</v>
      </c>
      <c r="Q649" s="63">
        <f t="shared" si="194"/>
        <v>2.3706539495253746E-2</v>
      </c>
      <c r="R649" s="17">
        <f t="shared" si="195"/>
        <v>1.3170142359244922E-5</v>
      </c>
      <c r="S649" s="46">
        <f>0.37*Model!$B$10*(Q649^2*(N649-K649)*I649/(R649*O649^2))^0.33333*(N649-K649)</f>
        <v>161827.71442705384</v>
      </c>
      <c r="T649" s="51">
        <f>Model!$B$32+(90-Model!$B$6)*SIN(RADIANS(-15*(E649+6)))</f>
        <v>24.914276022894668</v>
      </c>
      <c r="U649" s="46">
        <f t="shared" si="202"/>
        <v>24.914276022894668</v>
      </c>
      <c r="V649" s="51">
        <f t="shared" si="203"/>
        <v>2.3738207302614112</v>
      </c>
      <c r="W649" s="46">
        <f t="shared" si="204"/>
        <v>794.30489834619436</v>
      </c>
      <c r="X649" s="46">
        <f>0.3*W649*Model!$B$9</f>
        <v>71951.825691615493</v>
      </c>
      <c r="Y649" s="17">
        <f>(S649-X649)/Model!$B$11</f>
        <v>1.9280465244114202E-3</v>
      </c>
      <c r="Z649" s="46">
        <f t="shared" si="205"/>
        <v>44.461992154037873</v>
      </c>
      <c r="AA649" s="57">
        <f>Y649/Model!$B$12*3600</f>
        <v>12.483193179948946</v>
      </c>
      <c r="AB649" s="51">
        <f t="shared" si="210"/>
        <v>94.026121979255763</v>
      </c>
      <c r="AC649" s="51">
        <f t="shared" si="196"/>
        <v>1705.9738780207442</v>
      </c>
      <c r="AD649" s="13">
        <f>IF(AE649=0, Model!$B$19, 0 )</f>
        <v>0</v>
      </c>
      <c r="AE649" s="51">
        <f>IF(AE648+AB648-AB649&lt;Model!$B$19*Model!$B$18, AE648+AB648-AB649,  0)</f>
        <v>349.60845172685777</v>
      </c>
      <c r="AF649" s="13">
        <f t="shared" si="206"/>
        <v>32.3500000000003</v>
      </c>
      <c r="AG649" s="50">
        <f t="shared" si="207"/>
        <v>0</v>
      </c>
    </row>
    <row r="650" spans="2:33" x14ac:dyDescent="0.25">
      <c r="B650" s="15">
        <f t="shared" si="208"/>
        <v>32.400000000000297</v>
      </c>
      <c r="C650" s="15">
        <f>B650+Model!$B$4</f>
        <v>34.400000000000297</v>
      </c>
      <c r="D650" s="15">
        <f t="shared" si="209"/>
        <v>2</v>
      </c>
      <c r="E650" s="15">
        <f t="shared" si="197"/>
        <v>10.400000000000297</v>
      </c>
      <c r="F650" s="16">
        <f>IF(AB650&gt;0, VLOOKUP(B650,Model!$A$40:$B$60, 2), 0)</f>
        <v>300</v>
      </c>
      <c r="G650" s="15">
        <f>IF(AB650&gt;0, VLOOKUP(B650,Model!$A$39:$C$58, 3), 0)</f>
        <v>1</v>
      </c>
      <c r="H650" s="15">
        <f t="shared" si="198"/>
        <v>97</v>
      </c>
      <c r="I650" s="45">
        <f>Model!$B$21*EXP((-0.029*9.81*F650)/(8.31*(273+J650)))</f>
        <v>100357.4491247143</v>
      </c>
      <c r="J650" s="15">
        <f>IF(Model!$B$31="Summer",  IF(F650&lt;=2000,  Model!$B$20-Model!$B$35*F650/1000,  IF(F650&lt;Model!$B$36,  Model!$B$33-6.5*F650/1000,  Model!$B$38)),     IF(F650&lt;=2000,  Model!$B$20-Model!$B$35*F650/1000,  IF(F650&lt;Model!$B$36,  Model!$B$33-5.4*F650/1000,   Model!$B$38)))</f>
        <v>-19.088750000000001</v>
      </c>
      <c r="K650" s="15">
        <f t="shared" si="193"/>
        <v>253.91125</v>
      </c>
      <c r="L650" s="45">
        <f>IF(AB649-AA649*(B650-B649)&gt;0, L649-Y649*(B650-B649)*3600-AD650*Model!$B$16, 0)</f>
        <v>572.93382609912317</v>
      </c>
      <c r="M650" s="56">
        <f t="shared" si="199"/>
        <v>10.802017998049052</v>
      </c>
      <c r="N650" s="56">
        <f>Model!$B$13*I650*K650/(Model!$B$13*I650-L650*287*K650)</f>
        <v>283.80201799804905</v>
      </c>
      <c r="O650" s="56">
        <f t="shared" si="200"/>
        <v>268.85663399902455</v>
      </c>
      <c r="P650" s="56">
        <f t="shared" si="201"/>
        <v>1.1519999879991545</v>
      </c>
      <c r="Q650" s="62">
        <f t="shared" si="194"/>
        <v>2.3705821013930744E-2</v>
      </c>
      <c r="R650" s="33">
        <f t="shared" si="195"/>
        <v>1.3169089935898552E-5</v>
      </c>
      <c r="S650" s="45">
        <f>0.37*Model!$B$10*(Q650^2*(N650-K650)*I650/(R650*O650^2))^0.33333*(N650-K650)</f>
        <v>161686.82995923614</v>
      </c>
      <c r="T650" s="50">
        <f>Model!$B$32+(90-Model!$B$6)*SIN(RADIANS(-15*(E650+6)))</f>
        <v>25.103355956507812</v>
      </c>
      <c r="U650" s="45">
        <f t="shared" si="202"/>
        <v>25.103355956507812</v>
      </c>
      <c r="V650" s="50">
        <f t="shared" si="203"/>
        <v>2.3570870794646233</v>
      </c>
      <c r="W650" s="45">
        <f t="shared" si="204"/>
        <v>797.52549357146097</v>
      </c>
      <c r="X650" s="45">
        <f>0.3*W650*Model!$B$9</f>
        <v>72243.562160513145</v>
      </c>
      <c r="Y650" s="33">
        <f>(S650-X650)/Model!$B$11</f>
        <v>1.9187658006805319E-3</v>
      </c>
      <c r="Z650" s="45">
        <f t="shared" si="205"/>
        <v>44.681166783173943</v>
      </c>
      <c r="AA650" s="56">
        <f>Y650/Model!$B$12*3600</f>
        <v>12.423104864799091</v>
      </c>
      <c r="AB650" s="50">
        <f t="shared" si="210"/>
        <v>93.401962320258349</v>
      </c>
      <c r="AC650" s="50">
        <f t="shared" si="196"/>
        <v>1706.5980376797415</v>
      </c>
      <c r="AD650" s="15">
        <f>IF(AE650=0, Model!$B$19, 0 )</f>
        <v>0</v>
      </c>
      <c r="AE650" s="50">
        <f>IF(AE649+AB649-AB650&lt;Model!$B$19*Model!$B$18, AE649+AB649-AB650,  0)</f>
        <v>350.23261138585519</v>
      </c>
      <c r="AF650" s="15">
        <f t="shared" si="206"/>
        <v>32.400000000000297</v>
      </c>
      <c r="AG650" s="50">
        <f t="shared" si="207"/>
        <v>0</v>
      </c>
    </row>
    <row r="651" spans="2:33" x14ac:dyDescent="0.25">
      <c r="B651" s="13">
        <f t="shared" si="208"/>
        <v>32.450000000000294</v>
      </c>
      <c r="C651" s="13">
        <f>B651+Model!$B$4</f>
        <v>34.450000000000294</v>
      </c>
      <c r="D651" s="13">
        <f t="shared" si="209"/>
        <v>2</v>
      </c>
      <c r="E651" s="13">
        <f t="shared" si="197"/>
        <v>10.450000000000294</v>
      </c>
      <c r="F651" s="14">
        <f>IF(AB651&gt;0, VLOOKUP(B651,Model!$A$40:$B$60, 2), 0)</f>
        <v>300</v>
      </c>
      <c r="G651" s="13">
        <f>IF(AB651&gt;0, VLOOKUP(B651,Model!$A$39:$C$58, 3), 0)</f>
        <v>1</v>
      </c>
      <c r="H651" s="13">
        <f t="shared" si="198"/>
        <v>97</v>
      </c>
      <c r="I651" s="46">
        <f>Model!$B$21*EXP((-0.029*9.81*F651)/(8.31*(273+J651)))</f>
        <v>100357.4491247143</v>
      </c>
      <c r="J651" s="13">
        <f>IF(Model!$B$31="Summer",  IF(F651&lt;=2000,  Model!$B$20-Model!$B$35*F651/1000,  IF(F651&lt;Model!$B$36,  Model!$B$33-6.5*F651/1000,  Model!$B$38)),     IF(F651&lt;=2000,  Model!$B$20-Model!$B$35*F651/1000,  IF(F651&lt;Model!$B$36,  Model!$B$33-5.4*F651/1000,   Model!$B$38)))</f>
        <v>-19.088750000000001</v>
      </c>
      <c r="K651" s="13">
        <f t="shared" si="193"/>
        <v>253.91125</v>
      </c>
      <c r="L651" s="46">
        <f>IF(AB650-AA650*(B651-B650)&gt;0, L650-Y650*(B651-B650)*3600-AD651*Model!$B$16, 0)</f>
        <v>572.58844825500069</v>
      </c>
      <c r="M651" s="57">
        <f t="shared" si="199"/>
        <v>10.781879373689037</v>
      </c>
      <c r="N651" s="57">
        <f>Model!$B$13*I651*K651/(Model!$B$13*I651-L651*287*K651)</f>
        <v>283.78187937368904</v>
      </c>
      <c r="O651" s="57">
        <f t="shared" si="200"/>
        <v>268.84656468684454</v>
      </c>
      <c r="P651" s="57">
        <f t="shared" si="201"/>
        <v>1.1634013106542582</v>
      </c>
      <c r="Q651" s="63">
        <f t="shared" si="194"/>
        <v>2.3705106092765962E-2</v>
      </c>
      <c r="R651" s="17">
        <f t="shared" si="195"/>
        <v>1.3168042727431831E-5</v>
      </c>
      <c r="S651" s="46">
        <f>0.37*Model!$B$10*(Q651^2*(N651-K651)*I651/(R651*O651^2))^0.33333*(N651-K651)</f>
        <v>161546.66770980175</v>
      </c>
      <c r="T651" s="51">
        <f>Model!$B$32+(90-Model!$B$6)*SIN(RADIANS(-15*(E651+6)))</f>
        <v>25.286957294228174</v>
      </c>
      <c r="U651" s="46">
        <f t="shared" si="202"/>
        <v>25.286957294228174</v>
      </c>
      <c r="V651" s="51">
        <f t="shared" si="203"/>
        <v>2.3410867470015031</v>
      </c>
      <c r="W651" s="46">
        <f t="shared" si="204"/>
        <v>800.61716507872836</v>
      </c>
      <c r="X651" s="46">
        <f>0.3*W651*Model!$B$9</f>
        <v>72523.620120434833</v>
      </c>
      <c r="Y651" s="17">
        <f>(S651-X651)/Model!$B$11</f>
        <v>1.9097511013486414E-3</v>
      </c>
      <c r="Z651" s="46">
        <f t="shared" si="205"/>
        <v>44.893293776083567</v>
      </c>
      <c r="AA651" s="57">
        <f>Y651/Model!$B$12*3600</f>
        <v>12.364738932341368</v>
      </c>
      <c r="AB651" s="51">
        <f t="shared" si="210"/>
        <v>92.780807077018423</v>
      </c>
      <c r="AC651" s="51">
        <f t="shared" si="196"/>
        <v>1707.2191929229816</v>
      </c>
      <c r="AD651" s="13">
        <f>IF(AE651=0, Model!$B$19, 0 )</f>
        <v>0</v>
      </c>
      <c r="AE651" s="51">
        <f>IF(AE650+AB650-AB651&lt;Model!$B$19*Model!$B$18, AE650+AB650-AB651,  0)</f>
        <v>350.85376662909511</v>
      </c>
      <c r="AF651" s="13">
        <f t="shared" si="206"/>
        <v>32.450000000000294</v>
      </c>
      <c r="AG651" s="50">
        <f t="shared" si="207"/>
        <v>0</v>
      </c>
    </row>
    <row r="652" spans="2:33" x14ac:dyDescent="0.25">
      <c r="B652" s="15">
        <f t="shared" si="208"/>
        <v>32.500000000000291</v>
      </c>
      <c r="C652" s="15">
        <f>B652+Model!$B$4</f>
        <v>34.500000000000291</v>
      </c>
      <c r="D652" s="15">
        <f t="shared" si="209"/>
        <v>2</v>
      </c>
      <c r="E652" s="15">
        <f t="shared" si="197"/>
        <v>10.500000000000291</v>
      </c>
      <c r="F652" s="16">
        <f>IF(AB652&gt;0, VLOOKUP(B652,Model!$A$40:$B$60, 2), 0)</f>
        <v>300</v>
      </c>
      <c r="G652" s="15">
        <f>IF(AB652&gt;0, VLOOKUP(B652,Model!$A$39:$C$58, 3), 0)</f>
        <v>1</v>
      </c>
      <c r="H652" s="15">
        <f t="shared" si="198"/>
        <v>97</v>
      </c>
      <c r="I652" s="45">
        <f>Model!$B$21*EXP((-0.029*9.81*F652)/(8.31*(273+J652)))</f>
        <v>100357.4491247143</v>
      </c>
      <c r="J652" s="15">
        <f>IF(Model!$B$31="Summer",  IF(F652&lt;=2000,  Model!$B$20-Model!$B$35*F652/1000,  IF(F652&lt;Model!$B$36,  Model!$B$33-6.5*F652/1000,  Model!$B$38)),     IF(F652&lt;=2000,  Model!$B$20-Model!$B$35*F652/1000,  IF(F652&lt;Model!$B$36,  Model!$B$33-5.4*F652/1000,   Model!$B$38)))</f>
        <v>-19.088750000000001</v>
      </c>
      <c r="K652" s="15">
        <f t="shared" si="193"/>
        <v>253.91125</v>
      </c>
      <c r="L652" s="45">
        <f>IF(AB651-AA651*(B652-B651)&gt;0, L651-Y651*(B652-B651)*3600-AD652*Model!$B$16, 0)</f>
        <v>572.24469305675791</v>
      </c>
      <c r="M652" s="56">
        <f t="shared" si="199"/>
        <v>10.761838201897376</v>
      </c>
      <c r="N652" s="56">
        <f>Model!$B$13*I652*K652/(Model!$B$13*I652-L652*287*K652)</f>
        <v>283.76183820189738</v>
      </c>
      <c r="O652" s="56">
        <f t="shared" si="200"/>
        <v>268.83654410094869</v>
      </c>
      <c r="P652" s="56">
        <f t="shared" si="201"/>
        <v>1.1739918681402104</v>
      </c>
      <c r="Q652" s="62">
        <f t="shared" si="194"/>
        <v>2.3704394631167358E-2</v>
      </c>
      <c r="R652" s="33">
        <f t="shared" si="195"/>
        <v>1.3167000586498662E-5</v>
      </c>
      <c r="S652" s="45">
        <f>0.37*Model!$B$10*(Q652^2*(N652-K652)*I652/(R652*O652^2))^0.33333*(N652-K652)</f>
        <v>161407.20761925422</v>
      </c>
      <c r="T652" s="50">
        <f>Model!$B$32+(90-Model!$B$6)*SIN(RADIANS(-15*(E652+6)))</f>
        <v>25.465048576911741</v>
      </c>
      <c r="U652" s="45">
        <f t="shared" si="202"/>
        <v>25.465048576911741</v>
      </c>
      <c r="V652" s="50">
        <f t="shared" si="203"/>
        <v>2.3257954550568685</v>
      </c>
      <c r="W652" s="45">
        <f t="shared" si="204"/>
        <v>803.58303207827737</v>
      </c>
      <c r="X652" s="45">
        <f>0.3*W652*Model!$B$9</f>
        <v>72792.282123930432</v>
      </c>
      <c r="Y652" s="33">
        <f>(S652-X652)/Model!$B$11</f>
        <v>1.9009959346846248E-3</v>
      </c>
      <c r="Z652" s="45">
        <f t="shared" si="205"/>
        <v>45.098532585757383</v>
      </c>
      <c r="AA652" s="56">
        <f>Y652/Model!$B$12*3600</f>
        <v>12.308053351674204</v>
      </c>
      <c r="AB652" s="50">
        <f t="shared" si="210"/>
        <v>92.162570130401392</v>
      </c>
      <c r="AC652" s="50">
        <f t="shared" si="196"/>
        <v>1707.8374298695985</v>
      </c>
      <c r="AD652" s="15">
        <f>IF(AE652=0, Model!$B$19, 0 )</f>
        <v>0</v>
      </c>
      <c r="AE652" s="50">
        <f>IF(AE651+AB651-AB652&lt;Model!$B$19*Model!$B$18, AE651+AB651-AB652,  0)</f>
        <v>351.47200357571217</v>
      </c>
      <c r="AF652" s="15">
        <f t="shared" si="206"/>
        <v>32.500000000000291</v>
      </c>
      <c r="AG652" s="50">
        <f t="shared" si="207"/>
        <v>0</v>
      </c>
    </row>
    <row r="653" spans="2:33" x14ac:dyDescent="0.25">
      <c r="B653" s="13">
        <f t="shared" si="208"/>
        <v>32.550000000000288</v>
      </c>
      <c r="C653" s="13">
        <f>B653+Model!$B$4</f>
        <v>34.550000000000288</v>
      </c>
      <c r="D653" s="13">
        <f t="shared" si="209"/>
        <v>2</v>
      </c>
      <c r="E653" s="13">
        <f t="shared" si="197"/>
        <v>10.550000000000288</v>
      </c>
      <c r="F653" s="14">
        <f>IF(AB653&gt;0, VLOOKUP(B653,Model!$A$40:$B$60, 2), 0)</f>
        <v>300</v>
      </c>
      <c r="G653" s="13">
        <f>IF(AB653&gt;0, VLOOKUP(B653,Model!$A$39:$C$58, 3), 0)</f>
        <v>1</v>
      </c>
      <c r="H653" s="13">
        <f t="shared" si="198"/>
        <v>97</v>
      </c>
      <c r="I653" s="46">
        <f>Model!$B$21*EXP((-0.029*9.81*F653)/(8.31*(273+J653)))</f>
        <v>100357.4491247143</v>
      </c>
      <c r="J653" s="13">
        <f>IF(Model!$B$31="Summer",  IF(F653&lt;=2000,  Model!$B$20-Model!$B$35*F653/1000,  IF(F653&lt;Model!$B$36,  Model!$B$33-6.5*F653/1000,  Model!$B$38)),     IF(F653&lt;=2000,  Model!$B$20-Model!$B$35*F653/1000,  IF(F653&lt;Model!$B$36,  Model!$B$33-5.4*F653/1000,   Model!$B$38)))</f>
        <v>-19.088750000000001</v>
      </c>
      <c r="K653" s="13">
        <f t="shared" si="193"/>
        <v>253.91125</v>
      </c>
      <c r="L653" s="46">
        <f>IF(AB652-AA652*(B653-B652)&gt;0, L652-Y652*(B653-B652)*3600-AD653*Model!$B$16, 0)</f>
        <v>571.90251378851474</v>
      </c>
      <c r="M653" s="57">
        <f t="shared" si="199"/>
        <v>10.741891718993543</v>
      </c>
      <c r="N653" s="57">
        <f>Model!$B$13*I653*K653/(Model!$B$13*I653-L653*287*K653)</f>
        <v>283.74189171899354</v>
      </c>
      <c r="O653" s="57">
        <f t="shared" si="200"/>
        <v>268.82657085949677</v>
      </c>
      <c r="P653" s="57">
        <f t="shared" si="201"/>
        <v>1.1837910733519532</v>
      </c>
      <c r="Q653" s="63">
        <f t="shared" si="194"/>
        <v>2.3703686531024271E-2</v>
      </c>
      <c r="R653" s="17">
        <f t="shared" si="195"/>
        <v>1.3165963369387663E-5</v>
      </c>
      <c r="S653" s="46">
        <f>0.37*Model!$B$10*(Q653^2*(N653-K653)*I653/(R653*O653^2))^0.33333*(N653-K653)</f>
        <v>161268.43012912737</v>
      </c>
      <c r="T653" s="51">
        <f>Model!$B$32+(90-Model!$B$6)*SIN(RADIANS(-15*(E653+6)))</f>
        <v>25.637599289533995</v>
      </c>
      <c r="U653" s="46">
        <f t="shared" si="202"/>
        <v>25.637599289533995</v>
      </c>
      <c r="V653" s="51">
        <f t="shared" si="203"/>
        <v>2.3111903838890453</v>
      </c>
      <c r="W653" s="46">
        <f t="shared" si="204"/>
        <v>806.42605956385148</v>
      </c>
      <c r="X653" s="46">
        <f>0.3*W653*Model!$B$9</f>
        <v>73049.816753899882</v>
      </c>
      <c r="Y653" s="17">
        <f>(S653-X653)/Model!$B$11</f>
        <v>1.8924941193870534E-3</v>
      </c>
      <c r="Z653" s="46">
        <f t="shared" si="205"/>
        <v>45.297034698861403</v>
      </c>
      <c r="AA653" s="57">
        <f>Y653/Model!$B$12*3600</f>
        <v>12.2530081017821</v>
      </c>
      <c r="AB653" s="51">
        <f t="shared" si="210"/>
        <v>91.547167462817711</v>
      </c>
      <c r="AC653" s="51">
        <f t="shared" si="196"/>
        <v>1708.4528325371823</v>
      </c>
      <c r="AD653" s="13">
        <f>IF(AE653=0, Model!$B$19, 0 )</f>
        <v>0</v>
      </c>
      <c r="AE653" s="51">
        <f>IF(AE652+AB652-AB653&lt;Model!$B$19*Model!$B$18, AE652+AB652-AB653,  0)</f>
        <v>352.08740624329585</v>
      </c>
      <c r="AF653" s="13">
        <f t="shared" si="206"/>
        <v>32.550000000000288</v>
      </c>
      <c r="AG653" s="50">
        <f t="shared" si="207"/>
        <v>0</v>
      </c>
    </row>
    <row r="654" spans="2:33" x14ac:dyDescent="0.25">
      <c r="B654" s="15">
        <f t="shared" si="208"/>
        <v>32.600000000000286</v>
      </c>
      <c r="C654" s="15">
        <f>B654+Model!$B$4</f>
        <v>34.600000000000286</v>
      </c>
      <c r="D654" s="15">
        <f t="shared" si="209"/>
        <v>2</v>
      </c>
      <c r="E654" s="15">
        <f t="shared" si="197"/>
        <v>10.600000000000286</v>
      </c>
      <c r="F654" s="16">
        <f>IF(AB654&gt;0, VLOOKUP(B654,Model!$A$40:$B$60, 2), 0)</f>
        <v>300</v>
      </c>
      <c r="G654" s="15">
        <f>IF(AB654&gt;0, VLOOKUP(B654,Model!$A$39:$C$58, 3), 0)</f>
        <v>1</v>
      </c>
      <c r="H654" s="15">
        <f t="shared" si="198"/>
        <v>97</v>
      </c>
      <c r="I654" s="45">
        <f>Model!$B$21*EXP((-0.029*9.81*F654)/(8.31*(273+J654)))</f>
        <v>100357.4491247143</v>
      </c>
      <c r="J654" s="15">
        <f>IF(Model!$B$31="Summer",  IF(F654&lt;=2000,  Model!$B$20-Model!$B$35*F654/1000,  IF(F654&lt;Model!$B$36,  Model!$B$33-6.5*F654/1000,  Model!$B$38)),     IF(F654&lt;=2000,  Model!$B$20-Model!$B$35*F654/1000,  IF(F654&lt;Model!$B$36,  Model!$B$33-5.4*F654/1000,   Model!$B$38)))</f>
        <v>-19.088750000000001</v>
      </c>
      <c r="K654" s="15">
        <f t="shared" si="193"/>
        <v>253.91125</v>
      </c>
      <c r="L654" s="45">
        <f>IF(AB653-AA653*(B654-B653)&gt;0, L653-Y653*(B654-B653)*3600-AD654*Model!$B$16, 0)</f>
        <v>571.56186484702505</v>
      </c>
      <c r="M654" s="56">
        <f t="shared" si="199"/>
        <v>10.722037227871965</v>
      </c>
      <c r="N654" s="56">
        <f>Model!$B$13*I654*K654/(Model!$B$13*I654-L654*287*K654)</f>
        <v>283.72203722787197</v>
      </c>
      <c r="O654" s="56">
        <f t="shared" si="200"/>
        <v>268.81664361393598</v>
      </c>
      <c r="P654" s="56">
        <f t="shared" si="201"/>
        <v>1.192817344361659</v>
      </c>
      <c r="Q654" s="62">
        <f t="shared" si="194"/>
        <v>2.3702981696589454E-2</v>
      </c>
      <c r="R654" s="33">
        <f t="shared" si="195"/>
        <v>1.3164930935849341E-5</v>
      </c>
      <c r="S654" s="45">
        <f>0.37*Model!$B$10*(Q654^2*(N654-K654)*I654/(R654*O654^2))^0.33333*(N654-K654)</f>
        <v>161130.31615832323</v>
      </c>
      <c r="T654" s="50">
        <f>Model!$B$32+(90-Model!$B$6)*SIN(RADIANS(-15*(E654+6)))</f>
        <v>25.804579866418678</v>
      </c>
      <c r="U654" s="45">
        <f t="shared" si="202"/>
        <v>25.804579866418678</v>
      </c>
      <c r="V654" s="50">
        <f t="shared" si="203"/>
        <v>2.2972500840862651</v>
      </c>
      <c r="W654" s="45">
        <f t="shared" si="204"/>
        <v>809.14906458640371</v>
      </c>
      <c r="X654" s="45">
        <f>0.3*W654*Model!$B$9</f>
        <v>73296.479191898194</v>
      </c>
      <c r="Y654" s="33">
        <f>(S654-X654)/Model!$B$11</f>
        <v>1.8842397718851235E-3</v>
      </c>
      <c r="Z654" s="45">
        <f t="shared" si="205"/>
        <v>45.488943942664783</v>
      </c>
      <c r="AA654" s="56">
        <f>Y654/Model!$B$12*3600</f>
        <v>12.199565089315129</v>
      </c>
      <c r="AB654" s="50">
        <f t="shared" si="210"/>
        <v>90.934517057728641</v>
      </c>
      <c r="AC654" s="50">
        <f t="shared" si="196"/>
        <v>1709.0654829422713</v>
      </c>
      <c r="AD654" s="15">
        <f>IF(AE654=0, Model!$B$19, 0 )</f>
        <v>0</v>
      </c>
      <c r="AE654" s="50">
        <f>IF(AE653+AB653-AB654&lt;Model!$B$19*Model!$B$18, AE653+AB653-AB654,  0)</f>
        <v>352.70005664838493</v>
      </c>
      <c r="AF654" s="15">
        <f t="shared" si="206"/>
        <v>32.600000000000286</v>
      </c>
      <c r="AG654" s="50">
        <f t="shared" si="207"/>
        <v>0</v>
      </c>
    </row>
    <row r="655" spans="2:33" x14ac:dyDescent="0.25">
      <c r="B655" s="13">
        <f t="shared" si="208"/>
        <v>32.650000000000283</v>
      </c>
      <c r="C655" s="13">
        <f>B655+Model!$B$4</f>
        <v>34.650000000000283</v>
      </c>
      <c r="D655" s="13">
        <f t="shared" si="209"/>
        <v>2</v>
      </c>
      <c r="E655" s="13">
        <f t="shared" si="197"/>
        <v>10.650000000000283</v>
      </c>
      <c r="F655" s="14">
        <f>IF(AB655&gt;0, VLOOKUP(B655,Model!$A$40:$B$60, 2), 0)</f>
        <v>300</v>
      </c>
      <c r="G655" s="13">
        <f>IF(AB655&gt;0, VLOOKUP(B655,Model!$A$39:$C$58, 3), 0)</f>
        <v>1</v>
      </c>
      <c r="H655" s="13">
        <f t="shared" si="198"/>
        <v>97</v>
      </c>
      <c r="I655" s="46">
        <f>Model!$B$21*EXP((-0.029*9.81*F655)/(8.31*(273+J655)))</f>
        <v>100357.4491247143</v>
      </c>
      <c r="J655" s="13">
        <f>IF(Model!$B$31="Summer",  IF(F655&lt;=2000,  Model!$B$20-Model!$B$35*F655/1000,  IF(F655&lt;Model!$B$36,  Model!$B$33-6.5*F655/1000,  Model!$B$38)),     IF(F655&lt;=2000,  Model!$B$20-Model!$B$35*F655/1000,  IF(F655&lt;Model!$B$36,  Model!$B$33-5.4*F655/1000,   Model!$B$38)))</f>
        <v>-19.088750000000001</v>
      </c>
      <c r="K655" s="13">
        <f t="shared" si="193"/>
        <v>253.91125</v>
      </c>
      <c r="L655" s="46">
        <f>IF(AB654-AA654*(B655-B654)&gt;0, L654-Y654*(B655-B654)*3600-AD655*Model!$B$16, 0)</f>
        <v>571.22270168808575</v>
      </c>
      <c r="M655" s="57">
        <f t="shared" si="199"/>
        <v>10.702272094815214</v>
      </c>
      <c r="N655" s="57">
        <f>Model!$B$13*I655*K655/(Model!$B$13*I655-L655*287*K655)</f>
        <v>283.70227209481521</v>
      </c>
      <c r="O655" s="57">
        <f t="shared" si="200"/>
        <v>268.80676104740758</v>
      </c>
      <c r="P655" s="57">
        <f t="shared" si="201"/>
        <v>1.2010881446502983</v>
      </c>
      <c r="Q655" s="63">
        <f t="shared" si="194"/>
        <v>2.370228003436594E-2</v>
      </c>
      <c r="R655" s="17">
        <f t="shared" si="195"/>
        <v>1.3163903148930387E-5</v>
      </c>
      <c r="S655" s="46">
        <f>0.37*Model!$B$10*(Q655^2*(N655-K655)*I655/(R655*O655^2))^0.33333*(N655-K655)</f>
        <v>160992.84708043016</v>
      </c>
      <c r="T655" s="51">
        <f>Model!$B$32+(90-Model!$B$6)*SIN(RADIANS(-15*(E655+6)))</f>
        <v>25.965961696303523</v>
      </c>
      <c r="U655" s="46">
        <f t="shared" si="202"/>
        <v>25.965961696303523</v>
      </c>
      <c r="V655" s="51">
        <f t="shared" si="203"/>
        <v>2.2839543958923856</v>
      </c>
      <c r="W655" s="46">
        <f t="shared" si="204"/>
        <v>811.75472215807065</v>
      </c>
      <c r="X655" s="46">
        <f>0.3*W655*Model!$B$9</f>
        <v>73532.51175294492</v>
      </c>
      <c r="Y655" s="17">
        <f>(S655-X655)/Model!$B$11</f>
        <v>1.876227294379175E-3</v>
      </c>
      <c r="Z655" s="46">
        <f t="shared" si="205"/>
        <v>45.674396773795131</v>
      </c>
      <c r="AA655" s="57">
        <f>Y655/Model!$B$12*3600</f>
        <v>12.147688071156926</v>
      </c>
      <c r="AB655" s="51">
        <f t="shared" si="210"/>
        <v>90.324538803262925</v>
      </c>
      <c r="AC655" s="51">
        <f t="shared" si="196"/>
        <v>1709.6754611967372</v>
      </c>
      <c r="AD655" s="13">
        <f>IF(AE655=0, Model!$B$19, 0 )</f>
        <v>0</v>
      </c>
      <c r="AE655" s="51">
        <f>IF(AE654+AB654-AB655&lt;Model!$B$19*Model!$B$18, AE654+AB654-AB655,  0)</f>
        <v>353.31003490285059</v>
      </c>
      <c r="AF655" s="13">
        <f t="shared" si="206"/>
        <v>32.650000000000283</v>
      </c>
      <c r="AG655" s="50">
        <f t="shared" si="207"/>
        <v>0</v>
      </c>
    </row>
    <row r="656" spans="2:33" x14ac:dyDescent="0.25">
      <c r="B656" s="15">
        <f t="shared" si="208"/>
        <v>32.70000000000028</v>
      </c>
      <c r="C656" s="15">
        <f>B656+Model!$B$4</f>
        <v>34.70000000000028</v>
      </c>
      <c r="D656" s="15">
        <f t="shared" si="209"/>
        <v>2</v>
      </c>
      <c r="E656" s="15">
        <f t="shared" si="197"/>
        <v>10.70000000000028</v>
      </c>
      <c r="F656" s="16">
        <f>IF(AB656&gt;0, VLOOKUP(B656,Model!$A$40:$B$60, 2), 0)</f>
        <v>300</v>
      </c>
      <c r="G656" s="15">
        <f>IF(AB656&gt;0, VLOOKUP(B656,Model!$A$39:$C$58, 3), 0)</f>
        <v>1</v>
      </c>
      <c r="H656" s="15">
        <f t="shared" si="198"/>
        <v>97</v>
      </c>
      <c r="I656" s="45">
        <f>Model!$B$21*EXP((-0.029*9.81*F656)/(8.31*(273+J656)))</f>
        <v>100357.4491247143</v>
      </c>
      <c r="J656" s="15">
        <f>IF(Model!$B$31="Summer",  IF(F656&lt;=2000,  Model!$B$20-Model!$B$35*F656/1000,  IF(F656&lt;Model!$B$36,  Model!$B$33-6.5*F656/1000,  Model!$B$38)),     IF(F656&lt;=2000,  Model!$B$20-Model!$B$35*F656/1000,  IF(F656&lt;Model!$B$36,  Model!$B$33-5.4*F656/1000,   Model!$B$38)))</f>
        <v>-19.088750000000001</v>
      </c>
      <c r="K656" s="15">
        <f t="shared" si="193"/>
        <v>253.91125</v>
      </c>
      <c r="L656" s="45">
        <f>IF(AB655-AA655*(B656-B655)&gt;0, L655-Y655*(B656-B655)*3600-AD656*Model!$B$16, 0)</f>
        <v>570.88498077509746</v>
      </c>
      <c r="M656" s="56">
        <f t="shared" si="199"/>
        <v>10.682593746437306</v>
      </c>
      <c r="N656" s="56">
        <f>Model!$B$13*I656*K656/(Model!$B$13*I656-L656*287*K656)</f>
        <v>283.68259374643731</v>
      </c>
      <c r="O656" s="56">
        <f t="shared" si="200"/>
        <v>268.79692187321865</v>
      </c>
      <c r="P656" s="56">
        <f t="shared" si="201"/>
        <v>1.2086200209391231</v>
      </c>
      <c r="Q656" s="62">
        <f t="shared" si="194"/>
        <v>2.3701581452998523E-2</v>
      </c>
      <c r="R656" s="33">
        <f t="shared" si="195"/>
        <v>1.316287987481474E-5</v>
      </c>
      <c r="S656" s="45">
        <f>0.37*Model!$B$10*(Q656^2*(N656-K656)*I656/(R656*O656^2))^0.33333*(N656-K656)</f>
        <v>160856.00470197803</v>
      </c>
      <c r="T656" s="50">
        <f>Model!$B$32+(90-Model!$B$6)*SIN(RADIANS(-15*(E656+6)))</f>
        <v>26.121717127242775</v>
      </c>
      <c r="U656" s="45">
        <f t="shared" si="202"/>
        <v>26.121717127242775</v>
      </c>
      <c r="V656" s="50">
        <f t="shared" si="203"/>
        <v>2.2712843749904708</v>
      </c>
      <c r="W656" s="45">
        <f t="shared" si="204"/>
        <v>814.24557080529462</v>
      </c>
      <c r="X656" s="45">
        <f>0.3*W656*Model!$B$9</f>
        <v>73758.144388551736</v>
      </c>
      <c r="Y656" s="33">
        <f>(S656-X656)/Model!$B$11</f>
        <v>1.8684513635831019E-3</v>
      </c>
      <c r="Z656" s="45">
        <f t="shared" si="205"/>
        <v>45.853522549689899</v>
      </c>
      <c r="AA656" s="56">
        <f>Y656/Model!$B$12*3600</f>
        <v>12.097342581537102</v>
      </c>
      <c r="AB656" s="50">
        <f t="shared" si="210"/>
        <v>89.717154399705109</v>
      </c>
      <c r="AC656" s="50">
        <f t="shared" si="196"/>
        <v>1710.2828456002949</v>
      </c>
      <c r="AD656" s="15">
        <f>IF(AE656=0, Model!$B$19, 0 )</f>
        <v>0</v>
      </c>
      <c r="AE656" s="50">
        <f>IF(AE655+AB655-AB656&lt;Model!$B$19*Model!$B$18, AE655+AB655-AB656,  0)</f>
        <v>353.91741930640842</v>
      </c>
      <c r="AF656" s="15">
        <f t="shared" si="206"/>
        <v>32.70000000000028</v>
      </c>
      <c r="AG656" s="50">
        <f t="shared" si="207"/>
        <v>0</v>
      </c>
    </row>
    <row r="657" spans="2:33" x14ac:dyDescent="0.25">
      <c r="B657" s="13">
        <f t="shared" si="208"/>
        <v>32.750000000000277</v>
      </c>
      <c r="C657" s="13">
        <f>B657+Model!$B$4</f>
        <v>34.750000000000277</v>
      </c>
      <c r="D657" s="13">
        <f t="shared" si="209"/>
        <v>2</v>
      </c>
      <c r="E657" s="13">
        <f t="shared" si="197"/>
        <v>10.750000000000277</v>
      </c>
      <c r="F657" s="14">
        <f>IF(AB657&gt;0, VLOOKUP(B657,Model!$A$40:$B$60, 2), 0)</f>
        <v>300</v>
      </c>
      <c r="G657" s="13">
        <f>IF(AB657&gt;0, VLOOKUP(B657,Model!$A$39:$C$58, 3), 0)</f>
        <v>1</v>
      </c>
      <c r="H657" s="13">
        <f t="shared" si="198"/>
        <v>97</v>
      </c>
      <c r="I657" s="46">
        <f>Model!$B$21*EXP((-0.029*9.81*F657)/(8.31*(273+J657)))</f>
        <v>100357.4491247143</v>
      </c>
      <c r="J657" s="13">
        <f>IF(Model!$B$31="Summer",  IF(F657&lt;=2000,  Model!$B$20-Model!$B$35*F657/1000,  IF(F657&lt;Model!$B$36,  Model!$B$33-6.5*F657/1000,  Model!$B$38)),     IF(F657&lt;=2000,  Model!$B$20-Model!$B$35*F657/1000,  IF(F657&lt;Model!$B$36,  Model!$B$33-5.4*F657/1000,   Model!$B$38)))</f>
        <v>-19.088750000000001</v>
      </c>
      <c r="K657" s="13">
        <f t="shared" si="193"/>
        <v>253.91125</v>
      </c>
      <c r="L657" s="46">
        <f>IF(AB656-AA656*(B657-B656)&gt;0, L656-Y656*(B657-B656)*3600-AD657*Model!$B$16, 0)</f>
        <v>570.54865952965247</v>
      </c>
      <c r="M657" s="57">
        <f t="shared" si="199"/>
        <v>10.662999666747453</v>
      </c>
      <c r="N657" s="57">
        <f>Model!$B$13*I657*K657/(Model!$B$13*I657-L657*287*K657)</f>
        <v>283.66299966674745</v>
      </c>
      <c r="O657" s="57">
        <f t="shared" si="200"/>
        <v>268.7871248333737</v>
      </c>
      <c r="P657" s="57">
        <f t="shared" si="201"/>
        <v>1.215428638742357</v>
      </c>
      <c r="Q657" s="63">
        <f t="shared" si="194"/>
        <v>2.3700885863169534E-2</v>
      </c>
      <c r="R657" s="17">
        <f t="shared" si="195"/>
        <v>1.3161860982670865E-5</v>
      </c>
      <c r="S657" s="46">
        <f>0.37*Model!$B$10*(Q657^2*(N657-K657)*I657/(R657*O657^2))^0.33333*(N657-K657)</f>
        <v>160719.77124155813</v>
      </c>
      <c r="T657" s="51">
        <f>Model!$B$32+(90-Model!$B$6)*SIN(RADIANS(-15*(E657+6)))</f>
        <v>26.271819471345189</v>
      </c>
      <c r="U657" s="46">
        <f t="shared" si="202"/>
        <v>26.271819471345189</v>
      </c>
      <c r="V657" s="51">
        <f t="shared" si="203"/>
        <v>2.2592222241950375</v>
      </c>
      <c r="W657" s="46">
        <f t="shared" si="204"/>
        <v>816.62401778897743</v>
      </c>
      <c r="X657" s="46">
        <f>0.3*W657*Model!$B$9</f>
        <v>73973.595159588163</v>
      </c>
      <c r="Y657" s="17">
        <f>(S657-X657)/Model!$B$11</f>
        <v>1.8609069201323601E-3</v>
      </c>
      <c r="Z657" s="46">
        <f t="shared" si="205"/>
        <v>46.026443783576291</v>
      </c>
      <c r="AA657" s="57">
        <f>Y657/Model!$B$12*3600</f>
        <v>12.048495863453077</v>
      </c>
      <c r="AB657" s="51">
        <f t="shared" si="210"/>
        <v>89.112287270628286</v>
      </c>
      <c r="AC657" s="51">
        <f t="shared" si="196"/>
        <v>1710.8877127293717</v>
      </c>
      <c r="AD657" s="13">
        <f>IF(AE657=0, Model!$B$19, 0 )</f>
        <v>0</v>
      </c>
      <c r="AE657" s="51">
        <f>IF(AE656+AB656-AB657&lt;Model!$B$19*Model!$B$18, AE656+AB656-AB657,  0)</f>
        <v>354.52228643548528</v>
      </c>
      <c r="AF657" s="13">
        <f t="shared" si="206"/>
        <v>32.750000000000277</v>
      </c>
      <c r="AG657" s="50">
        <f t="shared" si="207"/>
        <v>0</v>
      </c>
    </row>
    <row r="658" spans="2:33" x14ac:dyDescent="0.25">
      <c r="B658" s="15">
        <f t="shared" si="208"/>
        <v>32.800000000000274</v>
      </c>
      <c r="C658" s="15">
        <f>B658+Model!$B$4</f>
        <v>34.800000000000274</v>
      </c>
      <c r="D658" s="15">
        <f t="shared" si="209"/>
        <v>2</v>
      </c>
      <c r="E658" s="15">
        <f t="shared" si="197"/>
        <v>10.800000000000274</v>
      </c>
      <c r="F658" s="16">
        <f>IF(AB658&gt;0, VLOOKUP(B658,Model!$A$40:$B$60, 2), 0)</f>
        <v>300</v>
      </c>
      <c r="G658" s="15">
        <f>IF(AB658&gt;0, VLOOKUP(B658,Model!$A$39:$C$58, 3), 0)</f>
        <v>1</v>
      </c>
      <c r="H658" s="15">
        <f t="shared" si="198"/>
        <v>97</v>
      </c>
      <c r="I658" s="45">
        <f>Model!$B$21*EXP((-0.029*9.81*F658)/(8.31*(273+J658)))</f>
        <v>100357.4491247143</v>
      </c>
      <c r="J658" s="15">
        <f>IF(Model!$B$31="Summer",  IF(F658&lt;=2000,  Model!$B$20-Model!$B$35*F658/1000,  IF(F658&lt;Model!$B$36,  Model!$B$33-6.5*F658/1000,  Model!$B$38)),     IF(F658&lt;=2000,  Model!$B$20-Model!$B$35*F658/1000,  IF(F658&lt;Model!$B$36,  Model!$B$33-5.4*F658/1000,   Model!$B$38)))</f>
        <v>-19.088750000000001</v>
      </c>
      <c r="K658" s="15">
        <f t="shared" si="193"/>
        <v>253.91125</v>
      </c>
      <c r="L658" s="45">
        <f>IF(AB657-AA657*(B658-B657)&gt;0, L657-Y657*(B658-B657)*3600-AD658*Model!$B$16, 0)</f>
        <v>570.21369628402863</v>
      </c>
      <c r="M658" s="56">
        <f t="shared" si="199"/>
        <v>10.643487394329213</v>
      </c>
      <c r="N658" s="56">
        <f>Model!$B$13*I658*K658/(Model!$B$13*I658-L658*287*K658)</f>
        <v>283.64348739432921</v>
      </c>
      <c r="O658" s="56">
        <f t="shared" si="200"/>
        <v>268.7773686971646</v>
      </c>
      <c r="P658" s="56">
        <f t="shared" si="201"/>
        <v>1.2215288157577886</v>
      </c>
      <c r="Q658" s="62">
        <f t="shared" si="194"/>
        <v>2.3700193177498687E-2</v>
      </c>
      <c r="R658" s="33">
        <f t="shared" si="195"/>
        <v>1.3160846344505119E-5</v>
      </c>
      <c r="S658" s="45">
        <f>0.37*Model!$B$10*(Q658^2*(N658-K658)*I658/(R658*O658^2))^0.33333*(N658-K658)</f>
        <v>160584.12930977525</v>
      </c>
      <c r="T658" s="50">
        <f>Model!$B$32+(90-Model!$B$6)*SIN(RADIANS(-15*(E658+6)))</f>
        <v>26.416243009346829</v>
      </c>
      <c r="U658" s="45">
        <f t="shared" si="202"/>
        <v>26.416243009346829</v>
      </c>
      <c r="V658" s="50">
        <f t="shared" si="203"/>
        <v>2.2477512305590599</v>
      </c>
      <c r="W658" s="45">
        <f t="shared" si="204"/>
        <v>818.89234400856901</v>
      </c>
      <c r="X658" s="45">
        <f>0.3*W658*Model!$B$9</f>
        <v>74179.070680516699</v>
      </c>
      <c r="Y658" s="33">
        <f>(S658-X658)/Model!$B$11</f>
        <v>1.853589158624017E-3</v>
      </c>
      <c r="Z658" s="45">
        <f t="shared" si="205"/>
        <v>46.193276383758544</v>
      </c>
      <c r="AA658" s="56">
        <f>Y658/Model!$B$12*3600</f>
        <v>12.001116804184095</v>
      </c>
      <c r="AB658" s="50">
        <f t="shared" si="210"/>
        <v>88.50986247745567</v>
      </c>
      <c r="AC658" s="50">
        <f t="shared" si="196"/>
        <v>1711.4901375225443</v>
      </c>
      <c r="AD658" s="15">
        <f>IF(AE658=0, Model!$B$19, 0 )</f>
        <v>0</v>
      </c>
      <c r="AE658" s="50">
        <f>IF(AE657+AB657-AB658&lt;Model!$B$19*Model!$B$18, AE657+AB657-AB658,  0)</f>
        <v>355.12471122865787</v>
      </c>
      <c r="AF658" s="15">
        <f t="shared" si="206"/>
        <v>32.800000000000274</v>
      </c>
      <c r="AG658" s="50">
        <f t="shared" si="207"/>
        <v>0</v>
      </c>
    </row>
    <row r="659" spans="2:33" x14ac:dyDescent="0.25">
      <c r="B659" s="13">
        <f t="shared" si="208"/>
        <v>32.850000000000271</v>
      </c>
      <c r="C659" s="13">
        <f>B659+Model!$B$4</f>
        <v>34.850000000000271</v>
      </c>
      <c r="D659" s="13">
        <f t="shared" si="209"/>
        <v>2</v>
      </c>
      <c r="E659" s="13">
        <f t="shared" si="197"/>
        <v>10.850000000000271</v>
      </c>
      <c r="F659" s="14">
        <f>IF(AB659&gt;0, VLOOKUP(B659,Model!$A$40:$B$60, 2), 0)</f>
        <v>300</v>
      </c>
      <c r="G659" s="13">
        <f>IF(AB659&gt;0, VLOOKUP(B659,Model!$A$39:$C$58, 3), 0)</f>
        <v>1</v>
      </c>
      <c r="H659" s="13">
        <f t="shared" si="198"/>
        <v>97</v>
      </c>
      <c r="I659" s="46">
        <f>Model!$B$21*EXP((-0.029*9.81*F659)/(8.31*(273+J659)))</f>
        <v>100357.4491247143</v>
      </c>
      <c r="J659" s="13">
        <f>IF(Model!$B$31="Summer",  IF(F659&lt;=2000,  Model!$B$20-Model!$B$35*F659/1000,  IF(F659&lt;Model!$B$36,  Model!$B$33-6.5*F659/1000,  Model!$B$38)),     IF(F659&lt;=2000,  Model!$B$20-Model!$B$35*F659/1000,  IF(F659&lt;Model!$B$36,  Model!$B$33-5.4*F659/1000,   Model!$B$38)))</f>
        <v>-19.088750000000001</v>
      </c>
      <c r="K659" s="13">
        <f t="shared" si="193"/>
        <v>253.91125</v>
      </c>
      <c r="L659" s="46">
        <f>IF(AB658-AA658*(B659-B658)&gt;0, L658-Y658*(B659-B658)*3600-AD659*Model!$B$16, 0)</f>
        <v>569.88005023547635</v>
      </c>
      <c r="M659" s="57">
        <f t="shared" si="199"/>
        <v>10.624054519626952</v>
      </c>
      <c r="N659" s="57">
        <f>Model!$B$13*I659*K659/(Model!$B$13*I659-L659*287*K659)</f>
        <v>283.62405451962695</v>
      </c>
      <c r="O659" s="57">
        <f t="shared" si="200"/>
        <v>268.76765225981347</v>
      </c>
      <c r="P659" s="57">
        <f t="shared" si="201"/>
        <v>1.226934553203936</v>
      </c>
      <c r="Q659" s="63">
        <f t="shared" si="194"/>
        <v>2.3699503310446759E-2</v>
      </c>
      <c r="R659" s="17">
        <f t="shared" si="195"/>
        <v>1.31598358350206E-5</v>
      </c>
      <c r="S659" s="46">
        <f>0.37*Model!$B$10*(Q659^2*(N659-K659)*I659/(R659*O659^2))^0.33333*(N659-K659)</f>
        <v>160449.06188997035</v>
      </c>
      <c r="T659" s="51">
        <f>Model!$B$32+(90-Model!$B$6)*SIN(RADIANS(-15*(E659+6)))</f>
        <v>26.554962995017945</v>
      </c>
      <c r="U659" s="46">
        <f t="shared" si="202"/>
        <v>26.554962995017945</v>
      </c>
      <c r="V659" s="51">
        <f t="shared" si="203"/>
        <v>2.236855707451129</v>
      </c>
      <c r="W659" s="46">
        <f t="shared" si="204"/>
        <v>821.05270860603116</v>
      </c>
      <c r="X659" s="46">
        <f>0.3*W659*Model!$B$9</f>
        <v>74374.766536441253</v>
      </c>
      <c r="Y659" s="17">
        <f>(S659-X659)/Model!$B$11</f>
        <v>1.8464935182565506E-3</v>
      </c>
      <c r="Z659" s="46">
        <f t="shared" si="205"/>
        <v>46.35412987795749</v>
      </c>
      <c r="AA659" s="57">
        <f>Y659/Model!$B$12*3600</f>
        <v>11.955175874688337</v>
      </c>
      <c r="AB659" s="51">
        <f t="shared" si="210"/>
        <v>87.909806637246504</v>
      </c>
      <c r="AC659" s="51">
        <f t="shared" si="196"/>
        <v>1712.0901933627536</v>
      </c>
      <c r="AD659" s="13">
        <f>IF(AE659=0, Model!$B$19, 0 )</f>
        <v>0</v>
      </c>
      <c r="AE659" s="51">
        <f>IF(AE658+AB658-AB659&lt;Model!$B$19*Model!$B$18, AE658+AB658-AB659,  0)</f>
        <v>355.72476706886704</v>
      </c>
      <c r="AF659" s="13">
        <f t="shared" si="206"/>
        <v>32.850000000000271</v>
      </c>
      <c r="AG659" s="50">
        <f t="shared" si="207"/>
        <v>0</v>
      </c>
    </row>
    <row r="660" spans="2:33" x14ac:dyDescent="0.25">
      <c r="B660" s="15">
        <f t="shared" si="208"/>
        <v>32.900000000000269</v>
      </c>
      <c r="C660" s="15">
        <f>B660+Model!$B$4</f>
        <v>34.900000000000269</v>
      </c>
      <c r="D660" s="15">
        <f t="shared" si="209"/>
        <v>2</v>
      </c>
      <c r="E660" s="15">
        <f t="shared" si="197"/>
        <v>10.900000000000269</v>
      </c>
      <c r="F660" s="16">
        <f>IF(AB660&gt;0, VLOOKUP(B660,Model!$A$40:$B$60, 2), 0)</f>
        <v>300</v>
      </c>
      <c r="G660" s="15">
        <f>IF(AB660&gt;0, VLOOKUP(B660,Model!$A$39:$C$58, 3), 0)</f>
        <v>1</v>
      </c>
      <c r="H660" s="15">
        <f t="shared" si="198"/>
        <v>97</v>
      </c>
      <c r="I660" s="45">
        <f>Model!$B$21*EXP((-0.029*9.81*F660)/(8.31*(273+J660)))</f>
        <v>100357.4491247143</v>
      </c>
      <c r="J660" s="15">
        <f>IF(Model!$B$31="Summer",  IF(F660&lt;=2000,  Model!$B$20-Model!$B$35*F660/1000,  IF(F660&lt;Model!$B$36,  Model!$B$33-6.5*F660/1000,  Model!$B$38)),     IF(F660&lt;=2000,  Model!$B$20-Model!$B$35*F660/1000,  IF(F660&lt;Model!$B$36,  Model!$B$33-5.4*F660/1000,   Model!$B$38)))</f>
        <v>-19.088750000000001</v>
      </c>
      <c r="K660" s="15">
        <f t="shared" si="193"/>
        <v>253.91125</v>
      </c>
      <c r="L660" s="45">
        <f>IF(AB659-AA659*(B660-B659)&gt;0, L659-Y659*(B660-B659)*3600-AD660*Model!$B$16, 0)</f>
        <v>569.54768140219016</v>
      </c>
      <c r="M660" s="56">
        <f t="shared" si="199"/>
        <v>10.604698682333151</v>
      </c>
      <c r="N660" s="56">
        <f>Model!$B$13*I660*K660/(Model!$B$13*I660-L660*287*K660)</f>
        <v>283.60469868233315</v>
      </c>
      <c r="O660" s="56">
        <f t="shared" si="200"/>
        <v>268.75797434116657</v>
      </c>
      <c r="P660" s="56">
        <f t="shared" si="201"/>
        <v>1.2316590652067827</v>
      </c>
      <c r="Q660" s="62">
        <f t="shared" si="194"/>
        <v>2.3698816178222826E-2</v>
      </c>
      <c r="R660" s="33">
        <f t="shared" si="195"/>
        <v>1.3158829331481322E-5</v>
      </c>
      <c r="S660" s="45">
        <f>0.37*Model!$B$10*(Q660^2*(N660-K660)*I660/(R660*O660^2))^0.33333*(N660-K660)</f>
        <v>160314.55231966986</v>
      </c>
      <c r="T660" s="50">
        <f>Model!$B$32+(90-Model!$B$6)*SIN(RADIANS(-15*(E660+6)))</f>
        <v>26.68795565940313</v>
      </c>
      <c r="U660" s="45">
        <f t="shared" si="202"/>
        <v>26.68795565940313</v>
      </c>
      <c r="V660" s="50">
        <f t="shared" si="203"/>
        <v>2.2265209412022329</v>
      </c>
      <c r="W660" s="45">
        <f t="shared" si="204"/>
        <v>823.10715328466097</v>
      </c>
      <c r="X660" s="45">
        <f>0.3*W660*Model!$B$9</f>
        <v>74560.867674326233</v>
      </c>
      <c r="Y660" s="33">
        <f>(S660-X660)/Model!$B$11</f>
        <v>1.8396156740393356E-3</v>
      </c>
      <c r="Z660" s="45">
        <f t="shared" si="205"/>
        <v>46.509107623399423</v>
      </c>
      <c r="AA660" s="56">
        <f>Y660/Model!$B$12*3600</f>
        <v>11.910645072688473</v>
      </c>
      <c r="AB660" s="50">
        <f t="shared" si="210"/>
        <v>87.312047843512119</v>
      </c>
      <c r="AC660" s="50">
        <f t="shared" si="196"/>
        <v>1712.6879521564879</v>
      </c>
      <c r="AD660" s="15">
        <f>IF(AE660=0, Model!$B$19, 0 )</f>
        <v>0</v>
      </c>
      <c r="AE660" s="50">
        <f>IF(AE659+AB659-AB660&lt;Model!$B$19*Model!$B$18, AE659+AB659-AB660,  0)</f>
        <v>356.32252586260142</v>
      </c>
      <c r="AF660" s="15">
        <f t="shared" si="206"/>
        <v>32.900000000000269</v>
      </c>
      <c r="AG660" s="50">
        <f t="shared" si="207"/>
        <v>0</v>
      </c>
    </row>
    <row r="661" spans="2:33" x14ac:dyDescent="0.25">
      <c r="B661" s="13">
        <f t="shared" si="208"/>
        <v>32.950000000000266</v>
      </c>
      <c r="C661" s="13">
        <f>B661+Model!$B$4</f>
        <v>34.950000000000266</v>
      </c>
      <c r="D661" s="13">
        <f t="shared" si="209"/>
        <v>2</v>
      </c>
      <c r="E661" s="13">
        <f t="shared" si="197"/>
        <v>10.950000000000266</v>
      </c>
      <c r="F661" s="14">
        <f>IF(AB661&gt;0, VLOOKUP(B661,Model!$A$40:$B$60, 2), 0)</f>
        <v>300</v>
      </c>
      <c r="G661" s="13">
        <f>IF(AB661&gt;0, VLOOKUP(B661,Model!$A$39:$C$58, 3), 0)</f>
        <v>1</v>
      </c>
      <c r="H661" s="13">
        <f t="shared" si="198"/>
        <v>97</v>
      </c>
      <c r="I661" s="46">
        <f>Model!$B$21*EXP((-0.029*9.81*F661)/(8.31*(273+J661)))</f>
        <v>100357.4491247143</v>
      </c>
      <c r="J661" s="13">
        <f>IF(Model!$B$31="Summer",  IF(F661&lt;=2000,  Model!$B$20-Model!$B$35*F661/1000,  IF(F661&lt;Model!$B$36,  Model!$B$33-6.5*F661/1000,  Model!$B$38)),     IF(F661&lt;=2000,  Model!$B$20-Model!$B$35*F661/1000,  IF(F661&lt;Model!$B$36,  Model!$B$33-5.4*F661/1000,   Model!$B$38)))</f>
        <v>-19.088750000000001</v>
      </c>
      <c r="K661" s="13">
        <f t="shared" si="193"/>
        <v>253.91125</v>
      </c>
      <c r="L661" s="46">
        <f>IF(AB660-AA660*(B661-B660)&gt;0, L660-Y660*(B661-B660)*3600-AD661*Model!$B$16, 0)</f>
        <v>569.2165505808631</v>
      </c>
      <c r="M661" s="57">
        <f t="shared" si="199"/>
        <v>10.585417568871264</v>
      </c>
      <c r="N661" s="57">
        <f>Model!$B$13*I661*K661/(Model!$B$13*I661-L661*287*K661)</f>
        <v>283.58541756887126</v>
      </c>
      <c r="O661" s="57">
        <f t="shared" si="200"/>
        <v>268.74833378443566</v>
      </c>
      <c r="P661" s="57">
        <f t="shared" si="201"/>
        <v>1.2357148063333714</v>
      </c>
      <c r="Q661" s="63">
        <f t="shared" si="194"/>
        <v>2.3698131698694933E-2</v>
      </c>
      <c r="R661" s="17">
        <f t="shared" si="195"/>
        <v>1.3157826713581308E-5</v>
      </c>
      <c r="S661" s="46">
        <f>0.37*Model!$B$10*(Q661^2*(N661-K661)*I661/(R661*O661^2))^0.33333*(N661-K661)</f>
        <v>160180.58427272338</v>
      </c>
      <c r="T661" s="51">
        <f>Model!$B$32+(90-Model!$B$6)*SIN(RADIANS(-15*(E661+6)))</f>
        <v>26.815198214893989</v>
      </c>
      <c r="U661" s="46">
        <f t="shared" si="202"/>
        <v>26.815198214893989</v>
      </c>
      <c r="V661" s="51">
        <f t="shared" si="203"/>
        <v>2.2167331419610066</v>
      </c>
      <c r="W661" s="46">
        <f t="shared" si="204"/>
        <v>825.05760635686022</v>
      </c>
      <c r="X661" s="46">
        <f>0.3*W661*Model!$B$9</f>
        <v>74737.548769662244</v>
      </c>
      <c r="Y661" s="17">
        <f>(S661-X661)/Model!$B$11</f>
        <v>1.8329515285436264E-3</v>
      </c>
      <c r="Z661" s="46">
        <f t="shared" si="205"/>
        <v>46.658307003309545</v>
      </c>
      <c r="AA661" s="57">
        <f>Y661/Model!$B$12*3600</f>
        <v>11.867497869263172</v>
      </c>
      <c r="AB661" s="51">
        <f t="shared" si="210"/>
        <v>86.71651558987773</v>
      </c>
      <c r="AC661" s="51">
        <f t="shared" si="196"/>
        <v>1713.2834844101224</v>
      </c>
      <c r="AD661" s="13">
        <f>IF(AE661=0, Model!$B$19, 0 )</f>
        <v>0</v>
      </c>
      <c r="AE661" s="51">
        <f>IF(AE660+AB660-AB661&lt;Model!$B$19*Model!$B$18, AE660+AB660-AB661,  0)</f>
        <v>356.91805811623578</v>
      </c>
      <c r="AF661" s="13">
        <f t="shared" si="206"/>
        <v>32.950000000000266</v>
      </c>
      <c r="AG661" s="50">
        <f t="shared" si="207"/>
        <v>0</v>
      </c>
    </row>
    <row r="662" spans="2:33" x14ac:dyDescent="0.25">
      <c r="B662" s="15">
        <f t="shared" si="208"/>
        <v>33.000000000000263</v>
      </c>
      <c r="C662" s="15">
        <f>B662+Model!$B$4</f>
        <v>35.000000000000263</v>
      </c>
      <c r="D662" s="15">
        <f t="shared" si="209"/>
        <v>2</v>
      </c>
      <c r="E662" s="15">
        <f t="shared" si="197"/>
        <v>11.000000000000263</v>
      </c>
      <c r="F662" s="16">
        <f>IF(AB662&gt;0, VLOOKUP(B662,Model!$A$40:$B$60, 2), 0)</f>
        <v>300</v>
      </c>
      <c r="G662" s="15">
        <f>IF(AB662&gt;0, VLOOKUP(B662,Model!$A$39:$C$58, 3), 0)</f>
        <v>1</v>
      </c>
      <c r="H662" s="15">
        <f t="shared" si="198"/>
        <v>97</v>
      </c>
      <c r="I662" s="45">
        <f>Model!$B$21*EXP((-0.029*9.81*F662)/(8.31*(273+J662)))</f>
        <v>100357.4491247143</v>
      </c>
      <c r="J662" s="15">
        <f>IF(Model!$B$31="Summer",  IF(F662&lt;=2000,  Model!$B$20-Model!$B$35*F662/1000,  IF(F662&lt;Model!$B$36,  Model!$B$33-6.5*F662/1000,  Model!$B$38)),     IF(F662&lt;=2000,  Model!$B$20-Model!$B$35*F662/1000,  IF(F662&lt;Model!$B$36,  Model!$B$33-5.4*F662/1000,   Model!$B$38)))</f>
        <v>-19.088750000000001</v>
      </c>
      <c r="K662" s="15">
        <f t="shared" si="193"/>
        <v>253.91125</v>
      </c>
      <c r="L662" s="45">
        <f>IF(AB661-AA661*(B662-B661)&gt;0, L661-Y661*(B662-B661)*3600-AD662*Model!$B$16, 0)</f>
        <v>568.88661930572528</v>
      </c>
      <c r="M662" s="56">
        <f t="shared" si="199"/>
        <v>10.56620890996777</v>
      </c>
      <c r="N662" s="56">
        <f>Model!$B$13*I662*K662/(Model!$B$13*I662-L662*287*K662)</f>
        <v>283.56620890996777</v>
      </c>
      <c r="O662" s="56">
        <f t="shared" si="200"/>
        <v>268.73872945498385</v>
      </c>
      <c r="P662" s="56">
        <f t="shared" si="201"/>
        <v>1.2391134973629523</v>
      </c>
      <c r="Q662" s="62">
        <f t="shared" si="194"/>
        <v>2.3697449791303855E-2</v>
      </c>
      <c r="R662" s="33">
        <f t="shared" si="195"/>
        <v>1.3156827863318319E-5</v>
      </c>
      <c r="S662" s="45">
        <f>0.37*Model!$B$10*(Q662^2*(N662-K662)*I662/(R662*O662^2))^0.33333*(N662-K662)</f>
        <v>160047.14174208287</v>
      </c>
      <c r="T662" s="50">
        <f>Model!$B$32+(90-Model!$B$6)*SIN(RADIANS(-15*(E662+6)))</f>
        <v>26.936668859133682</v>
      </c>
      <c r="U662" s="45">
        <f t="shared" si="202"/>
        <v>26.936668859133682</v>
      </c>
      <c r="V662" s="50">
        <f t="shared" si="203"/>
        <v>2.2074793984316203</v>
      </c>
      <c r="W662" s="45">
        <f t="shared" si="204"/>
        <v>826.90588653404836</v>
      </c>
      <c r="X662" s="45">
        <f>0.3*W662*Model!$B$9</f>
        <v>74904.974569774015</v>
      </c>
      <c r="Y662" s="33">
        <f>(S662-X662)/Model!$B$11</f>
        <v>1.8264972041683761E-3</v>
      </c>
      <c r="Z662" s="45">
        <f t="shared" si="205"/>
        <v>46.801819610426989</v>
      </c>
      <c r="AA662" s="56">
        <f>Y662/Model!$B$12*3600</f>
        <v>11.825709158771915</v>
      </c>
      <c r="AB662" s="50">
        <f t="shared" si="210"/>
        <v>86.123140696414609</v>
      </c>
      <c r="AC662" s="50">
        <f t="shared" si="196"/>
        <v>1713.8768593035854</v>
      </c>
      <c r="AD662" s="15">
        <f>IF(AE662=0, Model!$B$19, 0 )</f>
        <v>0</v>
      </c>
      <c r="AE662" s="50">
        <f>IF(AE661+AB661-AB662&lt;Model!$B$19*Model!$B$18, AE661+AB661-AB662,  0)</f>
        <v>357.51143300969892</v>
      </c>
      <c r="AF662" s="15">
        <f t="shared" si="206"/>
        <v>33.000000000000263</v>
      </c>
      <c r="AG662" s="50">
        <f t="shared" si="207"/>
        <v>0</v>
      </c>
    </row>
    <row r="663" spans="2:33" x14ac:dyDescent="0.25">
      <c r="B663" s="13">
        <f t="shared" si="208"/>
        <v>33.05000000000026</v>
      </c>
      <c r="C663" s="13">
        <f>B663+Model!$B$4</f>
        <v>35.05000000000026</v>
      </c>
      <c r="D663" s="13">
        <f t="shared" si="209"/>
        <v>2</v>
      </c>
      <c r="E663" s="13">
        <f t="shared" si="197"/>
        <v>11.05000000000026</v>
      </c>
      <c r="F663" s="14">
        <f>IF(AB663&gt;0, VLOOKUP(B663,Model!$A$40:$B$60, 2), 0)</f>
        <v>300</v>
      </c>
      <c r="G663" s="13">
        <f>IF(AB663&gt;0, VLOOKUP(B663,Model!$A$39:$C$58, 3), 0)</f>
        <v>1</v>
      </c>
      <c r="H663" s="13">
        <f t="shared" si="198"/>
        <v>97</v>
      </c>
      <c r="I663" s="46">
        <f>Model!$B$21*EXP((-0.029*9.81*F663)/(8.31*(273+J663)))</f>
        <v>100357.4491247143</v>
      </c>
      <c r="J663" s="13">
        <f>IF(Model!$B$31="Summer",  IF(F663&lt;=2000,  Model!$B$20-Model!$B$35*F663/1000,  IF(F663&lt;Model!$B$36,  Model!$B$33-6.5*F663/1000,  Model!$B$38)),     IF(F663&lt;=2000,  Model!$B$20-Model!$B$35*F663/1000,  IF(F663&lt;Model!$B$36,  Model!$B$33-5.4*F663/1000,   Model!$B$38)))</f>
        <v>-19.088750000000001</v>
      </c>
      <c r="K663" s="13">
        <f t="shared" si="193"/>
        <v>253.91125</v>
      </c>
      <c r="L663" s="46">
        <f>IF(AB662-AA662*(B663-B662)&gt;0, L662-Y662*(B663-B662)*3600-AD663*Model!$B$16, 0)</f>
        <v>568.55784980897499</v>
      </c>
      <c r="M663" s="57">
        <f t="shared" si="199"/>
        <v>10.547070478307432</v>
      </c>
      <c r="N663" s="57">
        <f>Model!$B$13*I663*K663/(Model!$B$13*I663-L663*287*K663)</f>
        <v>283.54707047830743</v>
      </c>
      <c r="O663" s="57">
        <f t="shared" si="200"/>
        <v>268.72916023915371</v>
      </c>
      <c r="P663" s="57">
        <f t="shared" si="201"/>
        <v>1.2418661493807051</v>
      </c>
      <c r="Q663" s="63">
        <f t="shared" si="194"/>
        <v>2.3696770376979915E-2</v>
      </c>
      <c r="R663" s="17">
        <f t="shared" si="195"/>
        <v>1.3155832664871984E-5</v>
      </c>
      <c r="S663" s="46">
        <f>0.37*Model!$B$10*(Q663^2*(N663-K663)*I663/(R663*O663^2))^0.33333*(N663-K663)</f>
        <v>159914.20902318321</v>
      </c>
      <c r="T663" s="51">
        <f>Model!$B$32+(90-Model!$B$6)*SIN(RADIANS(-15*(E663+6)))</f>
        <v>27.052346778752664</v>
      </c>
      <c r="U663" s="46">
        <f t="shared" si="202"/>
        <v>27.052346778752664</v>
      </c>
      <c r="V663" s="51">
        <f t="shared" si="203"/>
        <v>2.1987476362001646</v>
      </c>
      <c r="W663" s="46">
        <f t="shared" si="204"/>
        <v>828.65370647107818</v>
      </c>
      <c r="X663" s="46">
        <f>0.3*W663*Model!$B$9</f>
        <v>75063.300214890056</v>
      </c>
      <c r="Y663" s="17">
        <f>(S663-X663)/Model!$B$11</f>
        <v>1.8202490358960239E-3</v>
      </c>
      <c r="Z663" s="46">
        <f t="shared" si="205"/>
        <v>46.939731418118022</v>
      </c>
      <c r="AA663" s="57">
        <f>Y663/Model!$B$12*3600</f>
        <v>11.785255211952135</v>
      </c>
      <c r="AB663" s="51">
        <f t="shared" si="210"/>
        <v>85.531855238476041</v>
      </c>
      <c r="AC663" s="51">
        <f t="shared" si="196"/>
        <v>1714.4681447615239</v>
      </c>
      <c r="AD663" s="13">
        <f>IF(AE663=0, Model!$B$19, 0 )</f>
        <v>0</v>
      </c>
      <c r="AE663" s="51">
        <f>IF(AE662+AB662-AB663&lt;Model!$B$19*Model!$B$18, AE662+AB662-AB663,  0)</f>
        <v>358.10271846763749</v>
      </c>
      <c r="AF663" s="13">
        <f t="shared" si="206"/>
        <v>33.05000000000026</v>
      </c>
      <c r="AG663" s="50">
        <f t="shared" si="207"/>
        <v>0</v>
      </c>
    </row>
    <row r="664" spans="2:33" x14ac:dyDescent="0.25">
      <c r="B664" s="15">
        <f t="shared" si="208"/>
        <v>33.100000000000257</v>
      </c>
      <c r="C664" s="15">
        <f>B664+Model!$B$4</f>
        <v>35.100000000000257</v>
      </c>
      <c r="D664" s="15">
        <f t="shared" si="209"/>
        <v>2</v>
      </c>
      <c r="E664" s="15">
        <f t="shared" si="197"/>
        <v>11.100000000000257</v>
      </c>
      <c r="F664" s="16">
        <f>IF(AB664&gt;0, VLOOKUP(B664,Model!$A$40:$B$60, 2), 0)</f>
        <v>300</v>
      </c>
      <c r="G664" s="15">
        <f>IF(AB664&gt;0, VLOOKUP(B664,Model!$A$39:$C$58, 3), 0)</f>
        <v>1</v>
      </c>
      <c r="H664" s="15">
        <f t="shared" si="198"/>
        <v>97</v>
      </c>
      <c r="I664" s="45">
        <f>Model!$B$21*EXP((-0.029*9.81*F664)/(8.31*(273+J664)))</f>
        <v>100357.4491247143</v>
      </c>
      <c r="J664" s="15">
        <f>IF(Model!$B$31="Summer",  IF(F664&lt;=2000,  Model!$B$20-Model!$B$35*F664/1000,  IF(F664&lt;Model!$B$36,  Model!$B$33-6.5*F664/1000,  Model!$B$38)),     IF(F664&lt;=2000,  Model!$B$20-Model!$B$35*F664/1000,  IF(F664&lt;Model!$B$36,  Model!$B$33-5.4*F664/1000,   Model!$B$38)))</f>
        <v>-19.088750000000001</v>
      </c>
      <c r="K664" s="15">
        <f t="shared" si="193"/>
        <v>253.91125</v>
      </c>
      <c r="L664" s="45">
        <f>IF(AB663-AA663*(B664-B663)&gt;0, L663-Y663*(B664-B663)*3600-AD664*Model!$B$16, 0)</f>
        <v>568.23020498251378</v>
      </c>
      <c r="M664" s="56">
        <f t="shared" si="199"/>
        <v>10.528000086267753</v>
      </c>
      <c r="N664" s="56">
        <f>Model!$B$13*I664*K664/(Model!$B$13*I664-L664*287*K664)</f>
        <v>283.52800008626775</v>
      </c>
      <c r="O664" s="56">
        <f t="shared" si="200"/>
        <v>268.71962504313387</v>
      </c>
      <c r="P664" s="56">
        <f t="shared" si="201"/>
        <v>1.2439830862743966</v>
      </c>
      <c r="Q664" s="62">
        <f t="shared" si="194"/>
        <v>2.3696093378062506E-2</v>
      </c>
      <c r="R664" s="33">
        <f t="shared" si="195"/>
        <v>1.3154841004485921E-5</v>
      </c>
      <c r="S664" s="45">
        <f>0.37*Model!$B$10*(Q664^2*(N664-K664)*I664/(R664*O664^2))^0.33333*(N664-K664)</f>
        <v>159781.77069789253</v>
      </c>
      <c r="T664" s="50">
        <f>Model!$B$32+(90-Model!$B$6)*SIN(RADIANS(-15*(E664+6)))</f>
        <v>27.162212152934913</v>
      </c>
      <c r="U664" s="45">
        <f t="shared" si="202"/>
        <v>27.162212152934913</v>
      </c>
      <c r="V664" s="50">
        <f t="shared" si="203"/>
        <v>2.1905265793839344</v>
      </c>
      <c r="W664" s="45">
        <f t="shared" si="204"/>
        <v>830.30267607669884</v>
      </c>
      <c r="X664" s="45">
        <f>0.3*W664*Model!$B$9</f>
        <v>75212.671538019786</v>
      </c>
      <c r="Y664" s="33">
        <f>(S664-X664)/Model!$B$11</f>
        <v>1.814203564515129E-3</v>
      </c>
      <c r="Z664" s="45">
        <f t="shared" si="205"/>
        <v>47.07212293962381</v>
      </c>
      <c r="AA664" s="56">
        <f>Y664/Model!$B$12*3600</f>
        <v>11.746113632038965</v>
      </c>
      <c r="AB664" s="50">
        <f t="shared" si="210"/>
        <v>84.942592477878463</v>
      </c>
      <c r="AC664" s="50">
        <f t="shared" si="196"/>
        <v>1715.0574075221216</v>
      </c>
      <c r="AD664" s="15">
        <f>IF(AE664=0, Model!$B$19, 0 )</f>
        <v>0</v>
      </c>
      <c r="AE664" s="50">
        <f>IF(AE663+AB663-AB664&lt;Model!$B$19*Model!$B$18, AE663+AB663-AB664,  0)</f>
        <v>358.69198122823508</v>
      </c>
      <c r="AF664" s="15">
        <f t="shared" si="206"/>
        <v>33.100000000000257</v>
      </c>
      <c r="AG664" s="50">
        <f t="shared" si="207"/>
        <v>0</v>
      </c>
    </row>
    <row r="665" spans="2:33" x14ac:dyDescent="0.25">
      <c r="B665" s="13">
        <f t="shared" si="208"/>
        <v>33.150000000000254</v>
      </c>
      <c r="C665" s="13">
        <f>B665+Model!$B$4</f>
        <v>35.150000000000254</v>
      </c>
      <c r="D665" s="13">
        <f t="shared" si="209"/>
        <v>2</v>
      </c>
      <c r="E665" s="13">
        <f t="shared" si="197"/>
        <v>11.150000000000254</v>
      </c>
      <c r="F665" s="14">
        <f>IF(AB665&gt;0, VLOOKUP(B665,Model!$A$40:$B$60, 2), 0)</f>
        <v>300</v>
      </c>
      <c r="G665" s="13">
        <f>IF(AB665&gt;0, VLOOKUP(B665,Model!$A$39:$C$58, 3), 0)</f>
        <v>1</v>
      </c>
      <c r="H665" s="13">
        <f t="shared" si="198"/>
        <v>97</v>
      </c>
      <c r="I665" s="46">
        <f>Model!$B$21*EXP((-0.029*9.81*F665)/(8.31*(273+J665)))</f>
        <v>100357.4491247143</v>
      </c>
      <c r="J665" s="13">
        <f>IF(Model!$B$31="Summer",  IF(F665&lt;=2000,  Model!$B$20-Model!$B$35*F665/1000,  IF(F665&lt;Model!$B$36,  Model!$B$33-6.5*F665/1000,  Model!$B$38)),     IF(F665&lt;=2000,  Model!$B$20-Model!$B$35*F665/1000,  IF(F665&lt;Model!$B$36,  Model!$B$33-5.4*F665/1000,   Model!$B$38)))</f>
        <v>-19.088750000000001</v>
      </c>
      <c r="K665" s="13">
        <f t="shared" si="193"/>
        <v>253.91125</v>
      </c>
      <c r="L665" s="46">
        <f>IF(AB664-AA664*(B665-B664)&gt;0, L664-Y664*(B665-B664)*3600-AD665*Model!$B$16, 0)</f>
        <v>567.9036483409011</v>
      </c>
      <c r="M665" s="57">
        <f t="shared" si="199"/>
        <v>10.508995583725891</v>
      </c>
      <c r="N665" s="57">
        <f>Model!$B$13*I665*K665/(Model!$B$13*I665-L665*287*K665)</f>
        <v>283.50899558372589</v>
      </c>
      <c r="O665" s="57">
        <f t="shared" si="200"/>
        <v>268.71012279186294</v>
      </c>
      <c r="P665" s="57">
        <f t="shared" si="201"/>
        <v>1.2454739657076042</v>
      </c>
      <c r="Q665" s="63">
        <f t="shared" si="194"/>
        <v>2.3695418718222269E-2</v>
      </c>
      <c r="R665" s="17">
        <f t="shared" si="195"/>
        <v>1.3153852770353745E-5</v>
      </c>
      <c r="S665" s="46">
        <f>0.37*Model!$B$10*(Q665^2*(N665-K665)*I665/(R665*O665^2))^0.33333*(N665-K665)</f>
        <v>159649.81161898683</v>
      </c>
      <c r="T665" s="51">
        <f>Model!$B$32+(90-Model!$B$6)*SIN(RADIANS(-15*(E665+6)))</f>
        <v>27.266246156814134</v>
      </c>
      <c r="U665" s="46">
        <f t="shared" si="202"/>
        <v>27.266246156814134</v>
      </c>
      <c r="V665" s="51">
        <f t="shared" si="203"/>
        <v>2.182805715363703</v>
      </c>
      <c r="W665" s="46">
        <f t="shared" si="204"/>
        <v>831.85430560083398</v>
      </c>
      <c r="X665" s="46">
        <f>0.3*W665*Model!$B$9</f>
        <v>75353.225344613427</v>
      </c>
      <c r="Y665" s="17">
        <f>(S665-X665)/Model!$B$11</f>
        <v>1.8083575302879631E-3</v>
      </c>
      <c r="Z665" s="46">
        <f t="shared" si="205"/>
        <v>47.199069375946458</v>
      </c>
      <c r="AA665" s="57">
        <f>Y665/Model!$B$12*3600</f>
        <v>11.708263313765869</v>
      </c>
      <c r="AB665" s="51">
        <f t="shared" si="210"/>
        <v>84.355286796276545</v>
      </c>
      <c r="AC665" s="51">
        <f t="shared" si="196"/>
        <v>1715.6447132037235</v>
      </c>
      <c r="AD665" s="13">
        <f>IF(AE665=0, Model!$B$19, 0 )</f>
        <v>0</v>
      </c>
      <c r="AE665" s="51">
        <f>IF(AE664+AB664-AB665&lt;Model!$B$19*Model!$B$18, AE664+AB664-AB665,  0)</f>
        <v>359.27928690983697</v>
      </c>
      <c r="AF665" s="13">
        <f t="shared" si="206"/>
        <v>33.150000000000254</v>
      </c>
      <c r="AG665" s="50">
        <f t="shared" si="207"/>
        <v>0</v>
      </c>
    </row>
    <row r="666" spans="2:33" x14ac:dyDescent="0.25">
      <c r="B666" s="15">
        <f t="shared" si="208"/>
        <v>33.200000000000252</v>
      </c>
      <c r="C666" s="15">
        <f>B666+Model!$B$4</f>
        <v>35.200000000000252</v>
      </c>
      <c r="D666" s="15">
        <f t="shared" si="209"/>
        <v>2</v>
      </c>
      <c r="E666" s="15">
        <f t="shared" si="197"/>
        <v>11.200000000000252</v>
      </c>
      <c r="F666" s="16">
        <f>IF(AB666&gt;0, VLOOKUP(B666,Model!$A$40:$B$60, 2), 0)</f>
        <v>300</v>
      </c>
      <c r="G666" s="15">
        <f>IF(AB666&gt;0, VLOOKUP(B666,Model!$A$39:$C$58, 3), 0)</f>
        <v>1</v>
      </c>
      <c r="H666" s="15">
        <f t="shared" si="198"/>
        <v>97</v>
      </c>
      <c r="I666" s="45">
        <f>Model!$B$21*EXP((-0.029*9.81*F666)/(8.31*(273+J666)))</f>
        <v>100357.4491247143</v>
      </c>
      <c r="J666" s="15">
        <f>IF(Model!$B$31="Summer",  IF(F666&lt;=2000,  Model!$B$20-Model!$B$35*F666/1000,  IF(F666&lt;Model!$B$36,  Model!$B$33-6.5*F666/1000,  Model!$B$38)),     IF(F666&lt;=2000,  Model!$B$20-Model!$B$35*F666/1000,  IF(F666&lt;Model!$B$36,  Model!$B$33-5.4*F666/1000,   Model!$B$38)))</f>
        <v>-19.088750000000001</v>
      </c>
      <c r="K666" s="15">
        <f t="shared" si="193"/>
        <v>253.91125</v>
      </c>
      <c r="L666" s="45">
        <f>IF(AB665-AA665*(B666-B665)&gt;0, L665-Y665*(B666-B665)*3600-AD666*Model!$B$16, 0)</f>
        <v>567.57814398544929</v>
      </c>
      <c r="M666" s="56">
        <f t="shared" si="199"/>
        <v>10.490054855935568</v>
      </c>
      <c r="N666" s="56">
        <f>Model!$B$13*I666*K666/(Model!$B$13*I666-L666*287*K666)</f>
        <v>283.49005485593557</v>
      </c>
      <c r="O666" s="56">
        <f t="shared" si="200"/>
        <v>268.70065242796778</v>
      </c>
      <c r="P666" s="56">
        <f t="shared" si="201"/>
        <v>1.2463477986400102</v>
      </c>
      <c r="Q666" s="62">
        <f t="shared" si="194"/>
        <v>2.3694746322385715E-2</v>
      </c>
      <c r="R666" s="33">
        <f t="shared" si="195"/>
        <v>1.3152867852508648E-5</v>
      </c>
      <c r="S666" s="45">
        <f>0.37*Model!$B$10*(Q666^2*(N666-K666)*I666/(R666*O666^2))^0.33333*(N666-K666)</f>
        <v>159518.31689512933</v>
      </c>
      <c r="T666" s="50">
        <f>Model!$B$32+(90-Model!$B$6)*SIN(RADIANS(-15*(E666+6)))</f>
        <v>27.364430964699352</v>
      </c>
      <c r="U666" s="45">
        <f t="shared" si="202"/>
        <v>27.364430964699352</v>
      </c>
      <c r="V666" s="50">
        <f t="shared" si="203"/>
        <v>2.175575262382309</v>
      </c>
      <c r="W666" s="45">
        <f t="shared" si="204"/>
        <v>833.31000850869964</v>
      </c>
      <c r="X666" s="45">
        <f>0.3*W666*Model!$B$9</f>
        <v>75485.089672913062</v>
      </c>
      <c r="Y666" s="33">
        <f>(S666-X666)/Model!$B$11</f>
        <v>1.8027078670431464E-3</v>
      </c>
      <c r="Z666" s="45">
        <f t="shared" si="205"/>
        <v>47.320640752835004</v>
      </c>
      <c r="AA666" s="56">
        <f>Y666/Model!$B$12*3600</f>
        <v>11.671684405117265</v>
      </c>
      <c r="AB666" s="50">
        <f t="shared" si="210"/>
        <v>83.769873630588279</v>
      </c>
      <c r="AC666" s="50">
        <f t="shared" si="196"/>
        <v>1716.2301263694117</v>
      </c>
      <c r="AD666" s="15">
        <f>IF(AE666=0, Model!$B$19, 0 )</f>
        <v>0</v>
      </c>
      <c r="AE666" s="50">
        <f>IF(AE665+AB665-AB666&lt;Model!$B$19*Model!$B$18, AE665+AB665-AB666,  0)</f>
        <v>359.86470007552526</v>
      </c>
      <c r="AF666" s="15">
        <f t="shared" si="206"/>
        <v>33.200000000000252</v>
      </c>
      <c r="AG666" s="50">
        <f t="shared" si="207"/>
        <v>0</v>
      </c>
    </row>
    <row r="667" spans="2:33" x14ac:dyDescent="0.25">
      <c r="B667" s="13">
        <f t="shared" si="208"/>
        <v>33.250000000000249</v>
      </c>
      <c r="C667" s="13">
        <f>B667+Model!$B$4</f>
        <v>35.250000000000249</v>
      </c>
      <c r="D667" s="13">
        <f t="shared" si="209"/>
        <v>2</v>
      </c>
      <c r="E667" s="13">
        <f t="shared" si="197"/>
        <v>11.250000000000249</v>
      </c>
      <c r="F667" s="14">
        <f>IF(AB667&gt;0, VLOOKUP(B667,Model!$A$40:$B$60, 2), 0)</f>
        <v>300</v>
      </c>
      <c r="G667" s="13">
        <f>IF(AB667&gt;0, VLOOKUP(B667,Model!$A$39:$C$58, 3), 0)</f>
        <v>1</v>
      </c>
      <c r="H667" s="13">
        <f t="shared" si="198"/>
        <v>97</v>
      </c>
      <c r="I667" s="46">
        <f>Model!$B$21*EXP((-0.029*9.81*F667)/(8.31*(273+J667)))</f>
        <v>100357.4491247143</v>
      </c>
      <c r="J667" s="13">
        <f>IF(Model!$B$31="Summer",  IF(F667&lt;=2000,  Model!$B$20-Model!$B$35*F667/1000,  IF(F667&lt;Model!$B$36,  Model!$B$33-6.5*F667/1000,  Model!$B$38)),     IF(F667&lt;=2000,  Model!$B$20-Model!$B$35*F667/1000,  IF(F667&lt;Model!$B$36,  Model!$B$33-5.4*F667/1000,   Model!$B$38)))</f>
        <v>-19.088750000000001</v>
      </c>
      <c r="K667" s="13">
        <f t="shared" ref="K667:K730" si="211">273+J667</f>
        <v>253.91125</v>
      </c>
      <c r="L667" s="46">
        <f>IF(AB666-AA666*(B667-B666)&gt;0, L666-Y666*(B667-B666)*3600-AD667*Model!$B$16, 0)</f>
        <v>567.25365656938152</v>
      </c>
      <c r="M667" s="57">
        <f t="shared" si="199"/>
        <v>10.471175821466716</v>
      </c>
      <c r="N667" s="57">
        <f>Model!$B$13*I667*K667/(Model!$B$13*I667-L667*287*K667)</f>
        <v>283.47117582146672</v>
      </c>
      <c r="O667" s="57">
        <f t="shared" si="200"/>
        <v>268.69121291073338</v>
      </c>
      <c r="P667" s="57">
        <f t="shared" si="201"/>
        <v>1.246612967458022</v>
      </c>
      <c r="Q667" s="63">
        <f t="shared" ref="Q667:Q730" si="212">(O667-273)*7.1*0.00001+0.024</f>
        <v>2.369407611666207E-2</v>
      </c>
      <c r="R667" s="17">
        <f t="shared" ref="R667:R730" si="213">((O667-273)*0.104+13.6)*0.000001</f>
        <v>1.3151886142716272E-5</v>
      </c>
      <c r="S667" s="46">
        <f>0.37*Model!$B$10*(Q667^2*(N667-K667)*I667/(R667*O667^2))^0.33333*(N667-K667)</f>
        <v>159387.271876304</v>
      </c>
      <c r="T667" s="51">
        <f>Model!$B$32+(90-Model!$B$6)*SIN(RADIANS(-15*(E667+6)))</f>
        <v>27.456749753129188</v>
      </c>
      <c r="U667" s="46">
        <f t="shared" si="202"/>
        <v>27.456749753129188</v>
      </c>
      <c r="V667" s="51">
        <f t="shared" si="203"/>
        <v>2.1688261398138988</v>
      </c>
      <c r="W667" s="46">
        <f t="shared" si="204"/>
        <v>834.67110415107288</v>
      </c>
      <c r="X667" s="46">
        <f>0.3*W667*Model!$B$9</f>
        <v>75608.384035837866</v>
      </c>
      <c r="Y667" s="17">
        <f>(S667-X667)/Model!$B$11</f>
        <v>1.7972516966741636E-3</v>
      </c>
      <c r="Z667" s="46">
        <f t="shared" si="205"/>
        <v>47.436902047307399</v>
      </c>
      <c r="AA667" s="57">
        <f>Y667/Model!$B$12*3600</f>
        <v>11.636358271708986</v>
      </c>
      <c r="AB667" s="51">
        <f t="shared" si="210"/>
        <v>83.186289410332449</v>
      </c>
      <c r="AC667" s="51">
        <f t="shared" ref="AC667:AC730" si="214">AC666+AB666-AB667</f>
        <v>1716.8137105896676</v>
      </c>
      <c r="AD667" s="13">
        <f>IF(AE667=0, Model!$B$19, 0 )</f>
        <v>0</v>
      </c>
      <c r="AE667" s="51">
        <f>IF(AE666+AB666-AB667&lt;Model!$B$19*Model!$B$18, AE666+AB666-AB667,  0)</f>
        <v>360.44828429578109</v>
      </c>
      <c r="AF667" s="13">
        <f t="shared" si="206"/>
        <v>33.250000000000249</v>
      </c>
      <c r="AG667" s="50">
        <f t="shared" si="207"/>
        <v>0</v>
      </c>
    </row>
    <row r="668" spans="2:33" x14ac:dyDescent="0.25">
      <c r="B668" s="15">
        <f t="shared" si="208"/>
        <v>33.300000000000246</v>
      </c>
      <c r="C668" s="15">
        <f>B668+Model!$B$4</f>
        <v>35.300000000000246</v>
      </c>
      <c r="D668" s="15">
        <f t="shared" si="209"/>
        <v>2</v>
      </c>
      <c r="E668" s="15">
        <f t="shared" si="197"/>
        <v>11.300000000000246</v>
      </c>
      <c r="F668" s="16">
        <f>IF(AB668&gt;0, VLOOKUP(B668,Model!$A$40:$B$60, 2), 0)</f>
        <v>300</v>
      </c>
      <c r="G668" s="15">
        <f>IF(AB668&gt;0, VLOOKUP(B668,Model!$A$39:$C$58, 3), 0)</f>
        <v>1</v>
      </c>
      <c r="H668" s="15">
        <f t="shared" si="198"/>
        <v>97</v>
      </c>
      <c r="I668" s="45">
        <f>Model!$B$21*EXP((-0.029*9.81*F668)/(8.31*(273+J668)))</f>
        <v>100357.4491247143</v>
      </c>
      <c r="J668" s="15">
        <f>IF(Model!$B$31="Summer",  IF(F668&lt;=2000,  Model!$B$20-Model!$B$35*F668/1000,  IF(F668&lt;Model!$B$36,  Model!$B$33-6.5*F668/1000,  Model!$B$38)),     IF(F668&lt;=2000,  Model!$B$20-Model!$B$35*F668/1000,  IF(F668&lt;Model!$B$36,  Model!$B$33-5.4*F668/1000,   Model!$B$38)))</f>
        <v>-19.088750000000001</v>
      </c>
      <c r="K668" s="15">
        <f t="shared" si="211"/>
        <v>253.91125</v>
      </c>
      <c r="L668" s="45">
        <f>IF(AB667-AA667*(B668-B667)&gt;0, L667-Y667*(B668-B667)*3600-AD668*Model!$B$16, 0)</f>
        <v>566.93015126398018</v>
      </c>
      <c r="M668" s="56">
        <f t="shared" si="199"/>
        <v>10.452356430205839</v>
      </c>
      <c r="N668" s="56">
        <f>Model!$B$13*I668*K668/(Model!$B$13*I668-L668*287*K668)</f>
        <v>283.45235643020584</v>
      </c>
      <c r="O668" s="56">
        <f t="shared" si="200"/>
        <v>268.68180321510295</v>
      </c>
      <c r="P668" s="56">
        <f t="shared" si="201"/>
        <v>1.2462772427767383</v>
      </c>
      <c r="Q668" s="62">
        <f t="shared" si="212"/>
        <v>2.3693408028272311E-2</v>
      </c>
      <c r="R668" s="33">
        <f t="shared" si="213"/>
        <v>1.3150907534370705E-5</v>
      </c>
      <c r="S668" s="45">
        <f>0.37*Model!$B$10*(Q668^2*(N668-K668)*I668/(R668*O668^2))^0.33333*(N668-K668)</f>
        <v>159256.66213968868</v>
      </c>
      <c r="T668" s="50">
        <f>Model!$B$32+(90-Model!$B$6)*SIN(RADIANS(-15*(E668+6)))</f>
        <v>27.5431867037545</v>
      </c>
      <c r="U668" s="45">
        <f t="shared" si="202"/>
        <v>27.5431867037545</v>
      </c>
      <c r="V668" s="50">
        <f t="shared" si="203"/>
        <v>2.162549940927232</v>
      </c>
      <c r="W668" s="45">
        <f t="shared" si="204"/>
        <v>835.93882023934214</v>
      </c>
      <c r="X668" s="45">
        <f>0.3*W668*Model!$B$9</f>
        <v>75723.219645185774</v>
      </c>
      <c r="Y668" s="33">
        <f>(S668-X668)/Model!$B$11</f>
        <v>1.7919863240266631E-3</v>
      </c>
      <c r="Z668" s="45">
        <f t="shared" si="205"/>
        <v>47.547913304101982</v>
      </c>
      <c r="AA668" s="56">
        <f>Y668/Model!$B$12*3600</f>
        <v>11.602267463685962</v>
      </c>
      <c r="AB668" s="50">
        <f t="shared" si="210"/>
        <v>82.604471496747038</v>
      </c>
      <c r="AC668" s="50">
        <f t="shared" si="214"/>
        <v>1717.395528503253</v>
      </c>
      <c r="AD668" s="15">
        <f>IF(AE668=0, Model!$B$19, 0 )</f>
        <v>0</v>
      </c>
      <c r="AE668" s="50">
        <f>IF(AE667+AB667-AB668&lt;Model!$B$19*Model!$B$18, AE667+AB667-AB668,  0)</f>
        <v>361.03010220936653</v>
      </c>
      <c r="AF668" s="15">
        <f t="shared" si="206"/>
        <v>33.300000000000246</v>
      </c>
      <c r="AG668" s="50">
        <f t="shared" si="207"/>
        <v>0</v>
      </c>
    </row>
    <row r="669" spans="2:33" x14ac:dyDescent="0.25">
      <c r="B669" s="13">
        <f t="shared" si="208"/>
        <v>33.350000000000243</v>
      </c>
      <c r="C669" s="13">
        <f>B669+Model!$B$4</f>
        <v>35.350000000000243</v>
      </c>
      <c r="D669" s="13">
        <f t="shared" si="209"/>
        <v>2</v>
      </c>
      <c r="E669" s="13">
        <f t="shared" si="197"/>
        <v>11.350000000000243</v>
      </c>
      <c r="F669" s="14">
        <f>IF(AB669&gt;0, VLOOKUP(B669,Model!$A$40:$B$60, 2), 0)</f>
        <v>300</v>
      </c>
      <c r="G669" s="13">
        <f>IF(AB669&gt;0, VLOOKUP(B669,Model!$A$39:$C$58, 3), 0)</f>
        <v>1</v>
      </c>
      <c r="H669" s="13">
        <f t="shared" si="198"/>
        <v>97</v>
      </c>
      <c r="I669" s="46">
        <f>Model!$B$21*EXP((-0.029*9.81*F669)/(8.31*(273+J669)))</f>
        <v>100357.4491247143</v>
      </c>
      <c r="J669" s="13">
        <f>IF(Model!$B$31="Summer",  IF(F669&lt;=2000,  Model!$B$20-Model!$B$35*F669/1000,  IF(F669&lt;Model!$B$36,  Model!$B$33-6.5*F669/1000,  Model!$B$38)),     IF(F669&lt;=2000,  Model!$B$20-Model!$B$35*F669/1000,  IF(F669&lt;Model!$B$36,  Model!$B$33-5.4*F669/1000,   Model!$B$38)))</f>
        <v>-19.088750000000001</v>
      </c>
      <c r="K669" s="13">
        <f t="shared" si="211"/>
        <v>253.91125</v>
      </c>
      <c r="L669" s="46">
        <f>IF(AB668-AA668*(B669-B668)&gt;0, L668-Y668*(B669-B668)*3600-AD669*Model!$B$16, 0)</f>
        <v>566.60759372565542</v>
      </c>
      <c r="M669" s="57">
        <f t="shared" si="199"/>
        <v>10.433594661411462</v>
      </c>
      <c r="N669" s="57">
        <f>Model!$B$13*I669*K669/(Model!$B$13*I669-L669*287*K669)</f>
        <v>283.43359466141146</v>
      </c>
      <c r="O669" s="57">
        <f t="shared" si="200"/>
        <v>268.67242233070573</v>
      </c>
      <c r="P669" s="57">
        <f t="shared" si="201"/>
        <v>1.2453477989680115</v>
      </c>
      <c r="Q669" s="63">
        <f t="shared" si="212"/>
        <v>2.3692741985480107E-2</v>
      </c>
      <c r="R669" s="17">
        <f t="shared" si="213"/>
        <v>1.3149931922393395E-5</v>
      </c>
      <c r="S669" s="46">
        <f>0.37*Model!$B$10*(Q669^2*(N669-K669)*I669/(R669*O669^2))^0.33333*(N669-K669)</f>
        <v>159126.47347592725</v>
      </c>
      <c r="T669" s="51">
        <f>Model!$B$32+(90-Model!$B$6)*SIN(RADIANS(-15*(E669+6)))</f>
        <v>27.623727006048775</v>
      </c>
      <c r="U669" s="46">
        <f t="shared" si="202"/>
        <v>27.623727006048775</v>
      </c>
      <c r="V669" s="51">
        <f t="shared" si="203"/>
        <v>2.1567389079837986</v>
      </c>
      <c r="W669" s="46">
        <f t="shared" si="204"/>
        <v>837.11429513332325</v>
      </c>
      <c r="X669" s="46">
        <f>0.3*W669*Model!$B$9</f>
        <v>75829.699618874336</v>
      </c>
      <c r="Y669" s="17">
        <f>(S669-X669)/Model!$B$11</f>
        <v>1.7869092321581661E-3</v>
      </c>
      <c r="Z669" s="46">
        <f t="shared" si="205"/>
        <v>47.653729742427736</v>
      </c>
      <c r="AA669" s="57">
        <f>Y669/Model!$B$12*3600</f>
        <v>11.569395685031065</v>
      </c>
      <c r="AB669" s="51">
        <f t="shared" si="210"/>
        <v>82.024358123562777</v>
      </c>
      <c r="AC669" s="51">
        <f t="shared" si="214"/>
        <v>1717.9756418764373</v>
      </c>
      <c r="AD669" s="13">
        <f>IF(AE669=0, Model!$B$19, 0 )</f>
        <v>0</v>
      </c>
      <c r="AE669" s="51">
        <f>IF(AE668+AB668-AB669&lt;Model!$B$19*Model!$B$18, AE668+AB668-AB669,  0)</f>
        <v>361.61021558255078</v>
      </c>
      <c r="AF669" s="13">
        <f t="shared" si="206"/>
        <v>33.350000000000243</v>
      </c>
      <c r="AG669" s="50">
        <f t="shared" si="207"/>
        <v>0</v>
      </c>
    </row>
    <row r="670" spans="2:33" x14ac:dyDescent="0.25">
      <c r="B670" s="15">
        <f t="shared" si="208"/>
        <v>33.40000000000024</v>
      </c>
      <c r="C670" s="15">
        <f>B670+Model!$B$4</f>
        <v>35.40000000000024</v>
      </c>
      <c r="D670" s="15">
        <f t="shared" si="209"/>
        <v>2</v>
      </c>
      <c r="E670" s="15">
        <f t="shared" si="197"/>
        <v>11.40000000000024</v>
      </c>
      <c r="F670" s="16">
        <f>IF(AB670&gt;0, VLOOKUP(B670,Model!$A$40:$B$60, 2), 0)</f>
        <v>300</v>
      </c>
      <c r="G670" s="15">
        <f>IF(AB670&gt;0, VLOOKUP(B670,Model!$A$39:$C$58, 3), 0)</f>
        <v>1</v>
      </c>
      <c r="H670" s="15">
        <f t="shared" si="198"/>
        <v>97</v>
      </c>
      <c r="I670" s="45">
        <f>Model!$B$21*EXP((-0.029*9.81*F670)/(8.31*(273+J670)))</f>
        <v>100357.4491247143</v>
      </c>
      <c r="J670" s="15">
        <f>IF(Model!$B$31="Summer",  IF(F670&lt;=2000,  Model!$B$20-Model!$B$35*F670/1000,  IF(F670&lt;Model!$B$36,  Model!$B$33-6.5*F670/1000,  Model!$B$38)),     IF(F670&lt;=2000,  Model!$B$20-Model!$B$35*F670/1000,  IF(F670&lt;Model!$B$36,  Model!$B$33-5.4*F670/1000,   Model!$B$38)))</f>
        <v>-19.088750000000001</v>
      </c>
      <c r="K670" s="15">
        <f t="shared" si="211"/>
        <v>253.91125</v>
      </c>
      <c r="L670" s="45">
        <f>IF(AB669-AA669*(B670-B669)&gt;0, L669-Y669*(B670-B669)*3600-AD670*Model!$B$16, 0)</f>
        <v>566.28595006386695</v>
      </c>
      <c r="M670" s="56">
        <f t="shared" si="199"/>
        <v>10.414888521821638</v>
      </c>
      <c r="N670" s="56">
        <f>Model!$B$13*I670*K670/(Model!$B$13*I670-L670*287*K670)</f>
        <v>283.41488852182164</v>
      </c>
      <c r="O670" s="56">
        <f t="shared" si="200"/>
        <v>268.66306926091079</v>
      </c>
      <c r="P670" s="56">
        <f t="shared" si="201"/>
        <v>1.2438312284663064</v>
      </c>
      <c r="Q670" s="62">
        <f t="shared" si="212"/>
        <v>2.3692077917524666E-2</v>
      </c>
      <c r="R670" s="33">
        <f t="shared" si="213"/>
        <v>1.314895920313472E-5</v>
      </c>
      <c r="S670" s="45">
        <f>0.37*Model!$B$10*(Q670^2*(N670-K670)*I670/(R670*O670^2))^0.33333*(N670-K670)</f>
        <v>158996.69187578029</v>
      </c>
      <c r="T670" s="50">
        <f>Model!$B$32+(90-Model!$B$6)*SIN(RADIANS(-15*(E670+6)))</f>
        <v>27.698356859845838</v>
      </c>
      <c r="U670" s="45">
        <f t="shared" si="202"/>
        <v>27.698356859845838</v>
      </c>
      <c r="V670" s="50">
        <f t="shared" si="203"/>
        <v>2.1513859095273258</v>
      </c>
      <c r="W670" s="45">
        <f t="shared" si="204"/>
        <v>838.19857994919221</v>
      </c>
      <c r="X670" s="45">
        <f>0.3*W670*Model!$B$9</f>
        <v>75927.919171887173</v>
      </c>
      <c r="Y670" s="33">
        <f>(S670-X670)/Model!$B$11</f>
        <v>1.7820180779554461E-3</v>
      </c>
      <c r="Z670" s="45">
        <f t="shared" si="205"/>
        <v>47.754401853346451</v>
      </c>
      <c r="AA670" s="56">
        <f>Y670/Model!$B$12*3600</f>
        <v>11.537727765189706</v>
      </c>
      <c r="AB670" s="50">
        <f t="shared" si="210"/>
        <v>81.445888339311253</v>
      </c>
      <c r="AC670" s="50">
        <f t="shared" si="214"/>
        <v>1718.5541116606887</v>
      </c>
      <c r="AD670" s="15">
        <f>IF(AE670=0, Model!$B$19, 0 )</f>
        <v>0</v>
      </c>
      <c r="AE670" s="50">
        <f>IF(AE669+AB669-AB670&lt;Model!$B$19*Model!$B$18, AE669+AB669-AB670,  0)</f>
        <v>362.1886853668023</v>
      </c>
      <c r="AF670" s="15">
        <f t="shared" si="206"/>
        <v>33.40000000000024</v>
      </c>
      <c r="AG670" s="50">
        <f t="shared" si="207"/>
        <v>0</v>
      </c>
    </row>
    <row r="671" spans="2:33" x14ac:dyDescent="0.25">
      <c r="B671" s="13">
        <f t="shared" si="208"/>
        <v>33.450000000000237</v>
      </c>
      <c r="C671" s="13">
        <f>B671+Model!$B$4</f>
        <v>35.450000000000237</v>
      </c>
      <c r="D671" s="13">
        <f t="shared" si="209"/>
        <v>2</v>
      </c>
      <c r="E671" s="13">
        <f t="shared" si="197"/>
        <v>11.450000000000237</v>
      </c>
      <c r="F671" s="14">
        <f>IF(AB671&gt;0, VLOOKUP(B671,Model!$A$40:$B$60, 2), 0)</f>
        <v>300</v>
      </c>
      <c r="G671" s="13">
        <f>IF(AB671&gt;0, VLOOKUP(B671,Model!$A$39:$C$58, 3), 0)</f>
        <v>1</v>
      </c>
      <c r="H671" s="13">
        <f t="shared" si="198"/>
        <v>97</v>
      </c>
      <c r="I671" s="46">
        <f>Model!$B$21*EXP((-0.029*9.81*F671)/(8.31*(273+J671)))</f>
        <v>100357.4491247143</v>
      </c>
      <c r="J671" s="13">
        <f>IF(Model!$B$31="Summer",  IF(F671&lt;=2000,  Model!$B$20-Model!$B$35*F671/1000,  IF(F671&lt;Model!$B$36,  Model!$B$33-6.5*F671/1000,  Model!$B$38)),     IF(F671&lt;=2000,  Model!$B$20-Model!$B$35*F671/1000,  IF(F671&lt;Model!$B$36,  Model!$B$33-5.4*F671/1000,   Model!$B$38)))</f>
        <v>-19.088750000000001</v>
      </c>
      <c r="K671" s="13">
        <f t="shared" si="211"/>
        <v>253.91125</v>
      </c>
      <c r="L671" s="46">
        <f>IF(AB670-AA670*(B671-B670)&gt;0, L670-Y670*(B671-B670)*3600-AD671*Model!$B$16, 0)</f>
        <v>565.96518680983502</v>
      </c>
      <c r="M671" s="57">
        <f t="shared" si="199"/>
        <v>10.396236043808813</v>
      </c>
      <c r="N671" s="57">
        <f>Model!$B$13*I671*K671/(Model!$B$13*I671-L671*287*K671)</f>
        <v>283.39623604380881</v>
      </c>
      <c r="O671" s="57">
        <f t="shared" si="200"/>
        <v>268.6537430219044</v>
      </c>
      <c r="P671" s="57">
        <f t="shared" si="201"/>
        <v>1.2417335548990209</v>
      </c>
      <c r="Q671" s="63">
        <f t="shared" si="212"/>
        <v>2.3691415754555214E-2</v>
      </c>
      <c r="R671" s="17">
        <f t="shared" si="213"/>
        <v>1.3147989274278057E-5</v>
      </c>
      <c r="S671" s="46">
        <f>0.37*Model!$B$10*(Q671^2*(N671-K671)*I671/(R671*O671^2))^0.33333*(N671-K671)</f>
        <v>158867.30351711958</v>
      </c>
      <c r="T671" s="51">
        <f>Model!$B$32+(90-Model!$B$6)*SIN(RADIANS(-15*(E671+6)))</f>
        <v>27.767063477704447</v>
      </c>
      <c r="U671" s="46">
        <f t="shared" si="202"/>
        <v>27.767063477704447</v>
      </c>
      <c r="V671" s="51">
        <f t="shared" si="203"/>
        <v>2.1464844197356943</v>
      </c>
      <c r="W671" s="46">
        <f t="shared" si="204"/>
        <v>839.19264049429955</v>
      </c>
      <c r="X671" s="46">
        <f>0.3*W671*Model!$B$9</f>
        <v>76017.965791538387</v>
      </c>
      <c r="Y671" s="17">
        <f>(S671-X671)/Model!$B$11</f>
        <v>1.7773106880957031E-3</v>
      </c>
      <c r="Z671" s="46">
        <f t="shared" si="205"/>
        <v>47.849975488094486</v>
      </c>
      <c r="AA671" s="57">
        <f>Y671/Model!$B$12*3600</f>
        <v>11.507249632920338</v>
      </c>
      <c r="AB671" s="51">
        <f t="shared" si="210"/>
        <v>80.8690019510518</v>
      </c>
      <c r="AC671" s="51">
        <f t="shared" si="214"/>
        <v>1719.1309980489482</v>
      </c>
      <c r="AD671" s="13">
        <f>IF(AE671=0, Model!$B$19, 0 )</f>
        <v>0</v>
      </c>
      <c r="AE671" s="51">
        <f>IF(AE670+AB670-AB671&lt;Model!$B$19*Model!$B$18, AE670+AB670-AB671,  0)</f>
        <v>362.76557175506173</v>
      </c>
      <c r="AF671" s="13">
        <f t="shared" si="206"/>
        <v>33.450000000000237</v>
      </c>
      <c r="AG671" s="50">
        <f t="shared" si="207"/>
        <v>0</v>
      </c>
    </row>
    <row r="672" spans="2:33" x14ac:dyDescent="0.25">
      <c r="B672" s="15">
        <f t="shared" si="208"/>
        <v>33.500000000000234</v>
      </c>
      <c r="C672" s="15">
        <f>B672+Model!$B$4</f>
        <v>35.500000000000234</v>
      </c>
      <c r="D672" s="15">
        <f t="shared" si="209"/>
        <v>2</v>
      </c>
      <c r="E672" s="15">
        <f t="shared" si="197"/>
        <v>11.500000000000234</v>
      </c>
      <c r="F672" s="16">
        <f>IF(AB672&gt;0, VLOOKUP(B672,Model!$A$40:$B$60, 2), 0)</f>
        <v>300</v>
      </c>
      <c r="G672" s="15">
        <f>IF(AB672&gt;0, VLOOKUP(B672,Model!$A$39:$C$58, 3), 0)</f>
        <v>1</v>
      </c>
      <c r="H672" s="15">
        <f t="shared" si="198"/>
        <v>97</v>
      </c>
      <c r="I672" s="45">
        <f>Model!$B$21*EXP((-0.029*9.81*F672)/(8.31*(273+J672)))</f>
        <v>100357.4491247143</v>
      </c>
      <c r="J672" s="15">
        <f>IF(Model!$B$31="Summer",  IF(F672&lt;=2000,  Model!$B$20-Model!$B$35*F672/1000,  IF(F672&lt;Model!$B$36,  Model!$B$33-6.5*F672/1000,  Model!$B$38)),     IF(F672&lt;=2000,  Model!$B$20-Model!$B$35*F672/1000,  IF(F672&lt;Model!$B$36,  Model!$B$33-5.4*F672/1000,   Model!$B$38)))</f>
        <v>-19.088750000000001</v>
      </c>
      <c r="K672" s="15">
        <f t="shared" si="211"/>
        <v>253.91125</v>
      </c>
      <c r="L672" s="45">
        <f>IF(AB671-AA671*(B672-B671)&gt;0, L671-Y671*(B672-B671)*3600-AD672*Model!$B$16, 0)</f>
        <v>565.64527088597777</v>
      </c>
      <c r="M672" s="56">
        <f t="shared" si="199"/>
        <v>10.377635283579252</v>
      </c>
      <c r="N672" s="56">
        <f>Model!$B$13*I672*K672/(Model!$B$13*I672-L672*287*K672)</f>
        <v>283.37763528357925</v>
      </c>
      <c r="O672" s="56">
        <f t="shared" si="200"/>
        <v>268.64444264178962</v>
      </c>
      <c r="P672" s="56">
        <f t="shared" si="201"/>
        <v>1.2390602450849562</v>
      </c>
      <c r="Q672" s="62">
        <f t="shared" si="212"/>
        <v>2.3690755427567062E-2</v>
      </c>
      <c r="R672" s="33">
        <f t="shared" si="213"/>
        <v>1.314702203474612E-5</v>
      </c>
      <c r="S672" s="45">
        <f>0.37*Model!$B$10*(Q672^2*(N672-K672)*I672/(R672*O672^2))^0.33333*(N672-K672)</f>
        <v>158738.29475224778</v>
      </c>
      <c r="T672" s="50">
        <f>Model!$B$32+(90-Model!$B$6)*SIN(RADIANS(-15*(E672+6)))</f>
        <v>27.829835087099319</v>
      </c>
      <c r="U672" s="45">
        <f t="shared" si="202"/>
        <v>27.829835087099319</v>
      </c>
      <c r="V672" s="50">
        <f t="shared" si="203"/>
        <v>2.1420284997195722</v>
      </c>
      <c r="W672" s="45">
        <f t="shared" si="204"/>
        <v>840.09735903505327</v>
      </c>
      <c r="X672" s="45">
        <f>0.3*W672*Model!$B$9</f>
        <v>76099.919397615624</v>
      </c>
      <c r="Y672" s="33">
        <f>(S672-X672)/Model!$B$11</f>
        <v>1.7727850553391001E-3</v>
      </c>
      <c r="Z672" s="45">
        <f t="shared" si="205"/>
        <v>47.94049193761925</v>
      </c>
      <c r="AA672" s="56">
        <f>Y672/Model!$B$12*3600</f>
        <v>11.477948292290383</v>
      </c>
      <c r="AB672" s="50">
        <f t="shared" si="210"/>
        <v>80.293639469405818</v>
      </c>
      <c r="AC672" s="50">
        <f t="shared" si="214"/>
        <v>1719.7063605305941</v>
      </c>
      <c r="AD672" s="15">
        <f>IF(AE672=0, Model!$B$19, 0 )</f>
        <v>0</v>
      </c>
      <c r="AE672" s="50">
        <f>IF(AE671+AB671-AB672&lt;Model!$B$19*Model!$B$18, AE671+AB671-AB672,  0)</f>
        <v>363.34093423670771</v>
      </c>
      <c r="AF672" s="15">
        <f t="shared" si="206"/>
        <v>33.500000000000234</v>
      </c>
      <c r="AG672" s="50">
        <f t="shared" si="207"/>
        <v>0</v>
      </c>
    </row>
    <row r="673" spans="2:33" x14ac:dyDescent="0.25">
      <c r="B673" s="13">
        <f t="shared" si="208"/>
        <v>33.550000000000232</v>
      </c>
      <c r="C673" s="13">
        <f>B673+Model!$B$4</f>
        <v>35.550000000000232</v>
      </c>
      <c r="D673" s="13">
        <f t="shared" si="209"/>
        <v>2</v>
      </c>
      <c r="E673" s="13">
        <f t="shared" si="197"/>
        <v>11.550000000000232</v>
      </c>
      <c r="F673" s="14">
        <f>IF(AB673&gt;0, VLOOKUP(B673,Model!$A$40:$B$60, 2), 0)</f>
        <v>300</v>
      </c>
      <c r="G673" s="13">
        <f>IF(AB673&gt;0, VLOOKUP(B673,Model!$A$39:$C$58, 3), 0)</f>
        <v>1</v>
      </c>
      <c r="H673" s="13">
        <f t="shared" si="198"/>
        <v>97</v>
      </c>
      <c r="I673" s="46">
        <f>Model!$B$21*EXP((-0.029*9.81*F673)/(8.31*(273+J673)))</f>
        <v>100357.4491247143</v>
      </c>
      <c r="J673" s="13">
        <f>IF(Model!$B$31="Summer",  IF(F673&lt;=2000,  Model!$B$20-Model!$B$35*F673/1000,  IF(F673&lt;Model!$B$36,  Model!$B$33-6.5*F673/1000,  Model!$B$38)),     IF(F673&lt;=2000,  Model!$B$20-Model!$B$35*F673/1000,  IF(F673&lt;Model!$B$36,  Model!$B$33-5.4*F673/1000,   Model!$B$38)))</f>
        <v>-19.088750000000001</v>
      </c>
      <c r="K673" s="13">
        <f t="shared" si="211"/>
        <v>253.91125</v>
      </c>
      <c r="L673" s="46">
        <f>IF(AB672-AA672*(B673-B672)&gt;0, L672-Y672*(B673-B672)*3600-AD673*Model!$B$16, 0)</f>
        <v>565.3261695760167</v>
      </c>
      <c r="M673" s="57">
        <f t="shared" si="199"/>
        <v>10.359084319412489</v>
      </c>
      <c r="N673" s="57">
        <f>Model!$B$13*I673*K673/(Model!$B$13*I673-L673*287*K673)</f>
        <v>283.35908431941249</v>
      </c>
      <c r="O673" s="57">
        <f t="shared" si="200"/>
        <v>268.63516715970627</v>
      </c>
      <c r="P673" s="57">
        <f t="shared" si="201"/>
        <v>1.2358162199399327</v>
      </c>
      <c r="Q673" s="63">
        <f t="shared" si="212"/>
        <v>2.3690096868339144E-2</v>
      </c>
      <c r="R673" s="17">
        <f t="shared" si="213"/>
        <v>1.3146057384609452E-5</v>
      </c>
      <c r="S673" s="46">
        <f>0.37*Model!$B$10*(Q673^2*(N673-K673)*I673/(R673*O673^2))^0.33333*(N673-K673)</f>
        <v>158609.65209551054</v>
      </c>
      <c r="T673" s="51">
        <f>Model!$B$32+(90-Model!$B$6)*SIN(RADIANS(-15*(E673+6)))</f>
        <v>27.886660932438346</v>
      </c>
      <c r="U673" s="46">
        <f t="shared" si="202"/>
        <v>27.886660932438346</v>
      </c>
      <c r="V673" s="51">
        <f t="shared" si="203"/>
        <v>2.1380127806642606</v>
      </c>
      <c r="W673" s="46">
        <f t="shared" si="204"/>
        <v>840.913535903509</v>
      </c>
      <c r="X673" s="46">
        <f>0.3*W673*Model!$B$9</f>
        <v>76173.852487912474</v>
      </c>
      <c r="Y673" s="17">
        <f>(S673-X673)/Model!$B$11</f>
        <v>1.7684393351410075E-3</v>
      </c>
      <c r="Z673" s="46">
        <f t="shared" si="205"/>
        <v>48.025988003581645</v>
      </c>
      <c r="AA673" s="57">
        <f>Y673/Model!$B$12*3600</f>
        <v>11.449811800742101</v>
      </c>
      <c r="AB673" s="51">
        <f t="shared" si="210"/>
        <v>79.719742054791325</v>
      </c>
      <c r="AC673" s="51">
        <f t="shared" si="214"/>
        <v>1720.2802579452086</v>
      </c>
      <c r="AD673" s="13">
        <f>IF(AE673=0, Model!$B$19, 0 )</f>
        <v>0</v>
      </c>
      <c r="AE673" s="51">
        <f>IF(AE672+AB672-AB673&lt;Model!$B$19*Model!$B$18, AE672+AB672-AB673,  0)</f>
        <v>363.91483165132223</v>
      </c>
      <c r="AF673" s="13">
        <f t="shared" si="206"/>
        <v>33.550000000000232</v>
      </c>
      <c r="AG673" s="50">
        <f t="shared" si="207"/>
        <v>0</v>
      </c>
    </row>
    <row r="674" spans="2:33" x14ac:dyDescent="0.25">
      <c r="B674" s="15">
        <f t="shared" si="208"/>
        <v>33.600000000000229</v>
      </c>
      <c r="C674" s="15">
        <f>B674+Model!$B$4</f>
        <v>35.600000000000229</v>
      </c>
      <c r="D674" s="15">
        <f t="shared" si="209"/>
        <v>2</v>
      </c>
      <c r="E674" s="15">
        <f t="shared" si="197"/>
        <v>11.600000000000229</v>
      </c>
      <c r="F674" s="16">
        <f>IF(AB674&gt;0, VLOOKUP(B674,Model!$A$40:$B$60, 2), 0)</f>
        <v>300</v>
      </c>
      <c r="G674" s="15">
        <f>IF(AB674&gt;0, VLOOKUP(B674,Model!$A$39:$C$58, 3), 0)</f>
        <v>1</v>
      </c>
      <c r="H674" s="15">
        <f t="shared" si="198"/>
        <v>97</v>
      </c>
      <c r="I674" s="45">
        <f>Model!$B$21*EXP((-0.029*9.81*F674)/(8.31*(273+J674)))</f>
        <v>100357.4491247143</v>
      </c>
      <c r="J674" s="15">
        <f>IF(Model!$B$31="Summer",  IF(F674&lt;=2000,  Model!$B$20-Model!$B$35*F674/1000,  IF(F674&lt;Model!$B$36,  Model!$B$33-6.5*F674/1000,  Model!$B$38)),     IF(F674&lt;=2000,  Model!$B$20-Model!$B$35*F674/1000,  IF(F674&lt;Model!$B$36,  Model!$B$33-5.4*F674/1000,   Model!$B$38)))</f>
        <v>-19.088750000000001</v>
      </c>
      <c r="K674" s="15">
        <f t="shared" si="211"/>
        <v>253.91125</v>
      </c>
      <c r="L674" s="45">
        <f>IF(AB673-AA673*(B674-B673)&gt;0, L673-Y673*(B674-B673)*3600-AD674*Model!$B$16, 0)</f>
        <v>565.00785049569129</v>
      </c>
      <c r="M674" s="56">
        <f t="shared" si="199"/>
        <v>10.340581249938964</v>
      </c>
      <c r="N674" s="56">
        <f>Model!$B$13*I674*K674/(Model!$B$13*I674-L674*287*K674)</f>
        <v>283.34058124993896</v>
      </c>
      <c r="O674" s="56">
        <f t="shared" si="200"/>
        <v>268.62591562496948</v>
      </c>
      <c r="P674" s="56">
        <f t="shared" si="201"/>
        <v>1.232005864326208</v>
      </c>
      <c r="Q674" s="62">
        <f t="shared" si="212"/>
        <v>2.3689440009372835E-2</v>
      </c>
      <c r="R674" s="33">
        <f t="shared" si="213"/>
        <v>1.3145095224996825E-5</v>
      </c>
      <c r="S674" s="45">
        <f>0.37*Model!$B$10*(Q674^2*(N674-K674)*I674/(R674*O674^2))^0.33333*(N674-K674)</f>
        <v>158481.36221118836</v>
      </c>
      <c r="T674" s="50">
        <f>Model!$B$32+(90-Model!$B$6)*SIN(RADIANS(-15*(E674+6)))</f>
        <v>27.93753127690546</v>
      </c>
      <c r="U674" s="45">
        <f t="shared" si="202"/>
        <v>27.93753127690546</v>
      </c>
      <c r="V674" s="50">
        <f t="shared" si="203"/>
        <v>2.1344324487225426</v>
      </c>
      <c r="W674" s="45">
        <f t="shared" si="204"/>
        <v>841.64189094778101</v>
      </c>
      <c r="X674" s="45">
        <f>0.3*W674*Model!$B$9</f>
        <v>76239.830269613405</v>
      </c>
      <c r="Y674" s="33">
        <f>(S674-X674)/Model!$B$11</f>
        <v>1.7642718425737414E-3</v>
      </c>
      <c r="Z674" s="45">
        <f t="shared" si="205"/>
        <v>48.106496061043494</v>
      </c>
      <c r="AA674" s="56">
        <f>Y674/Model!$B$12*3600</f>
        <v>11.422829249162303</v>
      </c>
      <c r="AB674" s="50">
        <f t="shared" si="210"/>
        <v>79.147251464754248</v>
      </c>
      <c r="AC674" s="50">
        <f t="shared" si="214"/>
        <v>1720.8527485352458</v>
      </c>
      <c r="AD674" s="15">
        <f>IF(AE674=0, Model!$B$19, 0 )</f>
        <v>0</v>
      </c>
      <c r="AE674" s="50">
        <f>IF(AE673+AB673-AB674&lt;Model!$B$19*Model!$B$18, AE673+AB673-AB674,  0)</f>
        <v>364.48732224135927</v>
      </c>
      <c r="AF674" s="15">
        <f t="shared" si="206"/>
        <v>33.600000000000229</v>
      </c>
      <c r="AG674" s="50">
        <f t="shared" si="207"/>
        <v>0</v>
      </c>
    </row>
    <row r="675" spans="2:33" x14ac:dyDescent="0.25">
      <c r="B675" s="13">
        <f t="shared" si="208"/>
        <v>33.650000000000226</v>
      </c>
      <c r="C675" s="13">
        <f>B675+Model!$B$4</f>
        <v>35.650000000000226</v>
      </c>
      <c r="D675" s="13">
        <f t="shared" si="209"/>
        <v>2</v>
      </c>
      <c r="E675" s="13">
        <f t="shared" ref="E675:E738" si="215">C675-24*(D675-1)</f>
        <v>11.650000000000226</v>
      </c>
      <c r="F675" s="14">
        <f>IF(AB675&gt;0, VLOOKUP(B675,Model!$A$40:$B$60, 2), 0)</f>
        <v>300</v>
      </c>
      <c r="G675" s="13">
        <f>IF(AB675&gt;0, VLOOKUP(B675,Model!$A$39:$C$58, 3), 0)</f>
        <v>1</v>
      </c>
      <c r="H675" s="13">
        <f t="shared" si="198"/>
        <v>97</v>
      </c>
      <c r="I675" s="46">
        <f>Model!$B$21*EXP((-0.029*9.81*F675)/(8.31*(273+J675)))</f>
        <v>100357.4491247143</v>
      </c>
      <c r="J675" s="13">
        <f>IF(Model!$B$31="Summer",  IF(F675&lt;=2000,  Model!$B$20-Model!$B$35*F675/1000,  IF(F675&lt;Model!$B$36,  Model!$B$33-6.5*F675/1000,  Model!$B$38)),     IF(F675&lt;=2000,  Model!$B$20-Model!$B$35*F675/1000,  IF(F675&lt;Model!$B$36,  Model!$B$33-5.4*F675/1000,   Model!$B$38)))</f>
        <v>-19.088750000000001</v>
      </c>
      <c r="K675" s="13">
        <f t="shared" si="211"/>
        <v>253.91125</v>
      </c>
      <c r="L675" s="46">
        <f>IF(AB674-AA674*(B675-B674)&gt;0, L674-Y674*(B675-B674)*3600-AD675*Model!$B$16, 0)</f>
        <v>564.69028156402806</v>
      </c>
      <c r="M675" s="57">
        <f t="shared" si="199"/>
        <v>10.32212419245019</v>
      </c>
      <c r="N675" s="57">
        <f>Model!$B$13*I675*K675/(Model!$B$13*I675-L675*287*K675)</f>
        <v>283.32212419245019</v>
      </c>
      <c r="O675" s="57">
        <f t="shared" si="200"/>
        <v>268.61668709622506</v>
      </c>
      <c r="P675" s="57">
        <f t="shared" si="201"/>
        <v>1.227633035876968</v>
      </c>
      <c r="Q675" s="63">
        <f t="shared" si="212"/>
        <v>2.3688784783831979E-2</v>
      </c>
      <c r="R675" s="17">
        <f t="shared" si="213"/>
        <v>1.3144135458007405E-5</v>
      </c>
      <c r="S675" s="46">
        <f>0.37*Model!$B$10*(Q675^2*(N675-K675)*I675/(R675*O675^2))^0.33333*(N675-K675)</f>
        <v>158353.41190162735</v>
      </c>
      <c r="T675" s="51">
        <f>Model!$B$32+(90-Model!$B$6)*SIN(RADIANS(-15*(E675+6)))</f>
        <v>27.98243740412903</v>
      </c>
      <c r="U675" s="46">
        <f t="shared" si="202"/>
        <v>27.98243740412903</v>
      </c>
      <c r="V675" s="51">
        <f t="shared" si="203"/>
        <v>2.1312832315767807</v>
      </c>
      <c r="W675" s="46">
        <f t="shared" si="204"/>
        <v>842.28306483087499</v>
      </c>
      <c r="X675" s="46">
        <f>0.3*W675*Model!$B$9</f>
        <v>76297.91077694812</v>
      </c>
      <c r="Y675" s="17">
        <f>(S675-X675)/Model!$B$11</f>
        <v>1.7602810495479829E-3</v>
      </c>
      <c r="Z675" s="46">
        <f t="shared" si="205"/>
        <v>48.182044113041322</v>
      </c>
      <c r="AA675" s="57">
        <f>Y675/Model!$B$12*3600</f>
        <v>11.39699074389234</v>
      </c>
      <c r="AB675" s="51">
        <f t="shared" si="210"/>
        <v>78.576110002296161</v>
      </c>
      <c r="AC675" s="51">
        <f t="shared" si="214"/>
        <v>1721.4238899977038</v>
      </c>
      <c r="AD675" s="13">
        <f>IF(AE675=0, Model!$B$19, 0 )</f>
        <v>0</v>
      </c>
      <c r="AE675" s="51">
        <f>IF(AE674+AB674-AB675&lt;Model!$B$19*Model!$B$18, AE674+AB674-AB675,  0)</f>
        <v>365.05846370381738</v>
      </c>
      <c r="AF675" s="13">
        <f t="shared" si="206"/>
        <v>33.650000000000226</v>
      </c>
      <c r="AG675" s="50">
        <f t="shared" si="207"/>
        <v>0</v>
      </c>
    </row>
    <row r="676" spans="2:33" x14ac:dyDescent="0.25">
      <c r="B676" s="15">
        <f t="shared" si="208"/>
        <v>33.700000000000223</v>
      </c>
      <c r="C676" s="15">
        <f>B676+Model!$B$4</f>
        <v>35.700000000000223</v>
      </c>
      <c r="D676" s="15">
        <f t="shared" si="209"/>
        <v>2</v>
      </c>
      <c r="E676" s="15">
        <f t="shared" si="215"/>
        <v>11.700000000000223</v>
      </c>
      <c r="F676" s="16">
        <f>IF(AB676&gt;0, VLOOKUP(B676,Model!$A$40:$B$60, 2), 0)</f>
        <v>300</v>
      </c>
      <c r="G676" s="15">
        <f>IF(AB676&gt;0, VLOOKUP(B676,Model!$A$39:$C$58, 3), 0)</f>
        <v>1</v>
      </c>
      <c r="H676" s="15">
        <f t="shared" si="198"/>
        <v>97</v>
      </c>
      <c r="I676" s="45">
        <f>Model!$B$21*EXP((-0.029*9.81*F676)/(8.31*(273+J676)))</f>
        <v>100357.4491247143</v>
      </c>
      <c r="J676" s="15">
        <f>IF(Model!$B$31="Summer",  IF(F676&lt;=2000,  Model!$B$20-Model!$B$35*F676/1000,  IF(F676&lt;Model!$B$36,  Model!$B$33-6.5*F676/1000,  Model!$B$38)),     IF(F676&lt;=2000,  Model!$B$20-Model!$B$35*F676/1000,  IF(F676&lt;Model!$B$36,  Model!$B$33-5.4*F676/1000,   Model!$B$38)))</f>
        <v>-19.088750000000001</v>
      </c>
      <c r="K676" s="15">
        <f t="shared" si="211"/>
        <v>253.91125</v>
      </c>
      <c r="L676" s="45">
        <f>IF(AB675-AA675*(B676-B675)&gt;0, L675-Y675*(B676-B675)*3600-AD676*Model!$B$16, 0)</f>
        <v>564.37343097510939</v>
      </c>
      <c r="M676" s="56">
        <f t="shared" si="199"/>
        <v>10.303711281241192</v>
      </c>
      <c r="N676" s="56">
        <f>Model!$B$13*I676*K676/(Model!$B$13*I676-L676*287*K676)</f>
        <v>283.30371128124119</v>
      </c>
      <c r="O676" s="56">
        <f t="shared" si="200"/>
        <v>268.60748064062057</v>
      </c>
      <c r="P676" s="56">
        <f t="shared" si="201"/>
        <v>1.2227010728264291</v>
      </c>
      <c r="Q676" s="62">
        <f t="shared" si="212"/>
        <v>2.3688131125484062E-2</v>
      </c>
      <c r="R676" s="33">
        <f t="shared" si="213"/>
        <v>1.3143177986624538E-5</v>
      </c>
      <c r="S676" s="45">
        <f>0.37*Model!$B$10*(Q676^2*(N676-K676)*I676/(R676*O676^2))^0.33333*(N676-K676)</f>
        <v>158225.78809560879</v>
      </c>
      <c r="T676" s="50">
        <f>Model!$B$32+(90-Model!$B$6)*SIN(RADIANS(-15*(E676+6)))</f>
        <v>28.021371619675321</v>
      </c>
      <c r="U676" s="45">
        <f t="shared" si="202"/>
        <v>28.021371619675321</v>
      </c>
      <c r="V676" s="50">
        <f t="shared" si="203"/>
        <v>2.128561386598248</v>
      </c>
      <c r="W676" s="45">
        <f t="shared" si="204"/>
        <v>842.83762018205516</v>
      </c>
      <c r="X676" s="45">
        <f>0.3*W676*Model!$B$9</f>
        <v>76348.144975487681</v>
      </c>
      <c r="Y676" s="33">
        <f>(S676-X676)/Model!$B$11</f>
        <v>1.7564655823258846E-3</v>
      </c>
      <c r="Z676" s="45">
        <f t="shared" si="205"/>
        <v>48.252655837210241</v>
      </c>
      <c r="AA676" s="56">
        <f>Y676/Model!$B$12*3600</f>
        <v>11.372287390626653</v>
      </c>
      <c r="AB676" s="50">
        <f t="shared" si="210"/>
        <v>78.006260465101576</v>
      </c>
      <c r="AC676" s="50">
        <f t="shared" si="214"/>
        <v>1721.9937395348984</v>
      </c>
      <c r="AD676" s="15">
        <f>IF(AE676=0, Model!$B$19, 0 )</f>
        <v>0</v>
      </c>
      <c r="AE676" s="50">
        <f>IF(AE675+AB675-AB676&lt;Model!$B$19*Model!$B$18, AE675+AB675-AB676,  0)</f>
        <v>365.62831324101194</v>
      </c>
      <c r="AF676" s="15">
        <f t="shared" si="206"/>
        <v>33.700000000000223</v>
      </c>
      <c r="AG676" s="50">
        <f t="shared" si="207"/>
        <v>0</v>
      </c>
    </row>
    <row r="677" spans="2:33" x14ac:dyDescent="0.25">
      <c r="B677" s="13">
        <f t="shared" si="208"/>
        <v>33.75000000000022</v>
      </c>
      <c r="C677" s="13">
        <f>B677+Model!$B$4</f>
        <v>35.75000000000022</v>
      </c>
      <c r="D677" s="13">
        <f t="shared" si="209"/>
        <v>2</v>
      </c>
      <c r="E677" s="13">
        <f t="shared" si="215"/>
        <v>11.75000000000022</v>
      </c>
      <c r="F677" s="14">
        <f>IF(AB677&gt;0, VLOOKUP(B677,Model!$A$40:$B$60, 2), 0)</f>
        <v>300</v>
      </c>
      <c r="G677" s="13">
        <f>IF(AB677&gt;0, VLOOKUP(B677,Model!$A$39:$C$58, 3), 0)</f>
        <v>1</v>
      </c>
      <c r="H677" s="13">
        <f t="shared" si="198"/>
        <v>97</v>
      </c>
      <c r="I677" s="46">
        <f>Model!$B$21*EXP((-0.029*9.81*F677)/(8.31*(273+J677)))</f>
        <v>100357.4491247143</v>
      </c>
      <c r="J677" s="13">
        <f>IF(Model!$B$31="Summer",  IF(F677&lt;=2000,  Model!$B$20-Model!$B$35*F677/1000,  IF(F677&lt;Model!$B$36,  Model!$B$33-6.5*F677/1000,  Model!$B$38)),     IF(F677&lt;=2000,  Model!$B$20-Model!$B$35*F677/1000,  IF(F677&lt;Model!$B$36,  Model!$B$33-5.4*F677/1000,   Model!$B$38)))</f>
        <v>-19.088750000000001</v>
      </c>
      <c r="K677" s="13">
        <f t="shared" si="211"/>
        <v>253.91125</v>
      </c>
      <c r="L677" s="46">
        <f>IF(AB676-AA676*(B677-B676)&gt;0, L676-Y676*(B677-B676)*3600-AD677*Model!$B$16, 0)</f>
        <v>564.05726717029074</v>
      </c>
      <c r="M677" s="57">
        <f t="shared" si="199"/>
        <v>10.285340665979049</v>
      </c>
      <c r="N677" s="57">
        <f>Model!$B$13*I677*K677/(Model!$B$13*I677-L677*287*K677)</f>
        <v>283.28534066597905</v>
      </c>
      <c r="O677" s="57">
        <f t="shared" si="200"/>
        <v>268.59829533298955</v>
      </c>
      <c r="P677" s="57">
        <f t="shared" si="201"/>
        <v>1.2172128008698921</v>
      </c>
      <c r="Q677" s="63">
        <f t="shared" si="212"/>
        <v>2.3687478968642258E-2</v>
      </c>
      <c r="R677" s="17">
        <f t="shared" si="213"/>
        <v>1.3142222714630913E-5</v>
      </c>
      <c r="S677" s="46">
        <f>0.37*Model!$B$10*(Q677^2*(N677-K677)*I677/(R677*O677^2))^0.33333*(N677-K677)</f>
        <v>158098.47783691192</v>
      </c>
      <c r="T677" s="51">
        <f>Model!$B$32+(90-Model!$B$6)*SIN(RADIANS(-15*(E677+6)))</f>
        <v>28.054327252366932</v>
      </c>
      <c r="U677" s="46">
        <f t="shared" si="202"/>
        <v>28.054327252366932</v>
      </c>
      <c r="V677" s="51">
        <f t="shared" si="203"/>
        <v>2.1262636905408052</v>
      </c>
      <c r="W677" s="46">
        <f t="shared" si="204"/>
        <v>843.30604260438793</v>
      </c>
      <c r="X677" s="46">
        <f>0.3*W677*Model!$B$9</f>
        <v>76390.576853412524</v>
      </c>
      <c r="Y677" s="17">
        <f>(S677-X677)/Model!$B$11</f>
        <v>1.7528242193178031E-3</v>
      </c>
      <c r="Z677" s="46">
        <f t="shared" si="205"/>
        <v>48.31835062461132</v>
      </c>
      <c r="AA677" s="57">
        <f>Y677/Model!$B$12*3600</f>
        <v>11.34871128014764</v>
      </c>
      <c r="AB677" s="51">
        <f t="shared" si="210"/>
        <v>77.437646095570273</v>
      </c>
      <c r="AC677" s="51">
        <f t="shared" si="214"/>
        <v>1722.5623539044298</v>
      </c>
      <c r="AD677" s="13">
        <f>IF(AE677=0, Model!$B$19, 0 )</f>
        <v>0</v>
      </c>
      <c r="AE677" s="51">
        <f>IF(AE676+AB676-AB677&lt;Model!$B$19*Model!$B$18, AE676+AB676-AB677,  0)</f>
        <v>366.1969276105433</v>
      </c>
      <c r="AF677" s="13">
        <f t="shared" si="206"/>
        <v>33.75000000000022</v>
      </c>
      <c r="AG677" s="50">
        <f t="shared" si="207"/>
        <v>0</v>
      </c>
    </row>
    <row r="678" spans="2:33" x14ac:dyDescent="0.25">
      <c r="B678" s="15">
        <f t="shared" si="208"/>
        <v>33.800000000000217</v>
      </c>
      <c r="C678" s="15">
        <f>B678+Model!$B$4</f>
        <v>35.800000000000217</v>
      </c>
      <c r="D678" s="15">
        <f t="shared" si="209"/>
        <v>2</v>
      </c>
      <c r="E678" s="15">
        <f t="shared" si="215"/>
        <v>11.800000000000217</v>
      </c>
      <c r="F678" s="16">
        <f>IF(AB678&gt;0, VLOOKUP(B678,Model!$A$40:$B$60, 2), 0)</f>
        <v>300</v>
      </c>
      <c r="G678" s="15">
        <f>IF(AB678&gt;0, VLOOKUP(B678,Model!$A$39:$C$58, 3), 0)</f>
        <v>1</v>
      </c>
      <c r="H678" s="15">
        <f t="shared" si="198"/>
        <v>97</v>
      </c>
      <c r="I678" s="45">
        <f>Model!$B$21*EXP((-0.029*9.81*F678)/(8.31*(273+J678)))</f>
        <v>100357.4491247143</v>
      </c>
      <c r="J678" s="15">
        <f>IF(Model!$B$31="Summer",  IF(F678&lt;=2000,  Model!$B$20-Model!$B$35*F678/1000,  IF(F678&lt;Model!$B$36,  Model!$B$33-6.5*F678/1000,  Model!$B$38)),     IF(F678&lt;=2000,  Model!$B$20-Model!$B$35*F678/1000,  IF(F678&lt;Model!$B$36,  Model!$B$33-5.4*F678/1000,   Model!$B$38)))</f>
        <v>-19.088750000000001</v>
      </c>
      <c r="K678" s="15">
        <f t="shared" si="211"/>
        <v>253.91125</v>
      </c>
      <c r="L678" s="45">
        <f>IF(AB677-AA677*(B678-B677)&gt;0, L677-Y677*(B678-B677)*3600-AD678*Model!$B$16, 0)</f>
        <v>563.74175881081351</v>
      </c>
      <c r="M678" s="56">
        <f t="shared" si="199"/>
        <v>10.26701051009735</v>
      </c>
      <c r="N678" s="56">
        <f>Model!$B$13*I678*K678/(Model!$B$13*I678-L678*287*K678)</f>
        <v>283.26701051009735</v>
      </c>
      <c r="O678" s="56">
        <f t="shared" si="200"/>
        <v>268.58913025504864</v>
      </c>
      <c r="P678" s="56">
        <f t="shared" si="201"/>
        <v>1.2111705390779273</v>
      </c>
      <c r="Q678" s="62">
        <f t="shared" si="212"/>
        <v>2.3686828248108454E-2</v>
      </c>
      <c r="R678" s="33">
        <f t="shared" si="213"/>
        <v>1.3141269546525059E-5</v>
      </c>
      <c r="S678" s="45">
        <f>0.37*Model!$B$10*(Q678^2*(N678-K678)*I678/(R678*O678^2))^0.33333*(N678-K678)</f>
        <v>157971.46827307044</v>
      </c>
      <c r="T678" s="50">
        <f>Model!$B$32+(90-Model!$B$6)*SIN(RADIANS(-15*(E678+6)))</f>
        <v>28.081298655425869</v>
      </c>
      <c r="U678" s="45">
        <f t="shared" si="202"/>
        <v>28.081298655425869</v>
      </c>
      <c r="V678" s="50">
        <f t="shared" si="203"/>
        <v>2.1243874307146196</v>
      </c>
      <c r="W678" s="45">
        <f t="shared" si="204"/>
        <v>843.68874154162916</v>
      </c>
      <c r="X678" s="45">
        <f>0.3*W678*Model!$B$9</f>
        <v>76425.243500039127</v>
      </c>
      <c r="Y678" s="33">
        <f>(S678-X678)/Model!$B$11</f>
        <v>1.7493558891565229E-3</v>
      </c>
      <c r="Z678" s="45">
        <f t="shared" si="205"/>
        <v>48.379143610876611</v>
      </c>
      <c r="AA678" s="56">
        <f>Y678/Model!$B$12*3600</f>
        <v>11.32625547585717</v>
      </c>
      <c r="AB678" s="50">
        <f t="shared" si="210"/>
        <v>76.870210531562918</v>
      </c>
      <c r="AC678" s="50">
        <f t="shared" si="214"/>
        <v>1723.1297894684371</v>
      </c>
      <c r="AD678" s="15">
        <f>IF(AE678=0, Model!$B$19, 0 )</f>
        <v>0</v>
      </c>
      <c r="AE678" s="50">
        <f>IF(AE677+AB677-AB678&lt;Model!$B$19*Model!$B$18, AE677+AB677-AB678,  0)</f>
        <v>366.76436317455062</v>
      </c>
      <c r="AF678" s="15">
        <f t="shared" si="206"/>
        <v>33.800000000000217</v>
      </c>
      <c r="AG678" s="50">
        <f t="shared" si="207"/>
        <v>0</v>
      </c>
    </row>
    <row r="679" spans="2:33" x14ac:dyDescent="0.25">
      <c r="B679" s="13">
        <f t="shared" si="208"/>
        <v>33.850000000000215</v>
      </c>
      <c r="C679" s="13">
        <f>B679+Model!$B$4</f>
        <v>35.850000000000215</v>
      </c>
      <c r="D679" s="13">
        <f t="shared" si="209"/>
        <v>2</v>
      </c>
      <c r="E679" s="13">
        <f t="shared" si="215"/>
        <v>11.850000000000215</v>
      </c>
      <c r="F679" s="14">
        <f>IF(AB679&gt;0, VLOOKUP(B679,Model!$A$40:$B$60, 2), 0)</f>
        <v>300</v>
      </c>
      <c r="G679" s="13">
        <f>IF(AB679&gt;0, VLOOKUP(B679,Model!$A$39:$C$58, 3), 0)</f>
        <v>1</v>
      </c>
      <c r="H679" s="13">
        <f t="shared" si="198"/>
        <v>97</v>
      </c>
      <c r="I679" s="46">
        <f>Model!$B$21*EXP((-0.029*9.81*F679)/(8.31*(273+J679)))</f>
        <v>100357.4491247143</v>
      </c>
      <c r="J679" s="13">
        <f>IF(Model!$B$31="Summer",  IF(F679&lt;=2000,  Model!$B$20-Model!$B$35*F679/1000,  IF(F679&lt;Model!$B$36,  Model!$B$33-6.5*F679/1000,  Model!$B$38)),     IF(F679&lt;=2000,  Model!$B$20-Model!$B$35*F679/1000,  IF(F679&lt;Model!$B$36,  Model!$B$33-5.4*F679/1000,   Model!$B$38)))</f>
        <v>-19.088750000000001</v>
      </c>
      <c r="K679" s="13">
        <f t="shared" si="211"/>
        <v>253.91125</v>
      </c>
      <c r="L679" s="46">
        <f>IF(AB678-AA678*(B679-B678)&gt;0, L678-Y678*(B679-B678)*3600-AD679*Model!$B$16, 0)</f>
        <v>563.42687475076536</v>
      </c>
      <c r="M679" s="57">
        <f t="shared" si="199"/>
        <v>10.248718989211341</v>
      </c>
      <c r="N679" s="57">
        <f>Model!$B$13*I679*K679/(Model!$B$13*I679-L679*287*K679)</f>
        <v>283.24871898921134</v>
      </c>
      <c r="O679" s="57">
        <f t="shared" si="200"/>
        <v>268.5799844946057</v>
      </c>
      <c r="P679" s="57">
        <f t="shared" si="201"/>
        <v>1.2045761048831976</v>
      </c>
      <c r="Q679" s="63">
        <f t="shared" si="212"/>
        <v>2.3686178899117005E-2</v>
      </c>
      <c r="R679" s="17">
        <f t="shared" si="213"/>
        <v>1.3140318387438992E-5</v>
      </c>
      <c r="S679" s="46">
        <f>0.37*Model!$B$10*(Q679^2*(N679-K679)*I679/(R679*O679^2))^0.33333*(N679-K679)</f>
        <v>157844.74664428484</v>
      </c>
      <c r="T679" s="51">
        <f>Model!$B$32+(90-Model!$B$6)*SIN(RADIANS(-15*(E679+6)))</f>
        <v>28.10228120744106</v>
      </c>
      <c r="U679" s="46">
        <f t="shared" si="202"/>
        <v>28.10228120744106</v>
      </c>
      <c r="V679" s="51">
        <f t="shared" si="203"/>
        <v>2.1229303975937404</v>
      </c>
      <c r="W679" s="46">
        <f t="shared" si="204"/>
        <v>843.98605100719544</v>
      </c>
      <c r="X679" s="46">
        <f>0.3*W679*Model!$B$9</f>
        <v>76452.175171853611</v>
      </c>
      <c r="Y679" s="17">
        <f>(S679-X679)/Model!$B$11</f>
        <v>1.7460596690428236E-3</v>
      </c>
      <c r="Z679" s="46">
        <f t="shared" si="205"/>
        <v>48.435045699775117</v>
      </c>
      <c r="AA679" s="57">
        <f>Y679/Model!$B$12*3600</f>
        <v>11.304914003064907</v>
      </c>
      <c r="AB679" s="51">
        <f t="shared" si="210"/>
        <v>76.303897757770088</v>
      </c>
      <c r="AC679" s="51">
        <f t="shared" si="214"/>
        <v>1723.6961022422299</v>
      </c>
      <c r="AD679" s="13">
        <f>IF(AE679=0, Model!$B$19, 0 )</f>
        <v>0</v>
      </c>
      <c r="AE679" s="51">
        <f>IF(AE678+AB678-AB679&lt;Model!$B$19*Model!$B$18, AE678+AB678-AB679,  0)</f>
        <v>367.33067594834347</v>
      </c>
      <c r="AF679" s="13">
        <f t="shared" si="206"/>
        <v>33.850000000000215</v>
      </c>
      <c r="AG679" s="50">
        <f t="shared" si="207"/>
        <v>0</v>
      </c>
    </row>
    <row r="680" spans="2:33" x14ac:dyDescent="0.25">
      <c r="B680" s="15">
        <f t="shared" si="208"/>
        <v>33.900000000000212</v>
      </c>
      <c r="C680" s="15">
        <f>B680+Model!$B$4</f>
        <v>35.900000000000212</v>
      </c>
      <c r="D680" s="15">
        <f t="shared" si="209"/>
        <v>2</v>
      </c>
      <c r="E680" s="15">
        <f t="shared" si="215"/>
        <v>11.900000000000212</v>
      </c>
      <c r="F680" s="16">
        <f>IF(AB680&gt;0, VLOOKUP(B680,Model!$A$40:$B$60, 2), 0)</f>
        <v>300</v>
      </c>
      <c r="G680" s="15">
        <f>IF(AB680&gt;0, VLOOKUP(B680,Model!$A$39:$C$58, 3), 0)</f>
        <v>1</v>
      </c>
      <c r="H680" s="15">
        <f t="shared" si="198"/>
        <v>97</v>
      </c>
      <c r="I680" s="45">
        <f>Model!$B$21*EXP((-0.029*9.81*F680)/(8.31*(273+J680)))</f>
        <v>100357.4491247143</v>
      </c>
      <c r="J680" s="15">
        <f>IF(Model!$B$31="Summer",  IF(F680&lt;=2000,  Model!$B$20-Model!$B$35*F680/1000,  IF(F680&lt;Model!$B$36,  Model!$B$33-6.5*F680/1000,  Model!$B$38)),     IF(F680&lt;=2000,  Model!$B$20-Model!$B$35*F680/1000,  IF(F680&lt;Model!$B$36,  Model!$B$33-5.4*F680/1000,   Model!$B$38)))</f>
        <v>-19.088750000000001</v>
      </c>
      <c r="K680" s="15">
        <f t="shared" si="211"/>
        <v>253.91125</v>
      </c>
      <c r="L680" s="45">
        <f>IF(AB679-AA679*(B680-B679)&gt;0, L679-Y679*(B680-B679)*3600-AD680*Model!$B$16, 0)</f>
        <v>563.11258401033763</v>
      </c>
      <c r="M680" s="56">
        <f t="shared" si="199"/>
        <v>10.230464289552685</v>
      </c>
      <c r="N680" s="56">
        <f>Model!$B$13*I680*K680/(Model!$B$13*I680-L680*287*K680)</f>
        <v>283.23046428955269</v>
      </c>
      <c r="O680" s="56">
        <f t="shared" si="200"/>
        <v>268.57085714477637</v>
      </c>
      <c r="P680" s="56">
        <f t="shared" si="201"/>
        <v>1.1974308181576454</v>
      </c>
      <c r="Q680" s="62">
        <f t="shared" si="212"/>
        <v>2.3685530857279122E-2</v>
      </c>
      <c r="R680" s="33">
        <f t="shared" si="213"/>
        <v>1.3139369143056741E-5</v>
      </c>
      <c r="S680" s="45">
        <f>0.37*Model!$B$10*(Q680^2*(N680-K680)*I680/(R680*O680^2))^0.33333*(N680-K680)</f>
        <v>157718.30027248344</v>
      </c>
      <c r="T680" s="50">
        <f>Model!$B$32+(90-Model!$B$6)*SIN(RADIANS(-15*(E680+6)))</f>
        <v>28.117271313160231</v>
      </c>
      <c r="U680" s="45">
        <f t="shared" si="202"/>
        <v>28.117271313160231</v>
      </c>
      <c r="V680" s="50">
        <f t="shared" si="203"/>
        <v>2.1218908788190856</v>
      </c>
      <c r="W680" s="45">
        <f t="shared" si="204"/>
        <v>844.19823017749786</v>
      </c>
      <c r="X680" s="45">
        <f>0.3*W680*Model!$B$9</f>
        <v>76471.395346258651</v>
      </c>
      <c r="Y680" s="33">
        <f>(S680-X680)/Model!$B$11</f>
        <v>1.7429347833578203E-3</v>
      </c>
      <c r="Z680" s="45">
        <f t="shared" si="205"/>
        <v>48.486063579268965</v>
      </c>
      <c r="AA680" s="56">
        <f>Y680/Model!$B$12*3600</f>
        <v>11.284681840003872</v>
      </c>
      <c r="AB680" s="50">
        <f t="shared" si="210"/>
        <v>75.738652057616875</v>
      </c>
      <c r="AC680" s="50">
        <f t="shared" si="214"/>
        <v>1724.2613479423831</v>
      </c>
      <c r="AD680" s="15">
        <f>IF(AE680=0, Model!$B$19, 0 )</f>
        <v>0</v>
      </c>
      <c r="AE680" s="50">
        <f>IF(AE679+AB679-AB680&lt;Model!$B$19*Model!$B$18, AE679+AB679-AB680,  0)</f>
        <v>367.89592164849665</v>
      </c>
      <c r="AF680" s="15">
        <f t="shared" si="206"/>
        <v>33.900000000000212</v>
      </c>
      <c r="AG680" s="50">
        <f t="shared" si="207"/>
        <v>0</v>
      </c>
    </row>
    <row r="681" spans="2:33" x14ac:dyDescent="0.25">
      <c r="B681" s="13">
        <f t="shared" si="208"/>
        <v>33.950000000000209</v>
      </c>
      <c r="C681" s="13">
        <f>B681+Model!$B$4</f>
        <v>35.950000000000209</v>
      </c>
      <c r="D681" s="13">
        <f t="shared" si="209"/>
        <v>2</v>
      </c>
      <c r="E681" s="13">
        <f t="shared" si="215"/>
        <v>11.950000000000209</v>
      </c>
      <c r="F681" s="14">
        <f>IF(AB681&gt;0, VLOOKUP(B681,Model!$A$40:$B$60, 2), 0)</f>
        <v>300</v>
      </c>
      <c r="G681" s="13">
        <f>IF(AB681&gt;0, VLOOKUP(B681,Model!$A$39:$C$58, 3), 0)</f>
        <v>1</v>
      </c>
      <c r="H681" s="13">
        <f t="shared" si="198"/>
        <v>97</v>
      </c>
      <c r="I681" s="46">
        <f>Model!$B$21*EXP((-0.029*9.81*F681)/(8.31*(273+J681)))</f>
        <v>100357.4491247143</v>
      </c>
      <c r="J681" s="13">
        <f>IF(Model!$B$31="Summer",  IF(F681&lt;=2000,  Model!$B$20-Model!$B$35*F681/1000,  IF(F681&lt;Model!$B$36,  Model!$B$33-6.5*F681/1000,  Model!$B$38)),     IF(F681&lt;=2000,  Model!$B$20-Model!$B$35*F681/1000,  IF(F681&lt;Model!$B$36,  Model!$B$33-5.4*F681/1000,   Model!$B$38)))</f>
        <v>-19.088750000000001</v>
      </c>
      <c r="K681" s="13">
        <f t="shared" si="211"/>
        <v>253.91125</v>
      </c>
      <c r="L681" s="46">
        <f>IF(AB680-AA680*(B681-B680)&gt;0, L680-Y680*(B681-B680)*3600-AD681*Model!$B$16, 0)</f>
        <v>562.79885574933326</v>
      </c>
      <c r="M681" s="57">
        <f t="shared" si="199"/>
        <v>10.212244606419347</v>
      </c>
      <c r="N681" s="57">
        <f>Model!$B$13*I681*K681/(Model!$B$13*I681-L681*287*K681)</f>
        <v>283.21224460641935</v>
      </c>
      <c r="O681" s="57">
        <f t="shared" si="200"/>
        <v>268.5617473032097</v>
      </c>
      <c r="P681" s="57">
        <f t="shared" si="201"/>
        <v>1.189735504392992</v>
      </c>
      <c r="Q681" s="63">
        <f t="shared" si="212"/>
        <v>2.3684884058527891E-2</v>
      </c>
      <c r="R681" s="17">
        <f t="shared" si="213"/>
        <v>1.3138421719533808E-5</v>
      </c>
      <c r="S681" s="46">
        <f>0.37*Model!$B$10*(Q681^2*(N681-K681)*I681/(R681*O681^2))^0.33333*(N681-K681)</f>
        <v>157592.11655050065</v>
      </c>
      <c r="T681" s="51">
        <f>Model!$B$32+(90-Model!$B$6)*SIN(RADIANS(-15*(E681+6)))</f>
        <v>28.126266404105948</v>
      </c>
      <c r="U681" s="46">
        <f t="shared" si="202"/>
        <v>28.126266404105948</v>
      </c>
      <c r="V681" s="51">
        <f t="shared" si="203"/>
        <v>2.1212676545657989</v>
      </c>
      <c r="W681" s="46">
        <f t="shared" si="204"/>
        <v>844.32546385151159</v>
      </c>
      <c r="X681" s="46">
        <f>0.3*W681*Model!$B$9</f>
        <v>76482.920763203438</v>
      </c>
      <c r="Y681" s="17">
        <f>(S681-X681)/Model!$B$11</f>
        <v>1.7399806025377499E-3</v>
      </c>
      <c r="Z681" s="46">
        <f t="shared" si="205"/>
        <v>48.532199730114264</v>
      </c>
      <c r="AA681" s="57">
        <f>Y681/Model!$B$12*3600</f>
        <v>11.265554910545209</v>
      </c>
      <c r="AB681" s="51">
        <f t="shared" si="210"/>
        <v>75.174417965616712</v>
      </c>
      <c r="AC681" s="51">
        <f t="shared" si="214"/>
        <v>1724.8255820343834</v>
      </c>
      <c r="AD681" s="13">
        <f>IF(AE681=0, Model!$B$19, 0 )</f>
        <v>0</v>
      </c>
      <c r="AE681" s="51">
        <f>IF(AE680+AB680-AB681&lt;Model!$B$19*Model!$B$18, AE680+AB680-AB681,  0)</f>
        <v>368.46015574049682</v>
      </c>
      <c r="AF681" s="13">
        <f t="shared" si="206"/>
        <v>33.950000000000209</v>
      </c>
      <c r="AG681" s="50">
        <f t="shared" si="207"/>
        <v>0</v>
      </c>
    </row>
    <row r="682" spans="2:33" x14ac:dyDescent="0.25">
      <c r="B682" s="15">
        <f t="shared" si="208"/>
        <v>34.000000000000206</v>
      </c>
      <c r="C682" s="15">
        <f>B682+Model!$B$4</f>
        <v>36.000000000000206</v>
      </c>
      <c r="D682" s="15">
        <f t="shared" si="209"/>
        <v>2</v>
      </c>
      <c r="E682" s="15">
        <f t="shared" si="215"/>
        <v>12.000000000000206</v>
      </c>
      <c r="F682" s="16">
        <f>IF(AB682&gt;0, VLOOKUP(B682,Model!$A$40:$B$60, 2), 0)</f>
        <v>300</v>
      </c>
      <c r="G682" s="15">
        <f>IF(AB682&gt;0, VLOOKUP(B682,Model!$A$39:$C$58, 3), 0)</f>
        <v>1</v>
      </c>
      <c r="H682" s="15">
        <f t="shared" si="198"/>
        <v>97</v>
      </c>
      <c r="I682" s="45">
        <f>Model!$B$21*EXP((-0.029*9.81*F682)/(8.31*(273+J682)))</f>
        <v>100357.4491247143</v>
      </c>
      <c r="J682" s="15">
        <f>IF(Model!$B$31="Summer",  IF(F682&lt;=2000,  Model!$B$20-Model!$B$35*F682/1000,  IF(F682&lt;Model!$B$36,  Model!$B$33-6.5*F682/1000,  Model!$B$38)),     IF(F682&lt;=2000,  Model!$B$20-Model!$B$35*F682/1000,  IF(F682&lt;Model!$B$36,  Model!$B$33-5.4*F682/1000,   Model!$B$38)))</f>
        <v>-19.088750000000001</v>
      </c>
      <c r="K682" s="15">
        <f t="shared" si="211"/>
        <v>253.91125</v>
      </c>
      <c r="L682" s="45">
        <f>IF(AB681-AA681*(B682-B681)&gt;0, L681-Y681*(B682-B681)*3600-AD682*Model!$B$16, 0)</f>
        <v>562.48565924087643</v>
      </c>
      <c r="M682" s="56">
        <f t="shared" si="199"/>
        <v>10.194058142639619</v>
      </c>
      <c r="N682" s="56">
        <f>Model!$B$13*I682*K682/(Model!$B$13*I682-L682*287*K682)</f>
        <v>283.19405814263962</v>
      </c>
      <c r="O682" s="56">
        <f t="shared" si="200"/>
        <v>268.55265407131981</v>
      </c>
      <c r="P682" s="56">
        <f t="shared" si="201"/>
        <v>1.1814904969965534</v>
      </c>
      <c r="Q682" s="62">
        <f t="shared" si="212"/>
        <v>2.3684238439063705E-2</v>
      </c>
      <c r="R682" s="33">
        <f t="shared" si="213"/>
        <v>1.3137476023417259E-5</v>
      </c>
      <c r="S682" s="45">
        <f>0.37*Model!$B$10*(Q682^2*(N682-K682)*I682/(R682*O682^2))^0.33333*(N682-K682)</f>
        <v>157466.1829313655</v>
      </c>
      <c r="T682" s="50">
        <f>Model!$B$32+(90-Model!$B$6)*SIN(RADIANS(-15*(E682+6)))</f>
        <v>28.129264939015677</v>
      </c>
      <c r="U682" s="45">
        <f t="shared" si="202"/>
        <v>28.129264939015677</v>
      </c>
      <c r="V682" s="50">
        <f t="shared" si="203"/>
        <v>2.1210599942511159</v>
      </c>
      <c r="W682" s="45">
        <f t="shared" si="204"/>
        <v>844.3678627780123</v>
      </c>
      <c r="X682" s="45">
        <f>0.3*W682*Model!$B$9</f>
        <v>76486.761454826323</v>
      </c>
      <c r="Y682" s="33">
        <f>(S682-X682)/Model!$B$11</f>
        <v>1.7371966422082845E-3</v>
      </c>
      <c r="Z682" s="45">
        <f t="shared" si="205"/>
        <v>48.573452427029665</v>
      </c>
      <c r="AA682" s="56">
        <f>Y682/Model!$B$12*3600</f>
        <v>11.247530078593272</v>
      </c>
      <c r="AB682" s="50">
        <f t="shared" si="210"/>
        <v>74.611140220089482</v>
      </c>
      <c r="AC682" s="50">
        <f t="shared" si="214"/>
        <v>1725.3888597799105</v>
      </c>
      <c r="AD682" s="15">
        <f>IF(AE682=0, Model!$B$19, 0 )</f>
        <v>0</v>
      </c>
      <c r="AE682" s="50">
        <f>IF(AE681+AB681-AB682&lt;Model!$B$19*Model!$B$18, AE681+AB681-AB682,  0)</f>
        <v>369.02343348602403</v>
      </c>
      <c r="AF682" s="15">
        <f t="shared" si="206"/>
        <v>34.000000000000206</v>
      </c>
      <c r="AG682" s="50">
        <f t="shared" si="207"/>
        <v>0</v>
      </c>
    </row>
    <row r="683" spans="2:33" x14ac:dyDescent="0.25">
      <c r="B683" s="13">
        <f t="shared" si="208"/>
        <v>34.050000000000203</v>
      </c>
      <c r="C683" s="13">
        <f>B683+Model!$B$4</f>
        <v>36.050000000000203</v>
      </c>
      <c r="D683" s="13">
        <f t="shared" si="209"/>
        <v>2</v>
      </c>
      <c r="E683" s="13">
        <f t="shared" si="215"/>
        <v>12.050000000000203</v>
      </c>
      <c r="F683" s="14">
        <f>IF(AB683&gt;0, VLOOKUP(B683,Model!$A$40:$B$60, 2), 0)</f>
        <v>300</v>
      </c>
      <c r="G683" s="13">
        <f>IF(AB683&gt;0, VLOOKUP(B683,Model!$A$39:$C$58, 3), 0)</f>
        <v>1</v>
      </c>
      <c r="H683" s="13">
        <f t="shared" si="198"/>
        <v>97</v>
      </c>
      <c r="I683" s="46">
        <f>Model!$B$21*EXP((-0.029*9.81*F683)/(8.31*(273+J683)))</f>
        <v>100357.4491247143</v>
      </c>
      <c r="J683" s="13">
        <f>IF(Model!$B$31="Summer",  IF(F683&lt;=2000,  Model!$B$20-Model!$B$35*F683/1000,  IF(F683&lt;Model!$B$36,  Model!$B$33-6.5*F683/1000,  Model!$B$38)),     IF(F683&lt;=2000,  Model!$B$20-Model!$B$35*F683/1000,  IF(F683&lt;Model!$B$36,  Model!$B$33-5.4*F683/1000,   Model!$B$38)))</f>
        <v>-19.088750000000001</v>
      </c>
      <c r="K683" s="13">
        <f t="shared" si="211"/>
        <v>253.91125</v>
      </c>
      <c r="L683" s="46">
        <f>IF(AB682-AA682*(B683-B682)&gt;0, L682-Y682*(B683-B682)*3600-AD683*Model!$B$16, 0)</f>
        <v>562.1729638452789</v>
      </c>
      <c r="M683" s="57">
        <f t="shared" si="199"/>
        <v>10.175903107045826</v>
      </c>
      <c r="N683" s="57">
        <f>Model!$B$13*I683*K683/(Model!$B$13*I683-L683*287*K683)</f>
        <v>283.17590310704583</v>
      </c>
      <c r="O683" s="57">
        <f t="shared" si="200"/>
        <v>268.54357655352294</v>
      </c>
      <c r="P683" s="57">
        <f t="shared" si="201"/>
        <v>1.1726956387096612</v>
      </c>
      <c r="Q683" s="63">
        <f t="shared" si="212"/>
        <v>2.3683593935300128E-2</v>
      </c>
      <c r="R683" s="17">
        <f t="shared" si="213"/>
        <v>1.3136531961566384E-5</v>
      </c>
      <c r="S683" s="46">
        <f>0.37*Model!$B$10*(Q683^2*(N683-K683)*I683/(R683*O683^2))^0.33333*(N683-K683)</f>
        <v>157340.48691766945</v>
      </c>
      <c r="T683" s="51">
        <f>Model!$B$32+(90-Model!$B$6)*SIN(RADIANS(-15*(E683+6)))</f>
        <v>28.126266404105898</v>
      </c>
      <c r="U683" s="46">
        <f t="shared" si="202"/>
        <v>28.126266404105898</v>
      </c>
      <c r="V683" s="51">
        <f t="shared" si="203"/>
        <v>2.1212676545658025</v>
      </c>
      <c r="W683" s="46">
        <f t="shared" si="204"/>
        <v>844.3254638515109</v>
      </c>
      <c r="X683" s="46">
        <f>0.3*W683*Model!$B$9</f>
        <v>76482.920763203379</v>
      </c>
      <c r="Y683" s="17">
        <f>(S683-X683)/Model!$B$11</f>
        <v>1.734582562575696E-3</v>
      </c>
      <c r="Z683" s="46">
        <f t="shared" si="205"/>
        <v>48.609815732440254</v>
      </c>
      <c r="AA683" s="57">
        <f>Y683/Model!$B$12*3600</f>
        <v>11.230605144143707</v>
      </c>
      <c r="AB683" s="51">
        <f t="shared" si="210"/>
        <v>74.048763716159854</v>
      </c>
      <c r="AC683" s="51">
        <f t="shared" si="214"/>
        <v>1725.9512362838402</v>
      </c>
      <c r="AD683" s="13">
        <f>IF(AE683=0, Model!$B$19, 0 )</f>
        <v>0</v>
      </c>
      <c r="AE683" s="51">
        <f>IF(AE682+AB682-AB683&lt;Model!$B$19*Model!$B$18, AE682+AB682-AB683,  0)</f>
        <v>369.5858099899537</v>
      </c>
      <c r="AF683" s="13">
        <f t="shared" si="206"/>
        <v>34.050000000000203</v>
      </c>
      <c r="AG683" s="50">
        <f t="shared" si="207"/>
        <v>0</v>
      </c>
    </row>
    <row r="684" spans="2:33" x14ac:dyDescent="0.25">
      <c r="B684" s="15">
        <f t="shared" si="208"/>
        <v>34.1000000000002</v>
      </c>
      <c r="C684" s="15">
        <f>B684+Model!$B$4</f>
        <v>36.1000000000002</v>
      </c>
      <c r="D684" s="15">
        <f t="shared" si="209"/>
        <v>2</v>
      </c>
      <c r="E684" s="15">
        <f t="shared" si="215"/>
        <v>12.1000000000002</v>
      </c>
      <c r="F684" s="16">
        <f>IF(AB684&gt;0, VLOOKUP(B684,Model!$A$40:$B$60, 2), 0)</f>
        <v>300</v>
      </c>
      <c r="G684" s="15">
        <f>IF(AB684&gt;0, VLOOKUP(B684,Model!$A$39:$C$58, 3), 0)</f>
        <v>1</v>
      </c>
      <c r="H684" s="15">
        <f t="shared" si="198"/>
        <v>97</v>
      </c>
      <c r="I684" s="45">
        <f>Model!$B$21*EXP((-0.029*9.81*F684)/(8.31*(273+J684)))</f>
        <v>100357.4491247143</v>
      </c>
      <c r="J684" s="15">
        <f>IF(Model!$B$31="Summer",  IF(F684&lt;=2000,  Model!$B$20-Model!$B$35*F684/1000,  IF(F684&lt;Model!$B$36,  Model!$B$33-6.5*F684/1000,  Model!$B$38)),     IF(F684&lt;=2000,  Model!$B$20-Model!$B$35*F684/1000,  IF(F684&lt;Model!$B$36,  Model!$B$33-5.4*F684/1000,   Model!$B$38)))</f>
        <v>-19.088750000000001</v>
      </c>
      <c r="K684" s="15">
        <f t="shared" si="211"/>
        <v>253.91125</v>
      </c>
      <c r="L684" s="45">
        <f>IF(AB683-AA683*(B684-B683)&gt;0, L683-Y683*(B684-B683)*3600-AD684*Model!$B$16, 0)</f>
        <v>561.86073898401526</v>
      </c>
      <c r="M684" s="56">
        <f t="shared" si="199"/>
        <v>10.157777712956431</v>
      </c>
      <c r="N684" s="56">
        <f>Model!$B$13*I684*K684/(Model!$B$13*I684-L684*287*K684)</f>
        <v>283.15777771295643</v>
      </c>
      <c r="O684" s="56">
        <f t="shared" si="200"/>
        <v>268.53451385647821</v>
      </c>
      <c r="P684" s="56">
        <f t="shared" si="201"/>
        <v>1.163350282154954</v>
      </c>
      <c r="Q684" s="62">
        <f t="shared" si="212"/>
        <v>2.3682950483809955E-2</v>
      </c>
      <c r="R684" s="33">
        <f t="shared" si="213"/>
        <v>1.3135589441073734E-5</v>
      </c>
      <c r="S684" s="45">
        <f>0.37*Model!$B$10*(Q684^2*(N684-K684)*I684/(R684*O684^2))^0.33333*(N684-K684)</f>
        <v>157215.01605100435</v>
      </c>
      <c r="T684" s="50">
        <f>Model!$B$32+(90-Model!$B$6)*SIN(RADIANS(-15*(E684+6)))</f>
        <v>28.117271313160131</v>
      </c>
      <c r="U684" s="45">
        <f t="shared" si="202"/>
        <v>28.117271313160131</v>
      </c>
      <c r="V684" s="50">
        <f t="shared" si="203"/>
        <v>2.1218908788190922</v>
      </c>
      <c r="W684" s="45">
        <f t="shared" si="204"/>
        <v>844.1982301774965</v>
      </c>
      <c r="X684" s="45">
        <f>0.3*W684*Model!$B$9</f>
        <v>76471.39534625852</v>
      </c>
      <c r="Y684" s="33">
        <f>(S684-X684)/Model!$B$11</f>
        <v>1.732138168073492E-3</v>
      </c>
      <c r="Z684" s="45">
        <f t="shared" si="205"/>
        <v>48.641279482774948</v>
      </c>
      <c r="AA684" s="56">
        <f>Y684/Model!$B$12*3600</f>
        <v>11.214778840995589</v>
      </c>
      <c r="AB684" s="50">
        <f t="shared" si="210"/>
        <v>73.487233458952701</v>
      </c>
      <c r="AC684" s="50">
        <f t="shared" si="214"/>
        <v>1726.5127665410473</v>
      </c>
      <c r="AD684" s="15">
        <f>IF(AE684=0, Model!$B$19, 0 )</f>
        <v>0</v>
      </c>
      <c r="AE684" s="50">
        <f>IF(AE683+AB683-AB684&lt;Model!$B$19*Model!$B$18, AE683+AB683-AB684,  0)</f>
        <v>370.14734024716086</v>
      </c>
      <c r="AF684" s="15">
        <f t="shared" si="206"/>
        <v>34.1000000000002</v>
      </c>
      <c r="AG684" s="50">
        <f t="shared" si="207"/>
        <v>0</v>
      </c>
    </row>
    <row r="685" spans="2:33" x14ac:dyDescent="0.25">
      <c r="B685" s="13">
        <f t="shared" si="208"/>
        <v>34.150000000000198</v>
      </c>
      <c r="C685" s="13">
        <f>B685+Model!$B$4</f>
        <v>36.150000000000198</v>
      </c>
      <c r="D685" s="13">
        <f t="shared" si="209"/>
        <v>2</v>
      </c>
      <c r="E685" s="13">
        <f t="shared" si="215"/>
        <v>12.150000000000198</v>
      </c>
      <c r="F685" s="14">
        <f>IF(AB685&gt;0, VLOOKUP(B685,Model!$A$40:$B$60, 2), 0)</f>
        <v>300</v>
      </c>
      <c r="G685" s="13">
        <f>IF(AB685&gt;0, VLOOKUP(B685,Model!$A$39:$C$58, 3), 0)</f>
        <v>1</v>
      </c>
      <c r="H685" s="13">
        <f t="shared" si="198"/>
        <v>97</v>
      </c>
      <c r="I685" s="46">
        <f>Model!$B$21*EXP((-0.029*9.81*F685)/(8.31*(273+J685)))</f>
        <v>100357.4491247143</v>
      </c>
      <c r="J685" s="13">
        <f>IF(Model!$B$31="Summer",  IF(F685&lt;=2000,  Model!$B$20-Model!$B$35*F685/1000,  IF(F685&lt;Model!$B$36,  Model!$B$33-6.5*F685/1000,  Model!$B$38)),     IF(F685&lt;=2000,  Model!$B$20-Model!$B$35*F685/1000,  IF(F685&lt;Model!$B$36,  Model!$B$33-5.4*F685/1000,   Model!$B$38)))</f>
        <v>-19.088750000000001</v>
      </c>
      <c r="K685" s="13">
        <f t="shared" si="211"/>
        <v>253.91125</v>
      </c>
      <c r="L685" s="46">
        <f>IF(AB684-AA684*(B685-B684)&gt;0, L684-Y684*(B685-B684)*3600-AD685*Model!$B$16, 0)</f>
        <v>561.54895411376208</v>
      </c>
      <c r="M685" s="57">
        <f t="shared" si="199"/>
        <v>10.139680176662694</v>
      </c>
      <c r="N685" s="57">
        <f>Model!$B$13*I685*K685/(Model!$B$13*I685-L685*287*K685)</f>
        <v>283.13968017666269</v>
      </c>
      <c r="O685" s="57">
        <f t="shared" si="200"/>
        <v>268.52546508833132</v>
      </c>
      <c r="P685" s="57">
        <f t="shared" si="201"/>
        <v>1.1534532895146565</v>
      </c>
      <c r="Q685" s="63">
        <f t="shared" si="212"/>
        <v>2.3682308021271525E-2</v>
      </c>
      <c r="R685" s="17">
        <f t="shared" si="213"/>
        <v>1.3134648369186455E-5</v>
      </c>
      <c r="S685" s="46">
        <f>0.37*Model!$B$10*(Q685^2*(N685-K685)*I685/(R685*O685^2))^0.33333*(N685-K685)</f>
        <v>157089.75790144361</v>
      </c>
      <c r="T685" s="51">
        <f>Model!$B$32+(90-Model!$B$6)*SIN(RADIANS(-15*(E685+6)))</f>
        <v>28.10228120744091</v>
      </c>
      <c r="U685" s="46">
        <f t="shared" si="202"/>
        <v>28.10228120744091</v>
      </c>
      <c r="V685" s="51">
        <f t="shared" si="203"/>
        <v>2.122930397593751</v>
      </c>
      <c r="W685" s="46">
        <f t="shared" si="204"/>
        <v>843.98605100719317</v>
      </c>
      <c r="X685" s="46">
        <f>0.3*W685*Model!$B$9</f>
        <v>76452.175171853392</v>
      </c>
      <c r="Y685" s="17">
        <f>(S685-X685)/Model!$B$11</f>
        <v>1.7298634072635463E-3</v>
      </c>
      <c r="Z685" s="46">
        <f t="shared" si="205"/>
        <v>48.667829267277028</v>
      </c>
      <c r="AA685" s="57">
        <f>Y685/Model!$B$12*3600</f>
        <v>11.200050836111267</v>
      </c>
      <c r="AB685" s="51">
        <f t="shared" si="210"/>
        <v>72.926494516902949</v>
      </c>
      <c r="AC685" s="51">
        <f t="shared" si="214"/>
        <v>1727.0735054830971</v>
      </c>
      <c r="AD685" s="13">
        <f>IF(AE685=0, Model!$B$19, 0 )</f>
        <v>0</v>
      </c>
      <c r="AE685" s="51">
        <f>IF(AE684+AB684-AB685&lt;Model!$B$19*Model!$B$18, AE684+AB684-AB685,  0)</f>
        <v>370.70807918921059</v>
      </c>
      <c r="AF685" s="13">
        <f t="shared" si="206"/>
        <v>34.150000000000198</v>
      </c>
      <c r="AG685" s="50">
        <f t="shared" si="207"/>
        <v>0</v>
      </c>
    </row>
    <row r="686" spans="2:33" x14ac:dyDescent="0.25">
      <c r="B686" s="15">
        <f t="shared" si="208"/>
        <v>34.200000000000195</v>
      </c>
      <c r="C686" s="15">
        <f>B686+Model!$B$4</f>
        <v>36.200000000000195</v>
      </c>
      <c r="D686" s="15">
        <f t="shared" si="209"/>
        <v>2</v>
      </c>
      <c r="E686" s="15">
        <f t="shared" si="215"/>
        <v>12.200000000000195</v>
      </c>
      <c r="F686" s="16">
        <f>IF(AB686&gt;0, VLOOKUP(B686,Model!$A$40:$B$60, 2), 0)</f>
        <v>300</v>
      </c>
      <c r="G686" s="15">
        <f>IF(AB686&gt;0, VLOOKUP(B686,Model!$A$39:$C$58, 3), 0)</f>
        <v>1</v>
      </c>
      <c r="H686" s="15">
        <f t="shared" si="198"/>
        <v>97</v>
      </c>
      <c r="I686" s="45">
        <f>Model!$B$21*EXP((-0.029*9.81*F686)/(8.31*(273+J686)))</f>
        <v>100357.4491247143</v>
      </c>
      <c r="J686" s="15">
        <f>IF(Model!$B$31="Summer",  IF(F686&lt;=2000,  Model!$B$20-Model!$B$35*F686/1000,  IF(F686&lt;Model!$B$36,  Model!$B$33-6.5*F686/1000,  Model!$B$38)),     IF(F686&lt;=2000,  Model!$B$20-Model!$B$35*F686/1000,  IF(F686&lt;Model!$B$36,  Model!$B$33-5.4*F686/1000,   Model!$B$38)))</f>
        <v>-19.088750000000001</v>
      </c>
      <c r="K686" s="15">
        <f t="shared" si="211"/>
        <v>253.91125</v>
      </c>
      <c r="L686" s="45">
        <f>IF(AB685-AA685*(B686-B685)&gt;0, L685-Y685*(B686-B685)*3600-AD686*Model!$B$16, 0)</f>
        <v>561.23757870045461</v>
      </c>
      <c r="M686" s="56">
        <f t="shared" si="199"/>
        <v>10.121608715918399</v>
      </c>
      <c r="N686" s="56">
        <f>Model!$B$13*I686*K686/(Model!$B$13*I686-L686*287*K686)</f>
        <v>283.1216087159184</v>
      </c>
      <c r="O686" s="56">
        <f t="shared" si="200"/>
        <v>268.51642935795917</v>
      </c>
      <c r="P686" s="56">
        <f t="shared" si="201"/>
        <v>1.1430030313404869</v>
      </c>
      <c r="Q686" s="62">
        <f t="shared" si="212"/>
        <v>2.3681666484415102E-2</v>
      </c>
      <c r="R686" s="33">
        <f t="shared" si="213"/>
        <v>1.3133708653227753E-5</v>
      </c>
      <c r="S686" s="45">
        <f>0.37*Model!$B$10*(Q686^2*(N686-K686)*I686/(R686*O686^2))^0.33333*(N686-K686)</f>
        <v>156964.70005705676</v>
      </c>
      <c r="T686" s="50">
        <f>Model!$B$32+(90-Model!$B$6)*SIN(RADIANS(-15*(E686+6)))</f>
        <v>28.08129865542567</v>
      </c>
      <c r="U686" s="45">
        <f t="shared" si="202"/>
        <v>28.08129865542567</v>
      </c>
      <c r="V686" s="50">
        <f t="shared" si="203"/>
        <v>2.1243874307146333</v>
      </c>
      <c r="W686" s="45">
        <f t="shared" si="204"/>
        <v>843.68874154162643</v>
      </c>
      <c r="X686" s="45">
        <f>0.3*W686*Model!$B$9</f>
        <v>76425.24350003888</v>
      </c>
      <c r="Y686" s="33">
        <f>(S686-X686)/Model!$B$11</f>
        <v>1.72775837299191E-3</v>
      </c>
      <c r="Z686" s="45">
        <f t="shared" si="205"/>
        <v>48.68944639925936</v>
      </c>
      <c r="AA686" s="56">
        <f>Y686/Model!$B$12*3600</f>
        <v>11.186421730625199</v>
      </c>
      <c r="AB686" s="50">
        <f t="shared" si="210"/>
        <v>72.366491975097418</v>
      </c>
      <c r="AC686" s="50">
        <f t="shared" si="214"/>
        <v>1727.6335080249025</v>
      </c>
      <c r="AD686" s="15">
        <f>IF(AE686=0, Model!$B$19, 0 )</f>
        <v>0</v>
      </c>
      <c r="AE686" s="50">
        <f>IF(AE685+AB685-AB686&lt;Model!$B$19*Model!$B$18, AE685+AB685-AB686,  0)</f>
        <v>371.26808173101614</v>
      </c>
      <c r="AF686" s="15">
        <f t="shared" si="206"/>
        <v>34.200000000000195</v>
      </c>
      <c r="AG686" s="50">
        <f t="shared" si="207"/>
        <v>0</v>
      </c>
    </row>
    <row r="687" spans="2:33" x14ac:dyDescent="0.25">
      <c r="B687" s="13">
        <f t="shared" si="208"/>
        <v>34.250000000000192</v>
      </c>
      <c r="C687" s="13">
        <f>B687+Model!$B$4</f>
        <v>36.250000000000192</v>
      </c>
      <c r="D687" s="13">
        <f t="shared" si="209"/>
        <v>2</v>
      </c>
      <c r="E687" s="13">
        <f t="shared" si="215"/>
        <v>12.250000000000192</v>
      </c>
      <c r="F687" s="14">
        <f>IF(AB687&gt;0, VLOOKUP(B687,Model!$A$40:$B$60, 2), 0)</f>
        <v>300</v>
      </c>
      <c r="G687" s="13">
        <f>IF(AB687&gt;0, VLOOKUP(B687,Model!$A$39:$C$58, 3), 0)</f>
        <v>1</v>
      </c>
      <c r="H687" s="13">
        <f t="shared" si="198"/>
        <v>97</v>
      </c>
      <c r="I687" s="46">
        <f>Model!$B$21*EXP((-0.029*9.81*F687)/(8.31*(273+J687)))</f>
        <v>100357.4491247143</v>
      </c>
      <c r="J687" s="13">
        <f>IF(Model!$B$31="Summer",  IF(F687&lt;=2000,  Model!$B$20-Model!$B$35*F687/1000,  IF(F687&lt;Model!$B$36,  Model!$B$33-6.5*F687/1000,  Model!$B$38)),     IF(F687&lt;=2000,  Model!$B$20-Model!$B$35*F687/1000,  IF(F687&lt;Model!$B$36,  Model!$B$33-5.4*F687/1000,   Model!$B$38)))</f>
        <v>-19.088750000000001</v>
      </c>
      <c r="K687" s="13">
        <f t="shared" si="211"/>
        <v>253.91125</v>
      </c>
      <c r="L687" s="46">
        <f>IF(AB686-AA686*(B687-B686)&gt;0, L686-Y686*(B687-B686)*3600-AD687*Model!$B$16, 0)</f>
        <v>560.92658219331611</v>
      </c>
      <c r="M687" s="57">
        <f t="shared" si="199"/>
        <v>10.103561548428502</v>
      </c>
      <c r="N687" s="57">
        <f>Model!$B$13*I687*K687/(Model!$B$13*I687-L687*287*K687)</f>
        <v>283.1035615484285</v>
      </c>
      <c r="O687" s="57">
        <f t="shared" si="200"/>
        <v>268.50740577421425</v>
      </c>
      <c r="P687" s="57">
        <f t="shared" si="201"/>
        <v>1.1319973844917595</v>
      </c>
      <c r="Q687" s="63">
        <f t="shared" si="212"/>
        <v>2.3681025809969211E-2</v>
      </c>
      <c r="R687" s="17">
        <f t="shared" si="213"/>
        <v>1.3132770200518281E-5</v>
      </c>
      <c r="S687" s="46">
        <f>0.37*Model!$B$10*(Q687^2*(N687-K687)*I687/(R687*O687^2))^0.33333*(N687-K687)</f>
        <v>156839.83011342853</v>
      </c>
      <c r="T687" s="51">
        <f>Model!$B$32+(90-Model!$B$6)*SIN(RADIANS(-15*(E687+6)))</f>
        <v>28.054327252366683</v>
      </c>
      <c r="U687" s="46">
        <f t="shared" si="202"/>
        <v>28.054327252366683</v>
      </c>
      <c r="V687" s="51">
        <f t="shared" si="203"/>
        <v>2.1262636905408225</v>
      </c>
      <c r="W687" s="46">
        <f t="shared" si="204"/>
        <v>843.30604260438452</v>
      </c>
      <c r="X687" s="46">
        <f>0.3*W687*Model!$B$9</f>
        <v>76390.576853412203</v>
      </c>
      <c r="Y687" s="17">
        <f>(S687-X687)/Model!$B$11</f>
        <v>1.7258233027998783E-3</v>
      </c>
      <c r="Z687" s="46">
        <f t="shared" si="205"/>
        <v>48.706107879717536</v>
      </c>
      <c r="AA687" s="57">
        <f>Y687/Model!$B$12*3600</f>
        <v>11.173893062505394</v>
      </c>
      <c r="AB687" s="51">
        <f t="shared" si="210"/>
        <v>71.807170888566191</v>
      </c>
      <c r="AC687" s="51">
        <f t="shared" si="214"/>
        <v>1728.1928291114339</v>
      </c>
      <c r="AD687" s="13">
        <f>IF(AE687=0, Model!$B$19, 0 )</f>
        <v>0</v>
      </c>
      <c r="AE687" s="51">
        <f>IF(AE686+AB686-AB687&lt;Model!$B$19*Model!$B$18, AE686+AB686-AB687,  0)</f>
        <v>371.82740281754735</v>
      </c>
      <c r="AF687" s="13">
        <f t="shared" si="206"/>
        <v>34.250000000000192</v>
      </c>
      <c r="AG687" s="50">
        <f t="shared" si="207"/>
        <v>0</v>
      </c>
    </row>
    <row r="688" spans="2:33" x14ac:dyDescent="0.25">
      <c r="B688" s="15">
        <f t="shared" si="208"/>
        <v>34.300000000000189</v>
      </c>
      <c r="C688" s="15">
        <f>B688+Model!$B$4</f>
        <v>36.300000000000189</v>
      </c>
      <c r="D688" s="15">
        <f t="shared" si="209"/>
        <v>2</v>
      </c>
      <c r="E688" s="15">
        <f t="shared" si="215"/>
        <v>12.300000000000189</v>
      </c>
      <c r="F688" s="16">
        <f>IF(AB688&gt;0, VLOOKUP(B688,Model!$A$40:$B$60, 2), 0)</f>
        <v>300</v>
      </c>
      <c r="G688" s="15">
        <f>IF(AB688&gt;0, VLOOKUP(B688,Model!$A$39:$C$58, 3), 0)</f>
        <v>1</v>
      </c>
      <c r="H688" s="15">
        <f t="shared" si="198"/>
        <v>97</v>
      </c>
      <c r="I688" s="45">
        <f>Model!$B$21*EXP((-0.029*9.81*F688)/(8.31*(273+J688)))</f>
        <v>100357.4491247143</v>
      </c>
      <c r="J688" s="15">
        <f>IF(Model!$B$31="Summer",  IF(F688&lt;=2000,  Model!$B$20-Model!$B$35*F688/1000,  IF(F688&lt;Model!$B$36,  Model!$B$33-6.5*F688/1000,  Model!$B$38)),     IF(F688&lt;=2000,  Model!$B$20-Model!$B$35*F688/1000,  IF(F688&lt;Model!$B$36,  Model!$B$33-5.4*F688/1000,   Model!$B$38)))</f>
        <v>-19.088750000000001</v>
      </c>
      <c r="K688" s="15">
        <f t="shared" si="211"/>
        <v>253.91125</v>
      </c>
      <c r="L688" s="45">
        <f>IF(AB687-AA687*(B688-B687)&gt;0, L687-Y687*(B688-B687)*3600-AD688*Model!$B$16, 0)</f>
        <v>560.61593399881212</v>
      </c>
      <c r="M688" s="56">
        <f t="shared" si="199"/>
        <v>10.085536890335618</v>
      </c>
      <c r="N688" s="56">
        <f>Model!$B$13*I688*K688/(Model!$B$13*I688-L688*287*K688)</f>
        <v>283.08553689033562</v>
      </c>
      <c r="O688" s="56">
        <f t="shared" si="200"/>
        <v>268.49839344516784</v>
      </c>
      <c r="P688" s="56">
        <f t="shared" si="201"/>
        <v>1.120433729197039</v>
      </c>
      <c r="Q688" s="62">
        <f t="shared" si="212"/>
        <v>2.3680385934606918E-2</v>
      </c>
      <c r="R688" s="33">
        <f t="shared" si="213"/>
        <v>1.3131832918297454E-5</v>
      </c>
      <c r="S688" s="45">
        <f>0.37*Model!$B$10*(Q688^2*(N688-K688)*I688/(R688*O688^2))^0.33333*(N688-K688)</f>
        <v>156715.13566317409</v>
      </c>
      <c r="T688" s="50">
        <f>Model!$B$32+(90-Model!$B$6)*SIN(RADIANS(-15*(E688+6)))</f>
        <v>28.021371619675023</v>
      </c>
      <c r="U688" s="45">
        <f t="shared" si="202"/>
        <v>28.021371619675023</v>
      </c>
      <c r="V688" s="50">
        <f t="shared" si="203"/>
        <v>2.1285613865982689</v>
      </c>
      <c r="W688" s="45">
        <f t="shared" si="204"/>
        <v>842.83762018205096</v>
      </c>
      <c r="X688" s="45">
        <f>0.3*W688*Model!$B$9</f>
        <v>76348.144975487303</v>
      </c>
      <c r="Y688" s="33">
        <f>(S688-X688)/Model!$B$11</f>
        <v>1.7240585795921224E-3</v>
      </c>
      <c r="Z688" s="45">
        <f t="shared" si="205"/>
        <v>48.717786353183797</v>
      </c>
      <c r="AA688" s="56">
        <f>Y688/Model!$B$12*3600</f>
        <v>11.16246731087926</v>
      </c>
      <c r="AB688" s="50">
        <f t="shared" si="210"/>
        <v>71.248476235440947</v>
      </c>
      <c r="AC688" s="50">
        <f t="shared" si="214"/>
        <v>1728.7515237645591</v>
      </c>
      <c r="AD688" s="15">
        <f>IF(AE688=0, Model!$B$19, 0 )</f>
        <v>0</v>
      </c>
      <c r="AE688" s="50">
        <f>IF(AE687+AB687-AB688&lt;Model!$B$19*Model!$B$18, AE687+AB687-AB688,  0)</f>
        <v>372.38609747067261</v>
      </c>
      <c r="AF688" s="15">
        <f t="shared" si="206"/>
        <v>34.300000000000189</v>
      </c>
      <c r="AG688" s="50">
        <f t="shared" si="207"/>
        <v>0</v>
      </c>
    </row>
    <row r="689" spans="2:33" x14ac:dyDescent="0.25">
      <c r="B689" s="13">
        <f t="shared" si="208"/>
        <v>34.350000000000186</v>
      </c>
      <c r="C689" s="13">
        <f>B689+Model!$B$4</f>
        <v>36.350000000000186</v>
      </c>
      <c r="D689" s="13">
        <f t="shared" si="209"/>
        <v>2</v>
      </c>
      <c r="E689" s="13">
        <f t="shared" si="215"/>
        <v>12.350000000000186</v>
      </c>
      <c r="F689" s="14">
        <f>IF(AB689&gt;0, VLOOKUP(B689,Model!$A$40:$B$60, 2), 0)</f>
        <v>300</v>
      </c>
      <c r="G689" s="13">
        <f>IF(AB689&gt;0, VLOOKUP(B689,Model!$A$39:$C$58, 3), 0)</f>
        <v>1</v>
      </c>
      <c r="H689" s="13">
        <f t="shared" si="198"/>
        <v>97</v>
      </c>
      <c r="I689" s="46">
        <f>Model!$B$21*EXP((-0.029*9.81*F689)/(8.31*(273+J689)))</f>
        <v>100357.4491247143</v>
      </c>
      <c r="J689" s="13">
        <f>IF(Model!$B$31="Summer",  IF(F689&lt;=2000,  Model!$B$20-Model!$B$35*F689/1000,  IF(F689&lt;Model!$B$36,  Model!$B$33-6.5*F689/1000,  Model!$B$38)),     IF(F689&lt;=2000,  Model!$B$20-Model!$B$35*F689/1000,  IF(F689&lt;Model!$B$36,  Model!$B$33-5.4*F689/1000,   Model!$B$38)))</f>
        <v>-19.088750000000001</v>
      </c>
      <c r="K689" s="13">
        <f t="shared" si="211"/>
        <v>253.91125</v>
      </c>
      <c r="L689" s="46">
        <f>IF(AB688-AA688*(B689-B688)&gt;0, L688-Y688*(B689-B688)*3600-AD689*Model!$B$16, 0)</f>
        <v>560.30560345448555</v>
      </c>
      <c r="M689" s="57">
        <f t="shared" si="199"/>
        <v>10.067532954700539</v>
      </c>
      <c r="N689" s="57">
        <f>Model!$B$13*I689*K689/(Model!$B$13*I689-L689*287*K689)</f>
        <v>283.06753295470054</v>
      </c>
      <c r="O689" s="57">
        <f t="shared" si="200"/>
        <v>268.4893914773503</v>
      </c>
      <c r="P689" s="57">
        <f t="shared" si="201"/>
        <v>1.1083089452306085</v>
      </c>
      <c r="Q689" s="63">
        <f t="shared" si="212"/>
        <v>2.3679746794891873E-2</v>
      </c>
      <c r="R689" s="17">
        <f t="shared" si="213"/>
        <v>1.313089671364443E-5</v>
      </c>
      <c r="S689" s="46">
        <f>0.37*Model!$B$10*(Q689^2*(N689-K689)*I689/(R689*O689^2))^0.33333*(N689-K689)</f>
        <v>156590.60428542565</v>
      </c>
      <c r="T689" s="51">
        <f>Model!$B$32+(90-Model!$B$6)*SIN(RADIANS(-15*(E689+6)))</f>
        <v>27.982437404128682</v>
      </c>
      <c r="U689" s="46">
        <f t="shared" si="202"/>
        <v>27.982437404128682</v>
      </c>
      <c r="V689" s="51">
        <f t="shared" si="203"/>
        <v>2.1312832315768051</v>
      </c>
      <c r="W689" s="46">
        <f t="shared" si="204"/>
        <v>842.28306483086988</v>
      </c>
      <c r="X689" s="46">
        <f>0.3*W689*Model!$B$9</f>
        <v>76297.910776947654</v>
      </c>
      <c r="Y689" s="17">
        <f>(S689-X689)/Model!$B$11</f>
        <v>1.7224647325641532E-3</v>
      </c>
      <c r="Z689" s="46">
        <f t="shared" si="205"/>
        <v>48.724450055685061</v>
      </c>
      <c r="AA689" s="57">
        <f>Y689/Model!$B$12*3600</f>
        <v>11.152147902038489</v>
      </c>
      <c r="AB689" s="51">
        <f t="shared" si="210"/>
        <v>70.690352869897012</v>
      </c>
      <c r="AC689" s="51">
        <f t="shared" si="214"/>
        <v>1729.309647130103</v>
      </c>
      <c r="AD689" s="13">
        <f>IF(AE689=0, Model!$B$19, 0 )</f>
        <v>0</v>
      </c>
      <c r="AE689" s="51">
        <f>IF(AE688+AB688-AB689&lt;Model!$B$19*Model!$B$18, AE688+AB688-AB689,  0)</f>
        <v>372.94422083621652</v>
      </c>
      <c r="AF689" s="13">
        <f t="shared" si="206"/>
        <v>34.350000000000186</v>
      </c>
      <c r="AG689" s="50">
        <f t="shared" si="207"/>
        <v>0</v>
      </c>
    </row>
    <row r="690" spans="2:33" x14ac:dyDescent="0.25">
      <c r="B690" s="15">
        <f t="shared" si="208"/>
        <v>34.400000000000183</v>
      </c>
      <c r="C690" s="15">
        <f>B690+Model!$B$4</f>
        <v>36.400000000000183</v>
      </c>
      <c r="D690" s="15">
        <f t="shared" si="209"/>
        <v>2</v>
      </c>
      <c r="E690" s="15">
        <f t="shared" si="215"/>
        <v>12.400000000000183</v>
      </c>
      <c r="F690" s="16">
        <f>IF(AB690&gt;0, VLOOKUP(B690,Model!$A$40:$B$60, 2), 0)</f>
        <v>300</v>
      </c>
      <c r="G690" s="15">
        <f>IF(AB690&gt;0, VLOOKUP(B690,Model!$A$39:$C$58, 3), 0)</f>
        <v>1</v>
      </c>
      <c r="H690" s="15">
        <f t="shared" si="198"/>
        <v>97</v>
      </c>
      <c r="I690" s="45">
        <f>Model!$B$21*EXP((-0.029*9.81*F690)/(8.31*(273+J690)))</f>
        <v>100357.4491247143</v>
      </c>
      <c r="J690" s="15">
        <f>IF(Model!$B$31="Summer",  IF(F690&lt;=2000,  Model!$B$20-Model!$B$35*F690/1000,  IF(F690&lt;Model!$B$36,  Model!$B$33-6.5*F690/1000,  Model!$B$38)),     IF(F690&lt;=2000,  Model!$B$20-Model!$B$35*F690/1000,  IF(F690&lt;Model!$B$36,  Model!$B$33-5.4*F690/1000,   Model!$B$38)))</f>
        <v>-19.088750000000001</v>
      </c>
      <c r="K690" s="15">
        <f t="shared" si="211"/>
        <v>253.91125</v>
      </c>
      <c r="L690" s="45">
        <f>IF(AB689-AA689*(B690-B689)&gt;0, L689-Y689*(B690-B689)*3600-AD690*Model!$B$16, 0)</f>
        <v>559.99555980262403</v>
      </c>
      <c r="M690" s="56">
        <f t="shared" si="199"/>
        <v>10.049547949974624</v>
      </c>
      <c r="N690" s="56">
        <f>Model!$B$13*I690*K690/(Model!$B$13*I690-L690*287*K690)</f>
        <v>283.04954794997462</v>
      </c>
      <c r="O690" s="56">
        <f t="shared" si="200"/>
        <v>268.48039897498734</v>
      </c>
      <c r="P690" s="56">
        <f t="shared" si="201"/>
        <v>1.0956194071931105</v>
      </c>
      <c r="Q690" s="62">
        <f t="shared" si="212"/>
        <v>2.3679108327224103E-2</v>
      </c>
      <c r="R690" s="33">
        <f t="shared" si="213"/>
        <v>1.3129961493398684E-5</v>
      </c>
      <c r="S690" s="45">
        <f>0.37*Model!$B$10*(Q690^2*(N690-K690)*I690/(R690*O690^2))^0.33333*(N690-K690)</f>
        <v>156466.2235352741</v>
      </c>
      <c r="T690" s="50">
        <f>Model!$B$32+(90-Model!$B$6)*SIN(RADIANS(-15*(E690+6)))</f>
        <v>27.937531276905069</v>
      </c>
      <c r="U690" s="45">
        <f t="shared" si="202"/>
        <v>27.937531276905069</v>
      </c>
      <c r="V690" s="50">
        <f t="shared" si="203"/>
        <v>2.1344324487225705</v>
      </c>
      <c r="W690" s="45">
        <f t="shared" si="204"/>
        <v>841.64189094777532</v>
      </c>
      <c r="X690" s="45">
        <f>0.3*W690*Model!$B$9</f>
        <v>76239.830269612881</v>
      </c>
      <c r="Y690" s="33">
        <f>(S690-X690)/Model!$B$11</f>
        <v>1.7210424383923891E-3</v>
      </c>
      <c r="Z690" s="45">
        <f t="shared" si="205"/>
        <v>48.726062754639955</v>
      </c>
      <c r="AA690" s="56">
        <f>Y690/Model!$B$12*3600</f>
        <v>11.142939217144194</v>
      </c>
      <c r="AB690" s="50">
        <f t="shared" si="210"/>
        <v>70.132745474795115</v>
      </c>
      <c r="AC690" s="50">
        <f t="shared" si="214"/>
        <v>1729.8672545252048</v>
      </c>
      <c r="AD690" s="15">
        <f>IF(AE690=0, Model!$B$19, 0 )</f>
        <v>0</v>
      </c>
      <c r="AE690" s="50">
        <f>IF(AE689+AB689-AB690&lt;Model!$B$19*Model!$B$18, AE689+AB689-AB690,  0)</f>
        <v>373.50182823131843</v>
      </c>
      <c r="AF690" s="15">
        <f t="shared" si="206"/>
        <v>34.400000000000183</v>
      </c>
      <c r="AG690" s="50">
        <f t="shared" si="207"/>
        <v>0</v>
      </c>
    </row>
    <row r="691" spans="2:33" x14ac:dyDescent="0.25">
      <c r="B691" s="13">
        <f t="shared" si="208"/>
        <v>34.45000000000018</v>
      </c>
      <c r="C691" s="13">
        <f>B691+Model!$B$4</f>
        <v>36.45000000000018</v>
      </c>
      <c r="D691" s="13">
        <f t="shared" si="209"/>
        <v>2</v>
      </c>
      <c r="E691" s="13">
        <f t="shared" si="215"/>
        <v>12.45000000000018</v>
      </c>
      <c r="F691" s="14">
        <f>IF(AB691&gt;0, VLOOKUP(B691,Model!$A$40:$B$60, 2), 0)</f>
        <v>300</v>
      </c>
      <c r="G691" s="13">
        <f>IF(AB691&gt;0, VLOOKUP(B691,Model!$A$39:$C$58, 3), 0)</f>
        <v>1</v>
      </c>
      <c r="H691" s="13">
        <f t="shared" si="198"/>
        <v>97</v>
      </c>
      <c r="I691" s="46">
        <f>Model!$B$21*EXP((-0.029*9.81*F691)/(8.31*(273+J691)))</f>
        <v>100357.4491247143</v>
      </c>
      <c r="J691" s="13">
        <f>IF(Model!$B$31="Summer",  IF(F691&lt;=2000,  Model!$B$20-Model!$B$35*F691/1000,  IF(F691&lt;Model!$B$36,  Model!$B$33-6.5*F691/1000,  Model!$B$38)),     IF(F691&lt;=2000,  Model!$B$20-Model!$B$35*F691/1000,  IF(F691&lt;Model!$B$36,  Model!$B$33-5.4*F691/1000,   Model!$B$38)))</f>
        <v>-19.088750000000001</v>
      </c>
      <c r="K691" s="13">
        <f t="shared" si="211"/>
        <v>253.91125</v>
      </c>
      <c r="L691" s="46">
        <f>IF(AB690-AA690*(B691-B690)&gt;0, L690-Y690*(B691-B690)*3600-AD691*Model!$B$16, 0)</f>
        <v>559.68577216371341</v>
      </c>
      <c r="M691" s="57">
        <f t="shared" si="199"/>
        <v>10.03158007846082</v>
      </c>
      <c r="N691" s="57">
        <f>Model!$B$13*I691*K691/(Model!$B$13*I691-L691*287*K691)</f>
        <v>283.03158007846082</v>
      </c>
      <c r="O691" s="57">
        <f t="shared" si="200"/>
        <v>268.47141503923041</v>
      </c>
      <c r="P691" s="57">
        <f t="shared" si="201"/>
        <v>1.082360978882245</v>
      </c>
      <c r="Q691" s="63">
        <f t="shared" si="212"/>
        <v>2.3678470467785359E-2</v>
      </c>
      <c r="R691" s="17">
        <f t="shared" si="213"/>
        <v>1.3129027164079961E-5</v>
      </c>
      <c r="S691" s="46">
        <f>0.37*Model!$B$10*(Q691^2*(N691-K691)*I691/(R691*O691^2))^0.33333*(N691-K691)</f>
        <v>156341.98093314382</v>
      </c>
      <c r="T691" s="51">
        <f>Model!$B$32+(90-Model!$B$6)*SIN(RADIANS(-15*(E691+6)))</f>
        <v>27.886660932437906</v>
      </c>
      <c r="U691" s="46">
        <f t="shared" si="202"/>
        <v>27.886660932437906</v>
      </c>
      <c r="V691" s="51">
        <f t="shared" si="203"/>
        <v>2.1380127806642917</v>
      </c>
      <c r="W691" s="46">
        <f t="shared" si="204"/>
        <v>840.91353590350263</v>
      </c>
      <c r="X691" s="46">
        <f>0.3*W691*Model!$B$9</f>
        <v>76173.852487911892</v>
      </c>
      <c r="Y691" s="17">
        <f>(S691-X691)/Model!$B$11</f>
        <v>1.7197925226908059E-3</v>
      </c>
      <c r="Z691" s="46">
        <f t="shared" si="205"/>
        <v>48.722583680506098</v>
      </c>
      <c r="AA691" s="57">
        <f>Y691/Model!$B$12*3600</f>
        <v>11.134846601658021</v>
      </c>
      <c r="AB691" s="51">
        <f t="shared" si="210"/>
        <v>69.575598513937933</v>
      </c>
      <c r="AC691" s="51">
        <f t="shared" si="214"/>
        <v>1730.4244014860622</v>
      </c>
      <c r="AD691" s="13">
        <f>IF(AE691=0, Model!$B$19, 0 )</f>
        <v>0</v>
      </c>
      <c r="AE691" s="51">
        <f>IF(AE690+AB690-AB691&lt;Model!$B$19*Model!$B$18, AE690+AB690-AB691,  0)</f>
        <v>374.05897519217558</v>
      </c>
      <c r="AF691" s="13">
        <f t="shared" si="206"/>
        <v>34.45000000000018</v>
      </c>
      <c r="AG691" s="50">
        <f t="shared" si="207"/>
        <v>0</v>
      </c>
    </row>
    <row r="692" spans="2:33" x14ac:dyDescent="0.25">
      <c r="B692" s="15">
        <f t="shared" si="208"/>
        <v>34.500000000000178</v>
      </c>
      <c r="C692" s="15">
        <f>B692+Model!$B$4</f>
        <v>36.500000000000178</v>
      </c>
      <c r="D692" s="15">
        <f t="shared" si="209"/>
        <v>2</v>
      </c>
      <c r="E692" s="15">
        <f t="shared" si="215"/>
        <v>12.500000000000178</v>
      </c>
      <c r="F692" s="16">
        <f>IF(AB692&gt;0, VLOOKUP(B692,Model!$A$40:$B$60, 2), 0)</f>
        <v>300</v>
      </c>
      <c r="G692" s="15">
        <f>IF(AB692&gt;0, VLOOKUP(B692,Model!$A$39:$C$58, 3), 0)</f>
        <v>1</v>
      </c>
      <c r="H692" s="15">
        <f t="shared" si="198"/>
        <v>97</v>
      </c>
      <c r="I692" s="45">
        <f>Model!$B$21*EXP((-0.029*9.81*F692)/(8.31*(273+J692)))</f>
        <v>100357.4491247143</v>
      </c>
      <c r="J692" s="15">
        <f>IF(Model!$B$31="Summer",  IF(F692&lt;=2000,  Model!$B$20-Model!$B$35*F692/1000,  IF(F692&lt;Model!$B$36,  Model!$B$33-6.5*F692/1000,  Model!$B$38)),     IF(F692&lt;=2000,  Model!$B$20-Model!$B$35*F692/1000,  IF(F692&lt;Model!$B$36,  Model!$B$33-5.4*F692/1000,   Model!$B$38)))</f>
        <v>-19.088750000000001</v>
      </c>
      <c r="K692" s="15">
        <f t="shared" si="211"/>
        <v>253.91125</v>
      </c>
      <c r="L692" s="45">
        <f>IF(AB691-AA691*(B692-B691)&gt;0, L691-Y691*(B692-B691)*3600-AD692*Model!$B$16, 0)</f>
        <v>559.37620950962912</v>
      </c>
      <c r="M692" s="56">
        <f t="shared" si="199"/>
        <v>10.013627534761326</v>
      </c>
      <c r="N692" s="56">
        <f>Model!$B$13*I692*K692/(Model!$B$13*I692-L692*287*K692)</f>
        <v>283.01362753476133</v>
      </c>
      <c r="O692" s="56">
        <f t="shared" si="200"/>
        <v>268.46243876738066</v>
      </c>
      <c r="P692" s="56">
        <f t="shared" si="201"/>
        <v>1.0685290067373465</v>
      </c>
      <c r="Q692" s="62">
        <f t="shared" si="212"/>
        <v>2.3677833152484028E-2</v>
      </c>
      <c r="R692" s="33">
        <f t="shared" si="213"/>
        <v>1.3128093631807589E-5</v>
      </c>
      <c r="S692" s="45">
        <f>0.37*Model!$B$10*(Q692^2*(N692-K692)*I692/(R692*O692^2))^0.33333*(N692-K692)</f>
        <v>156217.86395408792</v>
      </c>
      <c r="T692" s="50">
        <f>Model!$B$32+(90-Model!$B$6)*SIN(RADIANS(-15*(E692+6)))</f>
        <v>27.829835087098829</v>
      </c>
      <c r="U692" s="45">
        <f t="shared" si="202"/>
        <v>27.829835087098829</v>
      </c>
      <c r="V692" s="50">
        <f t="shared" si="203"/>
        <v>2.1420284997196068</v>
      </c>
      <c r="W692" s="45">
        <f t="shared" si="204"/>
        <v>840.09735903504622</v>
      </c>
      <c r="X692" s="45">
        <f>0.3*W692*Model!$B$9</f>
        <v>76099.919397614984</v>
      </c>
      <c r="Y692" s="33">
        <f>(S692-X692)/Model!$B$11</f>
        <v>1.7187159617392028E-3</v>
      </c>
      <c r="Z692" s="45">
        <f t="shared" si="205"/>
        <v>48.713967449958588</v>
      </c>
      <c r="AA692" s="56">
        <f>Y692/Model!$B$12*3600</f>
        <v>11.127876376531866</v>
      </c>
      <c r="AB692" s="50">
        <f t="shared" si="210"/>
        <v>69.018856183855064</v>
      </c>
      <c r="AC692" s="50">
        <f t="shared" si="214"/>
        <v>1730.981143816145</v>
      </c>
      <c r="AD692" s="15">
        <f>IF(AE692=0, Model!$B$19, 0 )</f>
        <v>0</v>
      </c>
      <c r="AE692" s="50">
        <f>IF(AE691+AB691-AB692&lt;Model!$B$19*Model!$B$18, AE691+AB691-AB692,  0)</f>
        <v>374.61571752225848</v>
      </c>
      <c r="AF692" s="15">
        <f t="shared" si="206"/>
        <v>34.500000000000178</v>
      </c>
      <c r="AG692" s="50">
        <f t="shared" si="207"/>
        <v>0</v>
      </c>
    </row>
    <row r="693" spans="2:33" x14ac:dyDescent="0.25">
      <c r="B693" s="13">
        <f t="shared" si="208"/>
        <v>34.550000000000175</v>
      </c>
      <c r="C693" s="13">
        <f>B693+Model!$B$4</f>
        <v>36.550000000000175</v>
      </c>
      <c r="D693" s="13">
        <f t="shared" si="209"/>
        <v>2</v>
      </c>
      <c r="E693" s="13">
        <f t="shared" si="215"/>
        <v>12.550000000000175</v>
      </c>
      <c r="F693" s="14">
        <f>IF(AB693&gt;0, VLOOKUP(B693,Model!$A$40:$B$60, 2), 0)</f>
        <v>300</v>
      </c>
      <c r="G693" s="13">
        <f>IF(AB693&gt;0, VLOOKUP(B693,Model!$A$39:$C$58, 3), 0)</f>
        <v>1</v>
      </c>
      <c r="H693" s="13">
        <f t="shared" si="198"/>
        <v>97</v>
      </c>
      <c r="I693" s="46">
        <f>Model!$B$21*EXP((-0.029*9.81*F693)/(8.31*(273+J693)))</f>
        <v>100357.4491247143</v>
      </c>
      <c r="J693" s="13">
        <f>IF(Model!$B$31="Summer",  IF(F693&lt;=2000,  Model!$B$20-Model!$B$35*F693/1000,  IF(F693&lt;Model!$B$36,  Model!$B$33-6.5*F693/1000,  Model!$B$38)),     IF(F693&lt;=2000,  Model!$B$20-Model!$B$35*F693/1000,  IF(F693&lt;Model!$B$36,  Model!$B$33-5.4*F693/1000,   Model!$B$38)))</f>
        <v>-19.088750000000001</v>
      </c>
      <c r="K693" s="13">
        <f t="shared" si="211"/>
        <v>253.91125</v>
      </c>
      <c r="L693" s="46">
        <f>IF(AB692-AA692*(B693-B692)&gt;0, L692-Y692*(B693-B692)*3600-AD693*Model!$B$16, 0)</f>
        <v>559.06684063651608</v>
      </c>
      <c r="M693" s="57">
        <f t="shared" si="199"/>
        <v>9.9956885042082035</v>
      </c>
      <c r="N693" s="57">
        <f>Model!$B$13*I693*K693/(Model!$B$13*I693-L693*287*K693)</f>
        <v>282.9956885042082</v>
      </c>
      <c r="O693" s="57">
        <f t="shared" si="200"/>
        <v>268.45346925210413</v>
      </c>
      <c r="P693" s="57">
        <f t="shared" si="201"/>
        <v>1.0541183123377431</v>
      </c>
      <c r="Q693" s="63">
        <f t="shared" si="212"/>
        <v>2.3677196316899393E-2</v>
      </c>
      <c r="R693" s="17">
        <f t="shared" si="213"/>
        <v>1.3127160802218827E-5</v>
      </c>
      <c r="S693" s="46">
        <f>0.37*Model!$B$10*(Q693^2*(N693-K693)*I693/(R693*O693^2))^0.33333*(N693-K693)</f>
        <v>156093.86001697701</v>
      </c>
      <c r="T693" s="51">
        <f>Model!$B$32+(90-Model!$B$6)*SIN(RADIANS(-15*(E693+6)))</f>
        <v>27.7670634777039</v>
      </c>
      <c r="U693" s="46">
        <f t="shared" si="202"/>
        <v>27.7670634777039</v>
      </c>
      <c r="V693" s="51">
        <f t="shared" si="203"/>
        <v>2.1464844197357329</v>
      </c>
      <c r="W693" s="46">
        <f t="shared" si="204"/>
        <v>839.19264049429171</v>
      </c>
      <c r="X693" s="46">
        <f>0.3*W693*Model!$B$9</f>
        <v>76017.965791537674</v>
      </c>
      <c r="Y693" s="17">
        <f>(S693-X693)/Model!$B$11</f>
        <v>1.7178138844886697E-3</v>
      </c>
      <c r="Z693" s="46">
        <f t="shared" si="205"/>
        <v>48.700163980357615</v>
      </c>
      <c r="AA693" s="57">
        <f>Y693/Model!$B$12*3600</f>
        <v>11.122035851192322</v>
      </c>
      <c r="AB693" s="51">
        <f t="shared" si="210"/>
        <v>68.4624623650285</v>
      </c>
      <c r="AC693" s="51">
        <f t="shared" si="214"/>
        <v>1731.5375376349716</v>
      </c>
      <c r="AD693" s="13">
        <f>IF(AE693=0, Model!$B$19, 0 )</f>
        <v>0</v>
      </c>
      <c r="AE693" s="51">
        <f>IF(AE692+AB692-AB693&lt;Model!$B$19*Model!$B$18, AE692+AB692-AB693,  0)</f>
        <v>375.17211134108504</v>
      </c>
      <c r="AF693" s="13">
        <f t="shared" si="206"/>
        <v>34.550000000000175</v>
      </c>
      <c r="AG693" s="50">
        <f t="shared" si="207"/>
        <v>0</v>
      </c>
    </row>
    <row r="694" spans="2:33" x14ac:dyDescent="0.25">
      <c r="B694" s="15">
        <f t="shared" si="208"/>
        <v>34.600000000000172</v>
      </c>
      <c r="C694" s="15">
        <f>B694+Model!$B$4</f>
        <v>36.600000000000172</v>
      </c>
      <c r="D694" s="15">
        <f t="shared" si="209"/>
        <v>2</v>
      </c>
      <c r="E694" s="15">
        <f t="shared" si="215"/>
        <v>12.600000000000172</v>
      </c>
      <c r="F694" s="16">
        <f>IF(AB694&gt;0, VLOOKUP(B694,Model!$A$40:$B$60, 2), 0)</f>
        <v>300</v>
      </c>
      <c r="G694" s="15">
        <f>IF(AB694&gt;0, VLOOKUP(B694,Model!$A$39:$C$58, 3), 0)</f>
        <v>1</v>
      </c>
      <c r="H694" s="15">
        <f t="shared" si="198"/>
        <v>97</v>
      </c>
      <c r="I694" s="45">
        <f>Model!$B$21*EXP((-0.029*9.81*F694)/(8.31*(273+J694)))</f>
        <v>100357.4491247143</v>
      </c>
      <c r="J694" s="15">
        <f>IF(Model!$B$31="Summer",  IF(F694&lt;=2000,  Model!$B$20-Model!$B$35*F694/1000,  IF(F694&lt;Model!$B$36,  Model!$B$33-6.5*F694/1000,  Model!$B$38)),     IF(F694&lt;=2000,  Model!$B$20-Model!$B$35*F694/1000,  IF(F694&lt;Model!$B$36,  Model!$B$33-5.4*F694/1000,   Model!$B$38)))</f>
        <v>-19.088750000000001</v>
      </c>
      <c r="K694" s="15">
        <f t="shared" si="211"/>
        <v>253.91125</v>
      </c>
      <c r="L694" s="45">
        <f>IF(AB693-AA693*(B694-B693)&gt;0, L693-Y693*(B694-B693)*3600-AD694*Model!$B$16, 0)</f>
        <v>558.75763413730817</v>
      </c>
      <c r="M694" s="56">
        <f t="shared" si="199"/>
        <v>9.9777611612748274</v>
      </c>
      <c r="N694" s="56">
        <f>Model!$B$13*I694*K694/(Model!$B$13*I694-L694*287*K694)</f>
        <v>282.97776116127483</v>
      </c>
      <c r="O694" s="56">
        <f t="shared" si="200"/>
        <v>268.44450558063738</v>
      </c>
      <c r="P694" s="56">
        <f t="shared" si="201"/>
        <v>1.0391231839326913</v>
      </c>
      <c r="Q694" s="62">
        <f t="shared" si="212"/>
        <v>2.3676559896225254E-2</v>
      </c>
      <c r="R694" s="33">
        <f t="shared" si="213"/>
        <v>1.3126228580386287E-5</v>
      </c>
      <c r="S694" s="45">
        <f>0.37*Model!$B$10*(Q694^2*(N694-K694)*I694/(R694*O694^2))^0.33333*(N694-K694)</f>
        <v>155969.95647356778</v>
      </c>
      <c r="T694" s="50">
        <f>Model!$B$32+(90-Model!$B$6)*SIN(RADIANS(-15*(E694+6)))</f>
        <v>27.698356859845255</v>
      </c>
      <c r="U694" s="45">
        <f t="shared" si="202"/>
        <v>27.698356859845255</v>
      </c>
      <c r="V694" s="50">
        <f t="shared" si="203"/>
        <v>2.1513859095273675</v>
      </c>
      <c r="W694" s="45">
        <f t="shared" si="204"/>
        <v>838.1985799491838</v>
      </c>
      <c r="X694" s="45">
        <f>0.3*W694*Model!$B$9</f>
        <v>75927.919171886417</v>
      </c>
      <c r="Y694" s="33">
        <f>(S694-X694)/Model!$B$11</f>
        <v>1.717087574851043E-3</v>
      </c>
      <c r="Z694" s="45">
        <f t="shared" si="205"/>
        <v>48.681118395230122</v>
      </c>
      <c r="AA694" s="56">
        <f>Y694/Model!$B$12*3600</f>
        <v>11.117333338363842</v>
      </c>
      <c r="AB694" s="50">
        <f t="shared" si="210"/>
        <v>67.906360572468913</v>
      </c>
      <c r="AC694" s="50">
        <f t="shared" si="214"/>
        <v>1732.0936394275311</v>
      </c>
      <c r="AD694" s="15">
        <f>IF(AE694=0, Model!$B$19, 0 )</f>
        <v>0</v>
      </c>
      <c r="AE694" s="50">
        <f>IF(AE693+AB693-AB694&lt;Model!$B$19*Model!$B$18, AE693+AB693-AB694,  0)</f>
        <v>375.72821313364466</v>
      </c>
      <c r="AF694" s="15">
        <f t="shared" si="206"/>
        <v>34.600000000000172</v>
      </c>
      <c r="AG694" s="50">
        <f t="shared" si="207"/>
        <v>0</v>
      </c>
    </row>
    <row r="695" spans="2:33" x14ac:dyDescent="0.25">
      <c r="B695" s="13">
        <f t="shared" si="208"/>
        <v>34.650000000000169</v>
      </c>
      <c r="C695" s="13">
        <f>B695+Model!$B$4</f>
        <v>36.650000000000169</v>
      </c>
      <c r="D695" s="13">
        <f t="shared" si="209"/>
        <v>2</v>
      </c>
      <c r="E695" s="13">
        <f t="shared" si="215"/>
        <v>12.650000000000169</v>
      </c>
      <c r="F695" s="14">
        <f>IF(AB695&gt;0, VLOOKUP(B695,Model!$A$40:$B$60, 2), 0)</f>
        <v>300</v>
      </c>
      <c r="G695" s="13">
        <f>IF(AB695&gt;0, VLOOKUP(B695,Model!$A$39:$C$58, 3), 0)</f>
        <v>1</v>
      </c>
      <c r="H695" s="13">
        <f t="shared" si="198"/>
        <v>97</v>
      </c>
      <c r="I695" s="46">
        <f>Model!$B$21*EXP((-0.029*9.81*F695)/(8.31*(273+J695)))</f>
        <v>100357.4491247143</v>
      </c>
      <c r="J695" s="13">
        <f>IF(Model!$B$31="Summer",  IF(F695&lt;=2000,  Model!$B$20-Model!$B$35*F695/1000,  IF(F695&lt;Model!$B$36,  Model!$B$33-6.5*F695/1000,  Model!$B$38)),     IF(F695&lt;=2000,  Model!$B$20-Model!$B$35*F695/1000,  IF(F695&lt;Model!$B$36,  Model!$B$33-5.4*F695/1000,   Model!$B$38)))</f>
        <v>-19.088750000000001</v>
      </c>
      <c r="K695" s="13">
        <f t="shared" si="211"/>
        <v>253.91125</v>
      </c>
      <c r="L695" s="46">
        <f>IF(AB694-AA694*(B695-B694)&gt;0, L694-Y694*(B695-B694)*3600-AD695*Model!$B$16, 0)</f>
        <v>558.448558373835</v>
      </c>
      <c r="M695" s="57">
        <f t="shared" si="199"/>
        <v>9.9598436679643783</v>
      </c>
      <c r="N695" s="57">
        <f>Model!$B$13*I695*K695/(Model!$B$13*I695-L695*287*K695)</f>
        <v>282.95984366796438</v>
      </c>
      <c r="O695" s="57">
        <f t="shared" si="200"/>
        <v>268.43554683398219</v>
      </c>
      <c r="P695" s="57">
        <f t="shared" si="201"/>
        <v>1.0235373669767469</v>
      </c>
      <c r="Q695" s="63">
        <f t="shared" si="212"/>
        <v>2.3675923825212736E-2</v>
      </c>
      <c r="R695" s="17">
        <f t="shared" si="213"/>
        <v>1.3125296870734146E-5</v>
      </c>
      <c r="S695" s="46">
        <f>0.37*Model!$B$10*(Q695^2*(N695-K695)*I695/(R695*O695^2))^0.33333*(N695-K695)</f>
        <v>155846.14059742543</v>
      </c>
      <c r="T695" s="51">
        <f>Model!$B$32+(90-Model!$B$6)*SIN(RADIANS(-15*(E695+6)))</f>
        <v>27.623727006048135</v>
      </c>
      <c r="U695" s="46">
        <f t="shared" si="202"/>
        <v>27.623727006048135</v>
      </c>
      <c r="V695" s="51">
        <f t="shared" si="203"/>
        <v>2.1567389079838444</v>
      </c>
      <c r="W695" s="46">
        <f t="shared" si="204"/>
        <v>837.11429513331404</v>
      </c>
      <c r="X695" s="46">
        <f>0.3*W695*Model!$B$9</f>
        <v>75829.699618873507</v>
      </c>
      <c r="Y695" s="17">
        <f>(S695-X695)/Model!$B$11</f>
        <v>1.7165384742797796E-3</v>
      </c>
      <c r="Z695" s="46">
        <f t="shared" si="205"/>
        <v>48.656770920463977</v>
      </c>
      <c r="AA695" s="57">
        <f>Y695/Model!$B$12*3600</f>
        <v>11.113778170778664</v>
      </c>
      <c r="AB695" s="51">
        <f t="shared" si="210"/>
        <v>67.350493905550749</v>
      </c>
      <c r="AC695" s="51">
        <f t="shared" si="214"/>
        <v>1732.6495060944492</v>
      </c>
      <c r="AD695" s="13">
        <f>IF(AE695=0, Model!$B$19, 0 )</f>
        <v>0</v>
      </c>
      <c r="AE695" s="51">
        <f>IF(AE694+AB694-AB695&lt;Model!$B$19*Model!$B$18, AE694+AB694-AB695,  0)</f>
        <v>376.28407980056278</v>
      </c>
      <c r="AF695" s="13">
        <f t="shared" si="206"/>
        <v>34.650000000000169</v>
      </c>
      <c r="AG695" s="50">
        <f t="shared" si="207"/>
        <v>0</v>
      </c>
    </row>
    <row r="696" spans="2:33" x14ac:dyDescent="0.25">
      <c r="B696" s="15">
        <f t="shared" si="208"/>
        <v>34.700000000000166</v>
      </c>
      <c r="C696" s="15">
        <f>B696+Model!$B$4</f>
        <v>36.700000000000166</v>
      </c>
      <c r="D696" s="15">
        <f t="shared" si="209"/>
        <v>2</v>
      </c>
      <c r="E696" s="15">
        <f t="shared" si="215"/>
        <v>12.700000000000166</v>
      </c>
      <c r="F696" s="16">
        <f>IF(AB696&gt;0, VLOOKUP(B696,Model!$A$40:$B$60, 2), 0)</f>
        <v>300</v>
      </c>
      <c r="G696" s="15">
        <f>IF(AB696&gt;0, VLOOKUP(B696,Model!$A$39:$C$58, 3), 0)</f>
        <v>1</v>
      </c>
      <c r="H696" s="15">
        <f t="shared" si="198"/>
        <v>97</v>
      </c>
      <c r="I696" s="45">
        <f>Model!$B$21*EXP((-0.029*9.81*F696)/(8.31*(273+J696)))</f>
        <v>100357.4491247143</v>
      </c>
      <c r="J696" s="15">
        <f>IF(Model!$B$31="Summer",  IF(F696&lt;=2000,  Model!$B$20-Model!$B$35*F696/1000,  IF(F696&lt;Model!$B$36,  Model!$B$33-6.5*F696/1000,  Model!$B$38)),     IF(F696&lt;=2000,  Model!$B$20-Model!$B$35*F696/1000,  IF(F696&lt;Model!$B$36,  Model!$B$33-5.4*F696/1000,   Model!$B$38)))</f>
        <v>-19.088750000000001</v>
      </c>
      <c r="K696" s="15">
        <f t="shared" si="211"/>
        <v>253.91125</v>
      </c>
      <c r="L696" s="45">
        <f>IF(AB695-AA695*(B696-B695)&gt;0, L695-Y695*(B696-B695)*3600-AD696*Model!$B$16, 0)</f>
        <v>558.1395814484647</v>
      </c>
      <c r="M696" s="56">
        <f t="shared" si="199"/>
        <v>9.94193417217366</v>
      </c>
      <c r="N696" s="56">
        <f>Model!$B$13*I696*K696/(Model!$B$13*I696-L696*287*K696)</f>
        <v>282.94193417217366</v>
      </c>
      <c r="O696" s="56">
        <f t="shared" si="200"/>
        <v>268.42659208608683</v>
      </c>
      <c r="P696" s="56">
        <f t="shared" si="201"/>
        <v>1.0073540536422563</v>
      </c>
      <c r="Q696" s="62">
        <f t="shared" si="212"/>
        <v>2.3675288038112165E-2</v>
      </c>
      <c r="R696" s="33">
        <f t="shared" si="213"/>
        <v>1.312436557695303E-5</v>
      </c>
      <c r="S696" s="45">
        <f>0.37*Model!$B$10*(Q696^2*(N696-K696)*I696/(R696*O696^2))^0.33333*(N696-K696)</f>
        <v>155722.39957268877</v>
      </c>
      <c r="T696" s="50">
        <f>Model!$B$32+(90-Model!$B$6)*SIN(RADIANS(-15*(E696+6)))</f>
        <v>27.543186703753811</v>
      </c>
      <c r="U696" s="45">
        <f t="shared" si="202"/>
        <v>27.543186703753811</v>
      </c>
      <c r="V696" s="50">
        <f t="shared" si="203"/>
        <v>2.1625499409272817</v>
      </c>
      <c r="W696" s="45">
        <f t="shared" si="204"/>
        <v>835.93882023933202</v>
      </c>
      <c r="X696" s="45">
        <f>0.3*W696*Model!$B$9</f>
        <v>75723.219645184858</v>
      </c>
      <c r="Y696" s="33">
        <f>(S696-X696)/Model!$B$11</f>
        <v>1.7161681846509472E-3</v>
      </c>
      <c r="Z696" s="45">
        <f t="shared" si="205"/>
        <v>48.627056770878006</v>
      </c>
      <c r="AA696" s="56">
        <f>Y696/Model!$B$12*3600</f>
        <v>11.111380719829882</v>
      </c>
      <c r="AB696" s="50">
        <f t="shared" si="210"/>
        <v>66.794804997011852</v>
      </c>
      <c r="AC696" s="50">
        <f t="shared" si="214"/>
        <v>1733.2051950029881</v>
      </c>
      <c r="AD696" s="15">
        <f>IF(AE696=0, Model!$B$19, 0 )</f>
        <v>0</v>
      </c>
      <c r="AE696" s="50">
        <f>IF(AE695+AB695-AB696&lt;Model!$B$19*Model!$B$18, AE695+AB695-AB696,  0)</f>
        <v>376.83976870910169</v>
      </c>
      <c r="AF696" s="15">
        <f t="shared" si="206"/>
        <v>34.700000000000166</v>
      </c>
      <c r="AG696" s="50">
        <f t="shared" si="207"/>
        <v>0</v>
      </c>
    </row>
    <row r="697" spans="2:33" x14ac:dyDescent="0.25">
      <c r="B697" s="13">
        <f t="shared" si="208"/>
        <v>34.750000000000163</v>
      </c>
      <c r="C697" s="13">
        <f>B697+Model!$B$4</f>
        <v>36.750000000000163</v>
      </c>
      <c r="D697" s="13">
        <f t="shared" si="209"/>
        <v>2</v>
      </c>
      <c r="E697" s="13">
        <f t="shared" si="215"/>
        <v>12.750000000000163</v>
      </c>
      <c r="F697" s="14">
        <f>IF(AB697&gt;0, VLOOKUP(B697,Model!$A$40:$B$60, 2), 0)</f>
        <v>300</v>
      </c>
      <c r="G697" s="13">
        <f>IF(AB697&gt;0, VLOOKUP(B697,Model!$A$39:$C$58, 3), 0)</f>
        <v>1</v>
      </c>
      <c r="H697" s="13">
        <f t="shared" si="198"/>
        <v>97</v>
      </c>
      <c r="I697" s="46">
        <f>Model!$B$21*EXP((-0.029*9.81*F697)/(8.31*(273+J697)))</f>
        <v>100357.4491247143</v>
      </c>
      <c r="J697" s="13">
        <f>IF(Model!$B$31="Summer",  IF(F697&lt;=2000,  Model!$B$20-Model!$B$35*F697/1000,  IF(F697&lt;Model!$B$36,  Model!$B$33-6.5*F697/1000,  Model!$B$38)),     IF(F697&lt;=2000,  Model!$B$20-Model!$B$35*F697/1000,  IF(F697&lt;Model!$B$36,  Model!$B$33-5.4*F697/1000,   Model!$B$38)))</f>
        <v>-19.088750000000001</v>
      </c>
      <c r="K697" s="13">
        <f t="shared" si="211"/>
        <v>253.91125</v>
      </c>
      <c r="L697" s="46">
        <f>IF(AB696-AA696*(B697-B696)&gt;0, L696-Y696*(B697-B696)*3600-AD697*Model!$B$16, 0)</f>
        <v>557.83067117522751</v>
      </c>
      <c r="M697" s="57">
        <f t="shared" si="199"/>
        <v>9.9240308060275311</v>
      </c>
      <c r="N697" s="57">
        <f>Model!$B$13*I697*K697/(Model!$B$13*I697-L697*287*K697)</f>
        <v>282.92403080602753</v>
      </c>
      <c r="O697" s="57">
        <f t="shared" si="200"/>
        <v>268.41764040301376</v>
      </c>
      <c r="P697" s="57">
        <f t="shared" si="201"/>
        <v>0.99056587127597862</v>
      </c>
      <c r="Q697" s="63">
        <f t="shared" si="212"/>
        <v>2.3674652468613978E-2</v>
      </c>
      <c r="R697" s="17">
        <f t="shared" si="213"/>
        <v>1.312343460191343E-5</v>
      </c>
      <c r="S697" s="46">
        <f>0.37*Model!$B$10*(Q697^2*(N697-K697)*I697/(R697*O697^2))^0.33333*(N697-K697)</f>
        <v>155598.7204826441</v>
      </c>
      <c r="T697" s="51">
        <f>Model!$B$32+(90-Model!$B$6)*SIN(RADIANS(-15*(E697+6)))</f>
        <v>27.456749753128449</v>
      </c>
      <c r="U697" s="46">
        <f t="shared" si="202"/>
        <v>27.456749753128449</v>
      </c>
      <c r="V697" s="51">
        <f t="shared" si="203"/>
        <v>2.168826139813953</v>
      </c>
      <c r="W697" s="46">
        <f t="shared" si="204"/>
        <v>834.67110415106197</v>
      </c>
      <c r="X697" s="46">
        <f>0.3*W697*Model!$B$9</f>
        <v>75608.384035836891</v>
      </c>
      <c r="Y697" s="17">
        <f>(S697-X697)/Model!$B$11</f>
        <v>1.7159784714535495E-3</v>
      </c>
      <c r="Z697" s="46">
        <f t="shared" si="205"/>
        <v>48.591906026804665</v>
      </c>
      <c r="AA697" s="57">
        <f>Y697/Model!$B$12*3600</f>
        <v>11.110152416227288</v>
      </c>
      <c r="AB697" s="51">
        <f t="shared" si="210"/>
        <v>66.239235961020384</v>
      </c>
      <c r="AC697" s="51">
        <f t="shared" si="214"/>
        <v>1733.7607640389797</v>
      </c>
      <c r="AD697" s="13">
        <f>IF(AE697=0, Model!$B$19, 0 )</f>
        <v>0</v>
      </c>
      <c r="AE697" s="51">
        <f>IF(AE696+AB696-AB697&lt;Model!$B$19*Model!$B$18, AE696+AB696-AB697,  0)</f>
        <v>377.39533774509317</v>
      </c>
      <c r="AF697" s="13">
        <f t="shared" si="206"/>
        <v>34.750000000000163</v>
      </c>
      <c r="AG697" s="50">
        <f t="shared" si="207"/>
        <v>0</v>
      </c>
    </row>
    <row r="698" spans="2:33" x14ac:dyDescent="0.25">
      <c r="B698" s="15">
        <f t="shared" si="208"/>
        <v>34.800000000000161</v>
      </c>
      <c r="C698" s="15">
        <f>B698+Model!$B$4</f>
        <v>36.800000000000161</v>
      </c>
      <c r="D698" s="15">
        <f t="shared" si="209"/>
        <v>2</v>
      </c>
      <c r="E698" s="15">
        <f t="shared" si="215"/>
        <v>12.800000000000161</v>
      </c>
      <c r="F698" s="16">
        <f>IF(AB698&gt;0, VLOOKUP(B698,Model!$A$40:$B$60, 2), 0)</f>
        <v>300</v>
      </c>
      <c r="G698" s="15">
        <f>IF(AB698&gt;0, VLOOKUP(B698,Model!$A$39:$C$58, 3), 0)</f>
        <v>1</v>
      </c>
      <c r="H698" s="15">
        <f t="shared" si="198"/>
        <v>97</v>
      </c>
      <c r="I698" s="45">
        <f>Model!$B$21*EXP((-0.029*9.81*F698)/(8.31*(273+J698)))</f>
        <v>100357.4491247143</v>
      </c>
      <c r="J698" s="15">
        <f>IF(Model!$B$31="Summer",  IF(F698&lt;=2000,  Model!$B$20-Model!$B$35*F698/1000,  IF(F698&lt;Model!$B$36,  Model!$B$33-6.5*F698/1000,  Model!$B$38)),     IF(F698&lt;=2000,  Model!$B$20-Model!$B$35*F698/1000,  IF(F698&lt;Model!$B$36,  Model!$B$33-5.4*F698/1000,   Model!$B$38)))</f>
        <v>-19.088750000000001</v>
      </c>
      <c r="K698" s="15">
        <f t="shared" si="211"/>
        <v>253.91125</v>
      </c>
      <c r="L698" s="45">
        <f>IF(AB697-AA697*(B698-B697)&gt;0, L697-Y697*(B698-B697)*3600-AD698*Model!$B$16, 0)</f>
        <v>557.52179505036588</v>
      </c>
      <c r="M698" s="56">
        <f t="shared" si="199"/>
        <v>9.9061316841817302</v>
      </c>
      <c r="N698" s="56">
        <f>Model!$B$13*I698*K698/(Model!$B$13*I698-L698*287*K698)</f>
        <v>282.90613168418173</v>
      </c>
      <c r="O698" s="56">
        <f t="shared" si="200"/>
        <v>268.40869084209089</v>
      </c>
      <c r="P698" s="56">
        <f t="shared" si="201"/>
        <v>0.97316486976461114</v>
      </c>
      <c r="Q698" s="62">
        <f t="shared" si="212"/>
        <v>2.3674017049788453E-2</v>
      </c>
      <c r="R698" s="33">
        <f t="shared" si="213"/>
        <v>1.3122503847577451E-5</v>
      </c>
      <c r="S698" s="45">
        <f>0.37*Model!$B$10*(Q698^2*(N698-K698)*I698/(R698*O698^2))^0.33333*(N698-K698)</f>
        <v>155475.09029809479</v>
      </c>
      <c r="T698" s="50">
        <f>Model!$B$32+(90-Model!$B$6)*SIN(RADIANS(-15*(E698+6)))</f>
        <v>27.36443096469857</v>
      </c>
      <c r="U698" s="45">
        <f t="shared" si="202"/>
        <v>27.36443096469857</v>
      </c>
      <c r="V698" s="50">
        <f t="shared" si="203"/>
        <v>2.1755752623823663</v>
      </c>
      <c r="W698" s="45">
        <f t="shared" si="204"/>
        <v>833.31000850868827</v>
      </c>
      <c r="X698" s="45">
        <f>0.3*W698*Model!$B$9</f>
        <v>75485.089672912029</v>
      </c>
      <c r="Y698" s="33">
        <f>(S698-X698)/Model!$B$11</f>
        <v>1.7159712672998554E-3</v>
      </c>
      <c r="Z698" s="45">
        <f t="shared" si="205"/>
        <v>48.551243500282453</v>
      </c>
      <c r="AA698" s="56">
        <f>Y698/Model!$B$12*3600</f>
        <v>11.11010577272511</v>
      </c>
      <c r="AB698" s="50">
        <f t="shared" si="210"/>
        <v>65.683728340209058</v>
      </c>
      <c r="AC698" s="50">
        <f t="shared" si="214"/>
        <v>1734.316271659791</v>
      </c>
      <c r="AD698" s="15">
        <f>IF(AE698=0, Model!$B$19, 0 )</f>
        <v>0</v>
      </c>
      <c r="AE698" s="50">
        <f>IF(AE697+AB697-AB698&lt;Model!$B$19*Model!$B$18, AE697+AB697-AB698,  0)</f>
        <v>377.95084536590446</v>
      </c>
      <c r="AF698" s="15">
        <f t="shared" si="206"/>
        <v>34.800000000000161</v>
      </c>
      <c r="AG698" s="50">
        <f t="shared" si="207"/>
        <v>0</v>
      </c>
    </row>
    <row r="699" spans="2:33" x14ac:dyDescent="0.25">
      <c r="B699" s="13">
        <f t="shared" si="208"/>
        <v>34.850000000000158</v>
      </c>
      <c r="C699" s="13">
        <f>B699+Model!$B$4</f>
        <v>36.850000000000158</v>
      </c>
      <c r="D699" s="13">
        <f t="shared" si="209"/>
        <v>2</v>
      </c>
      <c r="E699" s="13">
        <f t="shared" si="215"/>
        <v>12.850000000000158</v>
      </c>
      <c r="F699" s="14">
        <f>IF(AB699&gt;0, VLOOKUP(B699,Model!$A$40:$B$60, 2), 0)</f>
        <v>300</v>
      </c>
      <c r="G699" s="13">
        <f>IF(AB699&gt;0, VLOOKUP(B699,Model!$A$39:$C$58, 3), 0)</f>
        <v>1</v>
      </c>
      <c r="H699" s="13">
        <f t="shared" si="198"/>
        <v>97</v>
      </c>
      <c r="I699" s="46">
        <f>Model!$B$21*EXP((-0.029*9.81*F699)/(8.31*(273+J699)))</f>
        <v>100357.4491247143</v>
      </c>
      <c r="J699" s="13">
        <f>IF(Model!$B$31="Summer",  IF(F699&lt;=2000,  Model!$B$20-Model!$B$35*F699/1000,  IF(F699&lt;Model!$B$36,  Model!$B$33-6.5*F699/1000,  Model!$B$38)),     IF(F699&lt;=2000,  Model!$B$20-Model!$B$35*F699/1000,  IF(F699&lt;Model!$B$36,  Model!$B$33-5.4*F699/1000,   Model!$B$38)))</f>
        <v>-19.088750000000001</v>
      </c>
      <c r="K699" s="13">
        <f t="shared" si="211"/>
        <v>253.91125</v>
      </c>
      <c r="L699" s="46">
        <f>IF(AB698-AA698*(B699-B698)&gt;0, L698-Y698*(B699-B698)*3600-AD699*Model!$B$16, 0)</f>
        <v>557.21292022225191</v>
      </c>
      <c r="M699" s="57">
        <f t="shared" si="199"/>
        <v>9.8882349020913693</v>
      </c>
      <c r="N699" s="57">
        <f>Model!$B$13*I699*K699/(Model!$B$13*I699-L699*287*K699)</f>
        <v>282.88823490209137</v>
      </c>
      <c r="O699" s="57">
        <f t="shared" si="200"/>
        <v>268.39974245104565</v>
      </c>
      <c r="P699" s="57">
        <f t="shared" si="201"/>
        <v>0.95514250777027243</v>
      </c>
      <c r="Q699" s="63">
        <f t="shared" si="212"/>
        <v>2.3673381714024243E-2</v>
      </c>
      <c r="R699" s="17">
        <f t="shared" si="213"/>
        <v>1.3121573214908748E-5</v>
      </c>
      <c r="S699" s="46">
        <f>0.37*Model!$B$10*(Q699^2*(N699-K699)*I699/(R699*O699^2))^0.33333*(N699-K699)</f>
        <v>155351.49586550664</v>
      </c>
      <c r="T699" s="51">
        <f>Model!$B$32+(90-Model!$B$6)*SIN(RADIANS(-15*(E699+6)))</f>
        <v>27.266246156813295</v>
      </c>
      <c r="U699" s="46">
        <f t="shared" si="202"/>
        <v>27.266246156813295</v>
      </c>
      <c r="V699" s="51">
        <f t="shared" si="203"/>
        <v>2.1828057153637652</v>
      </c>
      <c r="W699" s="46">
        <f t="shared" si="204"/>
        <v>831.85430560082148</v>
      </c>
      <c r="X699" s="46">
        <f>0.3*W699*Model!$B$9</f>
        <v>75353.225344612292</v>
      </c>
      <c r="Y699" s="17">
        <f>(S699-X699)/Model!$B$11</f>
        <v>1.7161486757673356E-3</v>
      </c>
      <c r="Z699" s="46">
        <f t="shared" si="205"/>
        <v>48.504988590420965</v>
      </c>
      <c r="AA699" s="57">
        <f>Y699/Model!$B$12*3600</f>
        <v>11.111254408996732</v>
      </c>
      <c r="AB699" s="51">
        <f t="shared" si="210"/>
        <v>65.128223051572832</v>
      </c>
      <c r="AC699" s="51">
        <f t="shared" si="214"/>
        <v>1734.8717769484272</v>
      </c>
      <c r="AD699" s="13">
        <f>IF(AE699=0, Model!$B$19, 0 )</f>
        <v>0</v>
      </c>
      <c r="AE699" s="51">
        <f>IF(AE698+AB698-AB699&lt;Model!$B$19*Model!$B$18, AE698+AB698-AB699,  0)</f>
        <v>378.50635065454071</v>
      </c>
      <c r="AF699" s="13">
        <f t="shared" si="206"/>
        <v>34.850000000000158</v>
      </c>
      <c r="AG699" s="50">
        <f t="shared" si="207"/>
        <v>0</v>
      </c>
    </row>
    <row r="700" spans="2:33" x14ac:dyDescent="0.25">
      <c r="B700" s="15">
        <f t="shared" si="208"/>
        <v>34.900000000000155</v>
      </c>
      <c r="C700" s="15">
        <f>B700+Model!$B$4</f>
        <v>36.900000000000155</v>
      </c>
      <c r="D700" s="15">
        <f t="shared" si="209"/>
        <v>2</v>
      </c>
      <c r="E700" s="15">
        <f t="shared" si="215"/>
        <v>12.900000000000155</v>
      </c>
      <c r="F700" s="16">
        <f>IF(AB700&gt;0, VLOOKUP(B700,Model!$A$40:$B$60, 2), 0)</f>
        <v>300</v>
      </c>
      <c r="G700" s="15">
        <f>IF(AB700&gt;0, VLOOKUP(B700,Model!$A$39:$C$58, 3), 0)</f>
        <v>1</v>
      </c>
      <c r="H700" s="15">
        <f t="shared" si="198"/>
        <v>97</v>
      </c>
      <c r="I700" s="45">
        <f>Model!$B$21*EXP((-0.029*9.81*F700)/(8.31*(273+J700)))</f>
        <v>100357.4491247143</v>
      </c>
      <c r="J700" s="15">
        <f>IF(Model!$B$31="Summer",  IF(F700&lt;=2000,  Model!$B$20-Model!$B$35*F700/1000,  IF(F700&lt;Model!$B$36,  Model!$B$33-6.5*F700/1000,  Model!$B$38)),     IF(F700&lt;=2000,  Model!$B$20-Model!$B$35*F700/1000,  IF(F700&lt;Model!$B$36,  Model!$B$33-5.4*F700/1000,   Model!$B$38)))</f>
        <v>-19.088750000000001</v>
      </c>
      <c r="K700" s="15">
        <f t="shared" si="211"/>
        <v>253.91125</v>
      </c>
      <c r="L700" s="45">
        <f>IF(AB699-AA699*(B700-B699)&gt;0, L699-Y699*(B700-B699)*3600-AD700*Model!$B$16, 0)</f>
        <v>556.90401346061378</v>
      </c>
      <c r="M700" s="56">
        <f t="shared" si="199"/>
        <v>9.8703385342396928</v>
      </c>
      <c r="N700" s="56">
        <f>Model!$B$13*I700*K700/(Model!$B$13*I700-L700*287*K700)</f>
        <v>282.87033853423969</v>
      </c>
      <c r="O700" s="56">
        <f t="shared" si="200"/>
        <v>268.39079426711987</v>
      </c>
      <c r="P700" s="56">
        <f t="shared" si="201"/>
        <v>0.9364896377919889</v>
      </c>
      <c r="Q700" s="62">
        <f t="shared" si="212"/>
        <v>2.3672746392965512E-2</v>
      </c>
      <c r="R700" s="33">
        <f t="shared" si="213"/>
        <v>1.3120642603780464E-5</v>
      </c>
      <c r="S700" s="45">
        <f>0.37*Model!$B$10*(Q700^2*(N700-K700)*I700/(R700*O700^2))^0.33333*(N700-K700)</f>
        <v>155227.92389489288</v>
      </c>
      <c r="T700" s="50">
        <f>Model!$B$32+(90-Model!$B$6)*SIN(RADIANS(-15*(E700+6)))</f>
        <v>27.162212152934032</v>
      </c>
      <c r="U700" s="45">
        <f t="shared" si="202"/>
        <v>27.162212152934032</v>
      </c>
      <c r="V700" s="50">
        <f t="shared" si="203"/>
        <v>2.1905265793840001</v>
      </c>
      <c r="W700" s="45">
        <f t="shared" si="204"/>
        <v>830.30267607668566</v>
      </c>
      <c r="X700" s="45">
        <f>0.3*W700*Model!$B$9</f>
        <v>75212.671538018578</v>
      </c>
      <c r="Y700" s="33">
        <f>(S700-X700)/Model!$B$11</f>
        <v>1.716512975584561E-3</v>
      </c>
      <c r="Z700" s="45">
        <f t="shared" si="205"/>
        <v>48.453055127469327</v>
      </c>
      <c r="AA700" s="56">
        <f>Y700/Model!$B$12*3600</f>
        <v>11.113613078736423</v>
      </c>
      <c r="AB700" s="50">
        <f t="shared" si="210"/>
        <v>64.572660331123032</v>
      </c>
      <c r="AC700" s="50">
        <f t="shared" si="214"/>
        <v>1735.427339668877</v>
      </c>
      <c r="AD700" s="15">
        <f>IF(AE700=0, Model!$B$19, 0 )</f>
        <v>0</v>
      </c>
      <c r="AE700" s="50">
        <f>IF(AE699+AB699-AB700&lt;Model!$B$19*Model!$B$18, AE699+AB699-AB700,  0)</f>
        <v>379.06191337499052</v>
      </c>
      <c r="AF700" s="15">
        <f t="shared" si="206"/>
        <v>34.900000000000155</v>
      </c>
      <c r="AG700" s="50">
        <f t="shared" si="207"/>
        <v>0</v>
      </c>
    </row>
    <row r="701" spans="2:33" x14ac:dyDescent="0.25">
      <c r="B701" s="13">
        <f t="shared" si="208"/>
        <v>34.950000000000152</v>
      </c>
      <c r="C701" s="13">
        <f>B701+Model!$B$4</f>
        <v>36.950000000000152</v>
      </c>
      <c r="D701" s="13">
        <f t="shared" si="209"/>
        <v>2</v>
      </c>
      <c r="E701" s="13">
        <f t="shared" si="215"/>
        <v>12.950000000000152</v>
      </c>
      <c r="F701" s="14">
        <f>IF(AB701&gt;0, VLOOKUP(B701,Model!$A$40:$B$60, 2), 0)</f>
        <v>300</v>
      </c>
      <c r="G701" s="13">
        <f>IF(AB701&gt;0, VLOOKUP(B701,Model!$A$39:$C$58, 3), 0)</f>
        <v>1</v>
      </c>
      <c r="H701" s="13">
        <f t="shared" si="198"/>
        <v>97</v>
      </c>
      <c r="I701" s="46">
        <f>Model!$B$21*EXP((-0.029*9.81*F701)/(8.31*(273+J701)))</f>
        <v>100357.4491247143</v>
      </c>
      <c r="J701" s="13">
        <f>IF(Model!$B$31="Summer",  IF(F701&lt;=2000,  Model!$B$20-Model!$B$35*F701/1000,  IF(F701&lt;Model!$B$36,  Model!$B$33-6.5*F701/1000,  Model!$B$38)),     IF(F701&lt;=2000,  Model!$B$20-Model!$B$35*F701/1000,  IF(F701&lt;Model!$B$36,  Model!$B$33-5.4*F701/1000,   Model!$B$38)))</f>
        <v>-19.088750000000001</v>
      </c>
      <c r="K701" s="13">
        <f t="shared" si="211"/>
        <v>253.91125</v>
      </c>
      <c r="L701" s="46">
        <f>IF(AB700-AA700*(B701-B700)&gt;0, L700-Y700*(B701-B700)*3600-AD701*Model!$B$16, 0)</f>
        <v>556.59504112500861</v>
      </c>
      <c r="M701" s="57">
        <f t="shared" si="199"/>
        <v>9.8524406323258518</v>
      </c>
      <c r="N701" s="57">
        <f>Model!$B$13*I701*K701/(Model!$B$13*I701-L701*287*K701)</f>
        <v>282.85244063232585</v>
      </c>
      <c r="O701" s="57">
        <f t="shared" si="200"/>
        <v>268.38184531616292</v>
      </c>
      <c r="P701" s="57">
        <f t="shared" si="201"/>
        <v>0.91719649000749648</v>
      </c>
      <c r="Q701" s="63">
        <f t="shared" si="212"/>
        <v>2.3672111017447567E-2</v>
      </c>
      <c r="R701" s="17">
        <f t="shared" si="213"/>
        <v>1.3119711912880942E-5</v>
      </c>
      <c r="S701" s="46">
        <f>0.37*Model!$B$10*(Q701^2*(N701-K701)*I701/(R701*O701^2))^0.33333*(N701-K701)</f>
        <v>155104.36094743019</v>
      </c>
      <c r="T701" s="51">
        <f>Model!$B$32+(90-Model!$B$6)*SIN(RADIANS(-15*(E701+6)))</f>
        <v>27.05234677875174</v>
      </c>
      <c r="U701" s="46">
        <f t="shared" si="202"/>
        <v>27.05234677875174</v>
      </c>
      <c r="V701" s="51">
        <f t="shared" si="203"/>
        <v>2.1987476362002343</v>
      </c>
      <c r="W701" s="46">
        <f t="shared" si="204"/>
        <v>828.65370647106431</v>
      </c>
      <c r="X701" s="46">
        <f>0.3*W701*Model!$B$9</f>
        <v>75063.300214888804</v>
      </c>
      <c r="Y701" s="17">
        <f>(S701-X701)/Model!$B$11</f>
        <v>1.717066625175188E-3</v>
      </c>
      <c r="Z701" s="46">
        <f t="shared" si="205"/>
        <v>48.395351205070341</v>
      </c>
      <c r="AA701" s="57">
        <f>Y701/Model!$B$12*3600</f>
        <v>11.117197699079497</v>
      </c>
      <c r="AB701" s="51">
        <f t="shared" si="210"/>
        <v>64.016979677186242</v>
      </c>
      <c r="AC701" s="51">
        <f t="shared" si="214"/>
        <v>1735.9830203228137</v>
      </c>
      <c r="AD701" s="13">
        <f>IF(AE701=0, Model!$B$19, 0 )</f>
        <v>0</v>
      </c>
      <c r="AE701" s="51">
        <f>IF(AE700+AB700-AB701&lt;Model!$B$19*Model!$B$18, AE700+AB700-AB701,  0)</f>
        <v>379.61759402892733</v>
      </c>
      <c r="AF701" s="13">
        <f t="shared" si="206"/>
        <v>34.950000000000152</v>
      </c>
      <c r="AG701" s="50">
        <f t="shared" si="207"/>
        <v>0</v>
      </c>
    </row>
    <row r="702" spans="2:33" x14ac:dyDescent="0.25">
      <c r="B702" s="15">
        <f t="shared" si="208"/>
        <v>35.000000000000149</v>
      </c>
      <c r="C702" s="15">
        <f>B702+Model!$B$4</f>
        <v>37.000000000000149</v>
      </c>
      <c r="D702" s="15">
        <f t="shared" si="209"/>
        <v>2</v>
      </c>
      <c r="E702" s="15">
        <f t="shared" si="215"/>
        <v>13.000000000000149</v>
      </c>
      <c r="F702" s="16">
        <f>IF(AB702&gt;0, VLOOKUP(B702,Model!$A$40:$B$60, 2), 0)</f>
        <v>300</v>
      </c>
      <c r="G702" s="15">
        <f>IF(AB702&gt;0, VLOOKUP(B702,Model!$A$39:$C$58, 3), 0)</f>
        <v>1</v>
      </c>
      <c r="H702" s="15">
        <f t="shared" si="198"/>
        <v>97</v>
      </c>
      <c r="I702" s="45">
        <f>Model!$B$21*EXP((-0.029*9.81*F702)/(8.31*(273+J702)))</f>
        <v>100357.4491247143</v>
      </c>
      <c r="J702" s="15">
        <f>IF(Model!$B$31="Summer",  IF(F702&lt;=2000,  Model!$B$20-Model!$B$35*F702/1000,  IF(F702&lt;Model!$B$36,  Model!$B$33-6.5*F702/1000,  Model!$B$38)),     IF(F702&lt;=2000,  Model!$B$20-Model!$B$35*F702/1000,  IF(F702&lt;Model!$B$36,  Model!$B$33-5.4*F702/1000,   Model!$B$38)))</f>
        <v>-19.088750000000001</v>
      </c>
      <c r="K702" s="15">
        <f t="shared" si="211"/>
        <v>253.91125</v>
      </c>
      <c r="L702" s="45">
        <f>IF(AB701-AA701*(B702-B701)&gt;0, L701-Y701*(B702-B701)*3600-AD702*Model!$B$16, 0)</f>
        <v>556.28596913247713</v>
      </c>
      <c r="M702" s="56">
        <f t="shared" si="199"/>
        <v>9.8345392234064661</v>
      </c>
      <c r="N702" s="56">
        <f>Model!$B$13*I702*K702/(Model!$B$13*I702-L702*287*K702)</f>
        <v>282.83453922340647</v>
      </c>
      <c r="O702" s="56">
        <f t="shared" si="200"/>
        <v>268.37289461170326</v>
      </c>
      <c r="P702" s="56">
        <f t="shared" si="201"/>
        <v>0.89725265484366101</v>
      </c>
      <c r="Q702" s="62">
        <f t="shared" si="212"/>
        <v>2.3671475517430932E-2</v>
      </c>
      <c r="R702" s="33">
        <f t="shared" si="213"/>
        <v>1.3118781039617137E-5</v>
      </c>
      <c r="S702" s="45">
        <f>0.37*Model!$B$10*(Q702^2*(N702-K702)*I702/(R702*O702^2))^0.33333*(N702-K702)</f>
        <v>154980.79342276993</v>
      </c>
      <c r="T702" s="50">
        <f>Model!$B$32+(90-Model!$B$6)*SIN(RADIANS(-15*(E702+6)))</f>
        <v>26.936668859132716</v>
      </c>
      <c r="U702" s="45">
        <f t="shared" si="202"/>
        <v>26.936668859132716</v>
      </c>
      <c r="V702" s="50">
        <f t="shared" si="203"/>
        <v>2.2074793984316936</v>
      </c>
      <c r="W702" s="45">
        <f t="shared" si="204"/>
        <v>826.90588653403358</v>
      </c>
      <c r="X702" s="45">
        <f>0.3*W702*Model!$B$9</f>
        <v>74904.974569772676</v>
      </c>
      <c r="Y702" s="33">
        <f>(S702-X702)/Model!$B$11</f>
        <v>1.7178122675747562E-3</v>
      </c>
      <c r="Z702" s="45">
        <f t="shared" si="205"/>
        <v>48.331779000150327</v>
      </c>
      <c r="AA702" s="56">
        <f>Y702/Model!$B$12*3600</f>
        <v>11.122025382436261</v>
      </c>
      <c r="AB702" s="50">
        <f t="shared" si="210"/>
        <v>63.461119792232296</v>
      </c>
      <c r="AC702" s="50">
        <f t="shared" si="214"/>
        <v>1736.5388802077678</v>
      </c>
      <c r="AD702" s="15">
        <f>IF(AE702=0, Model!$B$19, 0 )</f>
        <v>0</v>
      </c>
      <c r="AE702" s="50">
        <f>IF(AE701+AB701-AB702&lt;Model!$B$19*Model!$B$18, AE701+AB701-AB702,  0)</f>
        <v>380.17345391388125</v>
      </c>
      <c r="AF702" s="15">
        <f t="shared" si="206"/>
        <v>35.000000000000149</v>
      </c>
      <c r="AG702" s="50">
        <f t="shared" si="207"/>
        <v>0</v>
      </c>
    </row>
    <row r="703" spans="2:33" x14ac:dyDescent="0.25">
      <c r="B703" s="13">
        <f t="shared" si="208"/>
        <v>35.050000000000146</v>
      </c>
      <c r="C703" s="13">
        <f>B703+Model!$B$4</f>
        <v>37.050000000000146</v>
      </c>
      <c r="D703" s="13">
        <f t="shared" si="209"/>
        <v>2</v>
      </c>
      <c r="E703" s="13">
        <f t="shared" si="215"/>
        <v>13.050000000000146</v>
      </c>
      <c r="F703" s="14">
        <f>IF(AB703&gt;0, VLOOKUP(B703,Model!$A$40:$B$60, 2), 0)</f>
        <v>300</v>
      </c>
      <c r="G703" s="13">
        <f>IF(AB703&gt;0, VLOOKUP(B703,Model!$A$39:$C$58, 3), 0)</f>
        <v>1</v>
      </c>
      <c r="H703" s="13">
        <f t="shared" si="198"/>
        <v>97</v>
      </c>
      <c r="I703" s="46">
        <f>Model!$B$21*EXP((-0.029*9.81*F703)/(8.31*(273+J703)))</f>
        <v>100357.4491247143</v>
      </c>
      <c r="J703" s="13">
        <f>IF(Model!$B$31="Summer",  IF(F703&lt;=2000,  Model!$B$20-Model!$B$35*F703/1000,  IF(F703&lt;Model!$B$36,  Model!$B$33-6.5*F703/1000,  Model!$B$38)),     IF(F703&lt;=2000,  Model!$B$20-Model!$B$35*F703/1000,  IF(F703&lt;Model!$B$36,  Model!$B$33-5.4*F703/1000,   Model!$B$38)))</f>
        <v>-19.088750000000001</v>
      </c>
      <c r="K703" s="13">
        <f t="shared" si="211"/>
        <v>253.91125</v>
      </c>
      <c r="L703" s="46">
        <f>IF(AB702-AA702*(B703-B702)&gt;0, L702-Y702*(B703-B702)*3600-AD703*Model!$B$16, 0)</f>
        <v>555.97676292431368</v>
      </c>
      <c r="M703" s="57">
        <f t="shared" si="199"/>
        <v>9.8166323079876747</v>
      </c>
      <c r="N703" s="57">
        <f>Model!$B$13*I703*K703/(Model!$B$13*I703-L703*287*K703)</f>
        <v>282.81663230798767</v>
      </c>
      <c r="O703" s="57">
        <f t="shared" si="200"/>
        <v>268.36394115399384</v>
      </c>
      <c r="P703" s="57">
        <f t="shared" si="201"/>
        <v>0.87664706422072758</v>
      </c>
      <c r="Q703" s="63">
        <f t="shared" si="212"/>
        <v>2.3670839821933562E-2</v>
      </c>
      <c r="R703" s="17">
        <f t="shared" si="213"/>
        <v>1.3117849880015357E-5</v>
      </c>
      <c r="S703" s="46">
        <f>0.37*Model!$B$10*(Q703^2*(N703-K703)*I703/(R703*O703^2))^0.33333*(N703-K703)</f>
        <v>154857.20754602345</v>
      </c>
      <c r="T703" s="51">
        <f>Model!$B$32+(90-Model!$B$6)*SIN(RADIANS(-15*(E703+6)))</f>
        <v>26.815198214892966</v>
      </c>
      <c r="U703" s="46">
        <f t="shared" si="202"/>
        <v>26.815198214892966</v>
      </c>
      <c r="V703" s="51">
        <f t="shared" si="203"/>
        <v>2.2167331419610847</v>
      </c>
      <c r="W703" s="46">
        <f t="shared" si="204"/>
        <v>825.05760635684464</v>
      </c>
      <c r="X703" s="46">
        <f>0.3*W703*Model!$B$9</f>
        <v>74737.548769660832</v>
      </c>
      <c r="Y703" s="17">
        <f>(S703-X703)/Model!$B$11</f>
        <v>1.7187527357366216E-3</v>
      </c>
      <c r="Z703" s="46">
        <f t="shared" si="205"/>
        <v>48.262234579846009</v>
      </c>
      <c r="AA703" s="57">
        <f>Y703/Model!$B$12*3600</f>
        <v>11.128114470845444</v>
      </c>
      <c r="AB703" s="51">
        <f t="shared" si="210"/>
        <v>62.905018523110513</v>
      </c>
      <c r="AC703" s="51">
        <f t="shared" si="214"/>
        <v>1737.0949814768894</v>
      </c>
      <c r="AD703" s="13">
        <f>IF(AE703=0, Model!$B$19, 0 )</f>
        <v>0</v>
      </c>
      <c r="AE703" s="51">
        <f>IF(AE702+AB702-AB703&lt;Model!$B$19*Model!$B$18, AE702+AB702-AB703,  0)</f>
        <v>380.72955518300301</v>
      </c>
      <c r="AF703" s="13">
        <f t="shared" si="206"/>
        <v>35.050000000000146</v>
      </c>
      <c r="AG703" s="50">
        <f t="shared" si="207"/>
        <v>0</v>
      </c>
    </row>
    <row r="704" spans="2:33" x14ac:dyDescent="0.25">
      <c r="B704" s="15">
        <f t="shared" si="208"/>
        <v>35.100000000000144</v>
      </c>
      <c r="C704" s="15">
        <f>B704+Model!$B$4</f>
        <v>37.100000000000144</v>
      </c>
      <c r="D704" s="15">
        <f t="shared" si="209"/>
        <v>2</v>
      </c>
      <c r="E704" s="15">
        <f t="shared" si="215"/>
        <v>13.100000000000144</v>
      </c>
      <c r="F704" s="16">
        <f>IF(AB704&gt;0, VLOOKUP(B704,Model!$A$40:$B$60, 2), 0)</f>
        <v>300</v>
      </c>
      <c r="G704" s="15">
        <f>IF(AB704&gt;0, VLOOKUP(B704,Model!$A$39:$C$58, 3), 0)</f>
        <v>1</v>
      </c>
      <c r="H704" s="15">
        <f t="shared" si="198"/>
        <v>97</v>
      </c>
      <c r="I704" s="45">
        <f>Model!$B$21*EXP((-0.029*9.81*F704)/(8.31*(273+J704)))</f>
        <v>100357.4491247143</v>
      </c>
      <c r="J704" s="15">
        <f>IF(Model!$B$31="Summer",  IF(F704&lt;=2000,  Model!$B$20-Model!$B$35*F704/1000,  IF(F704&lt;Model!$B$36,  Model!$B$33-6.5*F704/1000,  Model!$B$38)),     IF(F704&lt;=2000,  Model!$B$20-Model!$B$35*F704/1000,  IF(F704&lt;Model!$B$36,  Model!$B$33-5.4*F704/1000,   Model!$B$38)))</f>
        <v>-19.088750000000001</v>
      </c>
      <c r="K704" s="15">
        <f t="shared" si="211"/>
        <v>253.91125</v>
      </c>
      <c r="L704" s="45">
        <f>IF(AB703-AA703*(B704-B703)&gt;0, L703-Y703*(B704-B703)*3600-AD704*Model!$B$16, 0)</f>
        <v>555.66738743188114</v>
      </c>
      <c r="M704" s="56">
        <f t="shared" si="199"/>
        <v>9.7987178580635828</v>
      </c>
      <c r="N704" s="56">
        <f>Model!$B$13*I704*K704/(Model!$B$13*I704-L704*287*K704)</f>
        <v>282.79871785806358</v>
      </c>
      <c r="O704" s="56">
        <f t="shared" si="200"/>
        <v>268.35498392903179</v>
      </c>
      <c r="P704" s="56">
        <f t="shared" si="201"/>
        <v>0.8553679714107556</v>
      </c>
      <c r="Q704" s="62">
        <f t="shared" si="212"/>
        <v>2.3670203858961257E-2</v>
      </c>
      <c r="R704" s="33">
        <f t="shared" si="213"/>
        <v>1.3116918328619306E-5</v>
      </c>
      <c r="S704" s="45">
        <f>0.37*Model!$B$10*(Q704^2*(N704-K704)*I704/(R704*O704^2))^0.33333*(N704-K704)</f>
        <v>154733.58935439156</v>
      </c>
      <c r="T704" s="50">
        <f>Model!$B$32+(90-Model!$B$6)*SIN(RADIANS(-15*(E704+6)))</f>
        <v>26.687955659402057</v>
      </c>
      <c r="U704" s="45">
        <f t="shared" si="202"/>
        <v>26.687955659402057</v>
      </c>
      <c r="V704" s="50">
        <f t="shared" si="203"/>
        <v>2.2265209412023155</v>
      </c>
      <c r="W704" s="45">
        <f t="shared" si="204"/>
        <v>823.10715328464471</v>
      </c>
      <c r="X704" s="45">
        <f>0.3*W704*Model!$B$9</f>
        <v>74560.867674324763</v>
      </c>
      <c r="Y704" s="33">
        <f>(S704-X704)/Model!$B$11</f>
        <v>1.7198910582444877E-3</v>
      </c>
      <c r="Z704" s="45">
        <f t="shared" si="205"/>
        <v>48.186607694826684</v>
      </c>
      <c r="AA704" s="56">
        <f>Y704/Model!$B$12*3600</f>
        <v>11.135484572960129</v>
      </c>
      <c r="AB704" s="50">
        <f t="shared" si="210"/>
        <v>62.348612799568272</v>
      </c>
      <c r="AC704" s="50">
        <f t="shared" si="214"/>
        <v>1737.6513872004318</v>
      </c>
      <c r="AD704" s="15">
        <f>IF(AE704=0, Model!$B$19, 0 )</f>
        <v>0</v>
      </c>
      <c r="AE704" s="50">
        <f>IF(AE703+AB703-AB704&lt;Model!$B$19*Model!$B$18, AE703+AB703-AB704,  0)</f>
        <v>381.28596090654526</v>
      </c>
      <c r="AF704" s="15">
        <f t="shared" si="206"/>
        <v>35.100000000000144</v>
      </c>
      <c r="AG704" s="50">
        <f t="shared" si="207"/>
        <v>0</v>
      </c>
    </row>
    <row r="705" spans="2:33" x14ac:dyDescent="0.25">
      <c r="B705" s="13">
        <f t="shared" si="208"/>
        <v>35.150000000000141</v>
      </c>
      <c r="C705" s="13">
        <f>B705+Model!$B$4</f>
        <v>37.150000000000141</v>
      </c>
      <c r="D705" s="13">
        <f t="shared" si="209"/>
        <v>2</v>
      </c>
      <c r="E705" s="13">
        <f t="shared" si="215"/>
        <v>13.150000000000141</v>
      </c>
      <c r="F705" s="14">
        <f>IF(AB705&gt;0, VLOOKUP(B705,Model!$A$40:$B$60, 2), 0)</f>
        <v>300</v>
      </c>
      <c r="G705" s="13">
        <f>IF(AB705&gt;0, VLOOKUP(B705,Model!$A$39:$C$58, 3), 0)</f>
        <v>1</v>
      </c>
      <c r="H705" s="13">
        <f t="shared" si="198"/>
        <v>97</v>
      </c>
      <c r="I705" s="46">
        <f>Model!$B$21*EXP((-0.029*9.81*F705)/(8.31*(273+J705)))</f>
        <v>100357.4491247143</v>
      </c>
      <c r="J705" s="13">
        <f>IF(Model!$B$31="Summer",  IF(F705&lt;=2000,  Model!$B$20-Model!$B$35*F705/1000,  IF(F705&lt;Model!$B$36,  Model!$B$33-6.5*F705/1000,  Model!$B$38)),     IF(F705&lt;=2000,  Model!$B$20-Model!$B$35*F705/1000,  IF(F705&lt;Model!$B$36,  Model!$B$33-5.4*F705/1000,   Model!$B$38)))</f>
        <v>-19.088750000000001</v>
      </c>
      <c r="K705" s="13">
        <f t="shared" si="211"/>
        <v>253.91125</v>
      </c>
      <c r="L705" s="46">
        <f>IF(AB704-AA704*(B705-B704)&gt;0, L704-Y704*(B705-B704)*3600-AD705*Model!$B$16, 0)</f>
        <v>555.35780704139711</v>
      </c>
      <c r="M705" s="57">
        <f t="shared" si="199"/>
        <v>9.7807938150974678</v>
      </c>
      <c r="N705" s="57">
        <f>Model!$B$13*I705*K705/(Model!$B$13*I705-L705*287*K705)</f>
        <v>282.78079381509747</v>
      </c>
      <c r="O705" s="57">
        <f t="shared" si="200"/>
        <v>268.34602190754873</v>
      </c>
      <c r="P705" s="57">
        <f t="shared" si="201"/>
        <v>0.83340292944636474</v>
      </c>
      <c r="Q705" s="63">
        <f t="shared" si="212"/>
        <v>2.366956755543596E-2</v>
      </c>
      <c r="R705" s="17">
        <f t="shared" si="213"/>
        <v>1.3115986278385067E-5</v>
      </c>
      <c r="S705" s="46">
        <f>0.37*Model!$B$10*(Q705^2*(N705-K705)*I705/(R705*O705^2))^0.33333*(N705-K705)</f>
        <v>154609.92468341661</v>
      </c>
      <c r="T705" s="51">
        <f>Model!$B$32+(90-Model!$B$6)*SIN(RADIANS(-15*(E705+6)))</f>
        <v>26.554962995016822</v>
      </c>
      <c r="U705" s="46">
        <f t="shared" si="202"/>
        <v>26.554962995016822</v>
      </c>
      <c r="V705" s="51">
        <f t="shared" si="203"/>
        <v>2.236855707451217</v>
      </c>
      <c r="W705" s="46">
        <f t="shared" si="204"/>
        <v>821.05270860601377</v>
      </c>
      <c r="X705" s="46">
        <f>0.3*W705*Model!$B$9</f>
        <v>74374.766536439682</v>
      </c>
      <c r="Y705" s="17">
        <f>(S705-X705)/Model!$B$11</f>
        <v>1.7212304654505401E-3</v>
      </c>
      <c r="Z705" s="46">
        <f t="shared" si="205"/>
        <v>48.104781558319388</v>
      </c>
      <c r="AA705" s="57">
        <f>Y705/Model!$B$12*3600</f>
        <v>11.144156603789298</v>
      </c>
      <c r="AB705" s="51">
        <f t="shared" si="210"/>
        <v>61.791838570920298</v>
      </c>
      <c r="AC705" s="51">
        <f t="shared" si="214"/>
        <v>1738.2081614290796</v>
      </c>
      <c r="AD705" s="13">
        <f>IF(AE705=0, Model!$B$19, 0 )</f>
        <v>0</v>
      </c>
      <c r="AE705" s="51">
        <f>IF(AE704+AB704-AB705&lt;Model!$B$19*Model!$B$18, AE704+AB704-AB705,  0)</f>
        <v>381.84273513519327</v>
      </c>
      <c r="AF705" s="13">
        <f t="shared" si="206"/>
        <v>35.150000000000141</v>
      </c>
      <c r="AG705" s="50">
        <f t="shared" si="207"/>
        <v>0</v>
      </c>
    </row>
    <row r="706" spans="2:33" x14ac:dyDescent="0.25">
      <c r="B706" s="15">
        <f t="shared" si="208"/>
        <v>35.200000000000138</v>
      </c>
      <c r="C706" s="15">
        <f>B706+Model!$B$4</f>
        <v>37.200000000000138</v>
      </c>
      <c r="D706" s="15">
        <f t="shared" si="209"/>
        <v>2</v>
      </c>
      <c r="E706" s="15">
        <f t="shared" si="215"/>
        <v>13.200000000000138</v>
      </c>
      <c r="F706" s="16">
        <f>IF(AB706&gt;0, VLOOKUP(B706,Model!$A$40:$B$60, 2), 0)</f>
        <v>300</v>
      </c>
      <c r="G706" s="15">
        <f>IF(AB706&gt;0, VLOOKUP(B706,Model!$A$39:$C$58, 3), 0)</f>
        <v>1</v>
      </c>
      <c r="H706" s="15">
        <f t="shared" ref="H706:H769" si="216">IF(B706=1, 0, G706*97)</f>
        <v>97</v>
      </c>
      <c r="I706" s="45">
        <f>Model!$B$21*EXP((-0.029*9.81*F706)/(8.31*(273+J706)))</f>
        <v>100357.4491247143</v>
      </c>
      <c r="J706" s="15">
        <f>IF(Model!$B$31="Summer",  IF(F706&lt;=2000,  Model!$B$20-Model!$B$35*F706/1000,  IF(F706&lt;Model!$B$36,  Model!$B$33-6.5*F706/1000,  Model!$B$38)),     IF(F706&lt;=2000,  Model!$B$20-Model!$B$35*F706/1000,  IF(F706&lt;Model!$B$36,  Model!$B$33-5.4*F706/1000,   Model!$B$38)))</f>
        <v>-19.088750000000001</v>
      </c>
      <c r="K706" s="15">
        <f t="shared" si="211"/>
        <v>253.91125</v>
      </c>
      <c r="L706" s="45">
        <f>IF(AB705-AA705*(B706-B705)&gt;0, L705-Y705*(B706-B705)*3600-AD706*Model!$B$16, 0)</f>
        <v>555.04798555761602</v>
      </c>
      <c r="M706" s="56">
        <f t="shared" ref="M706:M769" si="217">IF(AB706=0, 0, N706-273)</f>
        <v>9.7628580879398896</v>
      </c>
      <c r="N706" s="56">
        <f>Model!$B$13*I706*K706/(Model!$B$13*I706-L706*287*K706)</f>
        <v>282.76285808793989</v>
      </c>
      <c r="O706" s="56">
        <f t="shared" ref="O706:O769" si="218">(K706+N706)/2</f>
        <v>268.33705404396994</v>
      </c>
      <c r="P706" s="56">
        <f t="shared" ref="P706:P769" si="219">(J706+M706)/2+W705/150</f>
        <v>0.81073876801003575</v>
      </c>
      <c r="Q706" s="62">
        <f t="shared" si="212"/>
        <v>2.3668930837121866E-2</v>
      </c>
      <c r="R706" s="33">
        <f t="shared" si="213"/>
        <v>1.3115053620572874E-5</v>
      </c>
      <c r="S706" s="45">
        <f>0.37*Model!$B$10*(Q706^2*(N706-K706)*I706/(R706*O706^2))^0.33333*(N706-K706)</f>
        <v>154486.19915281414</v>
      </c>
      <c r="T706" s="50">
        <f>Model!$B$32+(90-Model!$B$6)*SIN(RADIANS(-15*(E706+6)))</f>
        <v>26.416243009345671</v>
      </c>
      <c r="U706" s="45">
        <f t="shared" ref="U706:U769" si="220">IF(OR(T706&lt;0, AB706=0),  0, T706)</f>
        <v>26.416243009345671</v>
      </c>
      <c r="V706" s="50">
        <f t="shared" ref="V706:V769" si="221">IF(T706&lt;0,99999,1/SIN(RADIANS(T706)))</f>
        <v>2.2477512305591514</v>
      </c>
      <c r="W706" s="45">
        <f t="shared" ref="W706:W769" si="222">IF(G706=0,0, 1353*((1+F706/7100)*0.7^V706^0.678)+F706/7100)</f>
        <v>818.89234400855082</v>
      </c>
      <c r="X706" s="45">
        <f>0.3*W706*Model!$B$9</f>
        <v>74179.070680515055</v>
      </c>
      <c r="Y706" s="33">
        <f>(S706-X706)/Model!$B$11</f>
        <v>1.7227743960591888E-3</v>
      </c>
      <c r="Z706" s="45">
        <f t="shared" ref="Z706:Z769" si="223">100*X706/S706</f>
        <v>48.016632610100565</v>
      </c>
      <c r="AA706" s="56">
        <f>Y706/Model!$B$12*3600</f>
        <v>11.154152827324454</v>
      </c>
      <c r="AB706" s="50">
        <f t="shared" si="210"/>
        <v>61.234630740730864</v>
      </c>
      <c r="AC706" s="50">
        <f t="shared" si="214"/>
        <v>1738.7653692592692</v>
      </c>
      <c r="AD706" s="15">
        <f>IF(AE706=0, Model!$B$19, 0 )</f>
        <v>0</v>
      </c>
      <c r="AE706" s="50">
        <f>IF(AE705+AB705-AB706&lt;Model!$B$19*Model!$B$18, AE705+AB705-AB706,  0)</f>
        <v>382.39994296538271</v>
      </c>
      <c r="AF706" s="15">
        <f t="shared" ref="AF706:AF769" si="224">B706</f>
        <v>35.200000000000138</v>
      </c>
      <c r="AG706" s="50">
        <f t="shared" ref="AG706:AG769" si="225">IF(OR(P706&gt;0, AB706&lt;=0),0, IF(P706&lt;-2,0.99,ABS(P706/2)))</f>
        <v>0</v>
      </c>
    </row>
    <row r="707" spans="2:33" x14ac:dyDescent="0.25">
      <c r="B707" s="13">
        <f t="shared" ref="B707:B770" si="226">IF(AB706&gt;0, B706+0.05, 1)</f>
        <v>35.250000000000135</v>
      </c>
      <c r="C707" s="13">
        <f>B707+Model!$B$4</f>
        <v>37.250000000000135</v>
      </c>
      <c r="D707" s="13">
        <f t="shared" ref="D707:D770" si="227">INT(C707/24+1)</f>
        <v>2</v>
      </c>
      <c r="E707" s="13">
        <f t="shared" si="215"/>
        <v>13.250000000000135</v>
      </c>
      <c r="F707" s="14">
        <f>IF(AB707&gt;0, VLOOKUP(B707,Model!$A$40:$B$60, 2), 0)</f>
        <v>300</v>
      </c>
      <c r="G707" s="13">
        <f>IF(AB707&gt;0, VLOOKUP(B707,Model!$A$39:$C$58, 3), 0)</f>
        <v>1</v>
      </c>
      <c r="H707" s="13">
        <f t="shared" si="216"/>
        <v>97</v>
      </c>
      <c r="I707" s="46">
        <f>Model!$B$21*EXP((-0.029*9.81*F707)/(8.31*(273+J707)))</f>
        <v>100357.4491247143</v>
      </c>
      <c r="J707" s="13">
        <f>IF(Model!$B$31="Summer",  IF(F707&lt;=2000,  Model!$B$20-Model!$B$35*F707/1000,  IF(F707&lt;Model!$B$36,  Model!$B$33-6.5*F707/1000,  Model!$B$38)),     IF(F707&lt;=2000,  Model!$B$20-Model!$B$35*F707/1000,  IF(F707&lt;Model!$B$36,  Model!$B$33-5.4*F707/1000,   Model!$B$38)))</f>
        <v>-19.088750000000001</v>
      </c>
      <c r="K707" s="13">
        <f t="shared" si="211"/>
        <v>253.91125</v>
      </c>
      <c r="L707" s="46">
        <f>IF(AB706-AA706*(B707-B706)&gt;0, L706-Y706*(B707-B706)*3600-AD707*Model!$B$16, 0)</f>
        <v>554.73788616632532</v>
      </c>
      <c r="M707" s="57">
        <f t="shared" si="217"/>
        <v>9.7449085506814299</v>
      </c>
      <c r="N707" s="57">
        <f>Model!$B$13*I707*K707/(Model!$B$13*I707-L707*287*K707)</f>
        <v>282.74490855068143</v>
      </c>
      <c r="O707" s="57">
        <f t="shared" si="218"/>
        <v>268.32807927534071</v>
      </c>
      <c r="P707" s="57">
        <f t="shared" si="219"/>
        <v>0.78736156873105312</v>
      </c>
      <c r="Q707" s="63">
        <f t="shared" si="212"/>
        <v>2.3668293628549192E-2</v>
      </c>
      <c r="R707" s="17">
        <f t="shared" si="213"/>
        <v>1.3114120244635433E-5</v>
      </c>
      <c r="S707" s="46">
        <f>0.37*Model!$B$10*(Q707^2*(N707-K707)*I707/(R707*O707^2))^0.33333*(N707-K707)</f>
        <v>154362.39815187233</v>
      </c>
      <c r="T707" s="51">
        <f>Model!$B$32+(90-Model!$B$6)*SIN(RADIANS(-15*(E707+6)))</f>
        <v>26.271819471343974</v>
      </c>
      <c r="U707" s="46">
        <f t="shared" si="220"/>
        <v>26.271819471343974</v>
      </c>
      <c r="V707" s="51">
        <f t="shared" si="221"/>
        <v>2.2592222241951343</v>
      </c>
      <c r="W707" s="46">
        <f t="shared" si="222"/>
        <v>816.62401778895821</v>
      </c>
      <c r="X707" s="46">
        <f>0.3*W707*Model!$B$9</f>
        <v>73973.595159586417</v>
      </c>
      <c r="Y707" s="17">
        <f>(S707-X707)/Model!$B$11</f>
        <v>1.7245265041786102E-3</v>
      </c>
      <c r="Z707" s="46">
        <f t="shared" si="223"/>
        <v>47.922030264654289</v>
      </c>
      <c r="AA707" s="57">
        <f>Y707/Model!$B$12*3600</f>
        <v>11.165496902195038</v>
      </c>
      <c r="AB707" s="51">
        <f t="shared" ref="AB707:AB770" si="228">IF(AB706-AA706*(B707-B706)&gt;0, AB706-AA706*(B707-B706), 0)</f>
        <v>60.676923099364672</v>
      </c>
      <c r="AC707" s="51">
        <f t="shared" si="214"/>
        <v>1739.3230769006354</v>
      </c>
      <c r="AD707" s="13">
        <f>IF(AE707=0, Model!$B$19, 0 )</f>
        <v>0</v>
      </c>
      <c r="AE707" s="51">
        <f>IF(AE706+AB706-AB707&lt;Model!$B$19*Model!$B$18, AE706+AB706-AB707,  0)</f>
        <v>382.95765060674887</v>
      </c>
      <c r="AF707" s="13">
        <f t="shared" si="224"/>
        <v>35.250000000000135</v>
      </c>
      <c r="AG707" s="50">
        <f t="shared" si="225"/>
        <v>0</v>
      </c>
    </row>
    <row r="708" spans="2:33" x14ac:dyDescent="0.25">
      <c r="B708" s="15">
        <f t="shared" si="226"/>
        <v>35.300000000000132</v>
      </c>
      <c r="C708" s="15">
        <f>B708+Model!$B$4</f>
        <v>37.300000000000132</v>
      </c>
      <c r="D708" s="15">
        <f t="shared" si="227"/>
        <v>2</v>
      </c>
      <c r="E708" s="15">
        <f t="shared" si="215"/>
        <v>13.300000000000132</v>
      </c>
      <c r="F708" s="16">
        <f>IF(AB708&gt;0, VLOOKUP(B708,Model!$A$40:$B$60, 2), 0)</f>
        <v>300</v>
      </c>
      <c r="G708" s="15">
        <f>IF(AB708&gt;0, VLOOKUP(B708,Model!$A$39:$C$58, 3), 0)</f>
        <v>1</v>
      </c>
      <c r="H708" s="15">
        <f t="shared" si="216"/>
        <v>97</v>
      </c>
      <c r="I708" s="45">
        <f>Model!$B$21*EXP((-0.029*9.81*F708)/(8.31*(273+J708)))</f>
        <v>100357.4491247143</v>
      </c>
      <c r="J708" s="15">
        <f>IF(Model!$B$31="Summer",  IF(F708&lt;=2000,  Model!$B$20-Model!$B$35*F708/1000,  IF(F708&lt;Model!$B$36,  Model!$B$33-6.5*F708/1000,  Model!$B$38)),     IF(F708&lt;=2000,  Model!$B$20-Model!$B$35*F708/1000,  IF(F708&lt;Model!$B$36,  Model!$B$33-5.4*F708/1000,   Model!$B$38)))</f>
        <v>-19.088750000000001</v>
      </c>
      <c r="K708" s="15">
        <f t="shared" si="211"/>
        <v>253.91125</v>
      </c>
      <c r="L708" s="45">
        <f>IF(AB707-AA707*(B708-B707)&gt;0, L707-Y707*(B708-B707)*3600-AD708*Model!$B$16, 0)</f>
        <v>554.42747139557321</v>
      </c>
      <c r="M708" s="56">
        <f t="shared" si="217"/>
        <v>9.7269430404326727</v>
      </c>
      <c r="N708" s="56">
        <f>Model!$B$13*I708*K708/(Model!$B$13*I708-L708*287*K708)</f>
        <v>282.72694304043267</v>
      </c>
      <c r="O708" s="56">
        <f t="shared" si="218"/>
        <v>268.31909652021636</v>
      </c>
      <c r="P708" s="56">
        <f t="shared" si="219"/>
        <v>0.76325663880939043</v>
      </c>
      <c r="Q708" s="62">
        <f t="shared" si="212"/>
        <v>2.3667655852935364E-2</v>
      </c>
      <c r="R708" s="33">
        <f t="shared" si="213"/>
        <v>1.3113186038102502E-5</v>
      </c>
      <c r="S708" s="45">
        <f>0.37*Model!$B$10*(Q708^2*(N708-K708)*I708/(R708*O708^2))^0.33333*(N708-K708)</f>
        <v>154238.50682436631</v>
      </c>
      <c r="T708" s="50">
        <f>Model!$B$32+(90-Model!$B$6)*SIN(RADIANS(-15*(E708+6)))</f>
        <v>26.121717127241517</v>
      </c>
      <c r="U708" s="45">
        <f t="shared" si="220"/>
        <v>26.121717127241517</v>
      </c>
      <c r="V708" s="50">
        <f t="shared" si="221"/>
        <v>2.2712843749905725</v>
      </c>
      <c r="W708" s="45">
        <f t="shared" si="222"/>
        <v>814.2455708052745</v>
      </c>
      <c r="X708" s="45">
        <f>0.3*W708*Model!$B$9</f>
        <v>73758.144388549917</v>
      </c>
      <c r="Y708" s="33">
        <f>(S708-X708)/Model!$B$11</f>
        <v>1.7264906668629496E-3</v>
      </c>
      <c r="Z708" s="45">
        <f t="shared" si="223"/>
        <v>47.820836642654619</v>
      </c>
      <c r="AA708" s="56">
        <f>Y708/Model!$B$12*3600</f>
        <v>11.178213930500641</v>
      </c>
      <c r="AB708" s="50">
        <f t="shared" si="228"/>
        <v>60.11864825425495</v>
      </c>
      <c r="AC708" s="50">
        <f t="shared" si="214"/>
        <v>1739.881351745745</v>
      </c>
      <c r="AD708" s="15">
        <f>IF(AE708=0, Model!$B$19, 0 )</f>
        <v>0</v>
      </c>
      <c r="AE708" s="50">
        <f>IF(AE707+AB707-AB708&lt;Model!$B$19*Model!$B$18, AE707+AB707-AB708,  0)</f>
        <v>383.51592545185861</v>
      </c>
      <c r="AF708" s="15">
        <f t="shared" si="224"/>
        <v>35.300000000000132</v>
      </c>
      <c r="AG708" s="50">
        <f t="shared" si="225"/>
        <v>0</v>
      </c>
    </row>
    <row r="709" spans="2:33" x14ac:dyDescent="0.25">
      <c r="B709" s="13">
        <f t="shared" si="226"/>
        <v>35.350000000000129</v>
      </c>
      <c r="C709" s="13">
        <f>B709+Model!$B$4</f>
        <v>37.350000000000129</v>
      </c>
      <c r="D709" s="13">
        <f t="shared" si="227"/>
        <v>2</v>
      </c>
      <c r="E709" s="13">
        <f t="shared" si="215"/>
        <v>13.350000000000129</v>
      </c>
      <c r="F709" s="14">
        <f>IF(AB709&gt;0, VLOOKUP(B709,Model!$A$40:$B$60, 2), 0)</f>
        <v>300</v>
      </c>
      <c r="G709" s="13">
        <f>IF(AB709&gt;0, VLOOKUP(B709,Model!$A$39:$C$58, 3), 0)</f>
        <v>1</v>
      </c>
      <c r="H709" s="13">
        <f t="shared" si="216"/>
        <v>97</v>
      </c>
      <c r="I709" s="46">
        <f>Model!$B$21*EXP((-0.029*9.81*F709)/(8.31*(273+J709)))</f>
        <v>100357.4491247143</v>
      </c>
      <c r="J709" s="13">
        <f>IF(Model!$B$31="Summer",  IF(F709&lt;=2000,  Model!$B$20-Model!$B$35*F709/1000,  IF(F709&lt;Model!$B$36,  Model!$B$33-6.5*F709/1000,  Model!$B$38)),     IF(F709&lt;=2000,  Model!$B$20-Model!$B$35*F709/1000,  IF(F709&lt;Model!$B$36,  Model!$B$33-5.4*F709/1000,   Model!$B$38)))</f>
        <v>-19.088750000000001</v>
      </c>
      <c r="K709" s="13">
        <f t="shared" si="211"/>
        <v>253.91125</v>
      </c>
      <c r="L709" s="46">
        <f>IF(AB708-AA708*(B709-B708)&gt;0, L708-Y708*(B709-B708)*3600-AD709*Model!$B$16, 0)</f>
        <v>554.11670307553788</v>
      </c>
      <c r="M709" s="57">
        <f t="shared" si="217"/>
        <v>9.7089593550289806</v>
      </c>
      <c r="N709" s="57">
        <f>Model!$B$13*I709*K709/(Model!$B$13*I709-L709*287*K709)</f>
        <v>282.70895935502898</v>
      </c>
      <c r="O709" s="57">
        <f t="shared" si="218"/>
        <v>268.31010467751446</v>
      </c>
      <c r="P709" s="57">
        <f t="shared" si="219"/>
        <v>0.73840848288298666</v>
      </c>
      <c r="Q709" s="63">
        <f t="shared" si="212"/>
        <v>2.3667017432103529E-2</v>
      </c>
      <c r="R709" s="17">
        <f t="shared" si="213"/>
        <v>1.3112250886461502E-5</v>
      </c>
      <c r="S709" s="46">
        <f>0.37*Model!$B$10*(Q709^2*(N709-K709)*I709/(R709*O709^2))^0.33333*(N709-K709)</f>
        <v>154114.51005297297</v>
      </c>
      <c r="T709" s="51">
        <f>Model!$B$32+(90-Model!$B$6)*SIN(RADIANS(-15*(E709+6)))</f>
        <v>25.965961696302209</v>
      </c>
      <c r="U709" s="46">
        <f t="shared" si="220"/>
        <v>25.965961696302209</v>
      </c>
      <c r="V709" s="51">
        <f t="shared" si="221"/>
        <v>2.2839543958924935</v>
      </c>
      <c r="W709" s="46">
        <f t="shared" si="222"/>
        <v>811.7547221580495</v>
      </c>
      <c r="X709" s="46">
        <f>0.3*W709*Model!$B$9</f>
        <v>73532.511752942999</v>
      </c>
      <c r="Y709" s="17">
        <f>(S709-X709)/Model!$B$11</f>
        <v>1.7286709921705452E-3</v>
      </c>
      <c r="Z709" s="46">
        <f t="shared" si="223"/>
        <v>47.712906284857965</v>
      </c>
      <c r="AA709" s="57">
        <f>Y709/Model!$B$12*3600</f>
        <v>11.192330509984197</v>
      </c>
      <c r="AB709" s="51">
        <f t="shared" si="228"/>
        <v>59.559737557729953</v>
      </c>
      <c r="AC709" s="51">
        <f t="shared" si="214"/>
        <v>1740.4402624422701</v>
      </c>
      <c r="AD709" s="13">
        <f>IF(AE709=0, Model!$B$19, 0 )</f>
        <v>0</v>
      </c>
      <c r="AE709" s="51">
        <f>IF(AE708+AB708-AB709&lt;Model!$B$19*Model!$B$18, AE708+AB708-AB709,  0)</f>
        <v>384.07483614838361</v>
      </c>
      <c r="AF709" s="13">
        <f t="shared" si="224"/>
        <v>35.350000000000129</v>
      </c>
      <c r="AG709" s="50">
        <f t="shared" si="225"/>
        <v>0</v>
      </c>
    </row>
    <row r="710" spans="2:33" x14ac:dyDescent="0.25">
      <c r="B710" s="15">
        <f t="shared" si="226"/>
        <v>35.400000000000126</v>
      </c>
      <c r="C710" s="15">
        <f>B710+Model!$B$4</f>
        <v>37.400000000000126</v>
      </c>
      <c r="D710" s="15">
        <f t="shared" si="227"/>
        <v>2</v>
      </c>
      <c r="E710" s="15">
        <f t="shared" si="215"/>
        <v>13.400000000000126</v>
      </c>
      <c r="F710" s="16">
        <f>IF(AB710&gt;0, VLOOKUP(B710,Model!$A$40:$B$60, 2), 0)</f>
        <v>300</v>
      </c>
      <c r="G710" s="15">
        <f>IF(AB710&gt;0, VLOOKUP(B710,Model!$A$39:$C$58, 3), 0)</f>
        <v>1</v>
      </c>
      <c r="H710" s="15">
        <f t="shared" si="216"/>
        <v>97</v>
      </c>
      <c r="I710" s="45">
        <f>Model!$B$21*EXP((-0.029*9.81*F710)/(8.31*(273+J710)))</f>
        <v>100357.4491247143</v>
      </c>
      <c r="J710" s="15">
        <f>IF(Model!$B$31="Summer",  IF(F710&lt;=2000,  Model!$B$20-Model!$B$35*F710/1000,  IF(F710&lt;Model!$B$36,  Model!$B$33-6.5*F710/1000,  Model!$B$38)),     IF(F710&lt;=2000,  Model!$B$20-Model!$B$35*F710/1000,  IF(F710&lt;Model!$B$36,  Model!$B$33-5.4*F710/1000,   Model!$B$38)))</f>
        <v>-19.088750000000001</v>
      </c>
      <c r="K710" s="15">
        <f t="shared" si="211"/>
        <v>253.91125</v>
      </c>
      <c r="L710" s="45">
        <f>IF(AB709-AA709*(B710-B709)&gt;0, L709-Y709*(B710-B709)*3600-AD710*Model!$B$16, 0)</f>
        <v>553.80554229694724</v>
      </c>
      <c r="M710" s="56">
        <f t="shared" si="217"/>
        <v>9.69095525065228</v>
      </c>
      <c r="N710" s="56">
        <f>Model!$B$13*I710*K710/(Model!$B$13*I710-L710*287*K710)</f>
        <v>282.69095525065228</v>
      </c>
      <c r="O710" s="56">
        <f t="shared" si="218"/>
        <v>268.30110262532617</v>
      </c>
      <c r="P710" s="56">
        <f t="shared" si="219"/>
        <v>0.71280077304646916</v>
      </c>
      <c r="Q710" s="62">
        <f t="shared" si="212"/>
        <v>2.3666378286398157E-2</v>
      </c>
      <c r="R710" s="33">
        <f t="shared" si="213"/>
        <v>1.3111314673033919E-5</v>
      </c>
      <c r="S710" s="45">
        <f>0.37*Model!$B$10*(Q710^2*(N710-K710)*I710/(R710*O710^2))^0.33333*(N710-K710)</f>
        <v>153990.39244313308</v>
      </c>
      <c r="T710" s="50">
        <f>Model!$B$32+(90-Model!$B$6)*SIN(RADIANS(-15*(E710+6)))</f>
        <v>25.804579866417328</v>
      </c>
      <c r="U710" s="45">
        <f t="shared" si="220"/>
        <v>25.804579866417328</v>
      </c>
      <c r="V710" s="50">
        <f t="shared" si="221"/>
        <v>2.297250084086377</v>
      </c>
      <c r="W710" s="45">
        <f t="shared" si="222"/>
        <v>809.14906458638177</v>
      </c>
      <c r="X710" s="45">
        <f>0.3*W710*Model!$B$9</f>
        <v>73296.4791918962</v>
      </c>
      <c r="Y710" s="33">
        <f>(S710-X710)/Model!$B$11</f>
        <v>1.7310718277643866E-3</v>
      </c>
      <c r="Z710" s="45">
        <f t="shared" si="223"/>
        <v>47.598085847442569</v>
      </c>
      <c r="AA710" s="56">
        <f>Y710/Model!$B$12*3600</f>
        <v>11.207874789715916</v>
      </c>
      <c r="AB710" s="50">
        <f t="shared" si="228"/>
        <v>59.000121032230773</v>
      </c>
      <c r="AC710" s="50">
        <f t="shared" si="214"/>
        <v>1740.9998789677693</v>
      </c>
      <c r="AD710" s="15">
        <f>IF(AE710=0, Model!$B$19, 0 )</f>
        <v>0</v>
      </c>
      <c r="AE710" s="50">
        <f>IF(AE709+AB709-AB710&lt;Model!$B$19*Model!$B$18, AE709+AB709-AB710,  0)</f>
        <v>384.63445267388278</v>
      </c>
      <c r="AF710" s="15">
        <f t="shared" si="224"/>
        <v>35.400000000000126</v>
      </c>
      <c r="AG710" s="50">
        <f t="shared" si="225"/>
        <v>0</v>
      </c>
    </row>
    <row r="711" spans="2:33" x14ac:dyDescent="0.25">
      <c r="B711" s="13">
        <f t="shared" si="226"/>
        <v>35.450000000000124</v>
      </c>
      <c r="C711" s="13">
        <f>B711+Model!$B$4</f>
        <v>37.450000000000124</v>
      </c>
      <c r="D711" s="13">
        <f t="shared" si="227"/>
        <v>2</v>
      </c>
      <c r="E711" s="13">
        <f t="shared" si="215"/>
        <v>13.450000000000124</v>
      </c>
      <c r="F711" s="14">
        <f>IF(AB711&gt;0, VLOOKUP(B711,Model!$A$40:$B$60, 2), 0)</f>
        <v>300</v>
      </c>
      <c r="G711" s="13">
        <f>IF(AB711&gt;0, VLOOKUP(B711,Model!$A$39:$C$58, 3), 0)</f>
        <v>1</v>
      </c>
      <c r="H711" s="13">
        <f t="shared" si="216"/>
        <v>97</v>
      </c>
      <c r="I711" s="46">
        <f>Model!$B$21*EXP((-0.029*9.81*F711)/(8.31*(273+J711)))</f>
        <v>100357.4491247143</v>
      </c>
      <c r="J711" s="13">
        <f>IF(Model!$B$31="Summer",  IF(F711&lt;=2000,  Model!$B$20-Model!$B$35*F711/1000,  IF(F711&lt;Model!$B$36,  Model!$B$33-6.5*F711/1000,  Model!$B$38)),     IF(F711&lt;=2000,  Model!$B$20-Model!$B$35*F711/1000,  IF(F711&lt;Model!$B$36,  Model!$B$33-5.4*F711/1000,   Model!$B$38)))</f>
        <v>-19.088750000000001</v>
      </c>
      <c r="K711" s="13">
        <f t="shared" si="211"/>
        <v>253.91125</v>
      </c>
      <c r="L711" s="46">
        <f>IF(AB710-AA710*(B711-B710)&gt;0, L710-Y710*(B711-B710)*3600-AD711*Model!$B$16, 0)</f>
        <v>553.49394936794965</v>
      </c>
      <c r="M711" s="57">
        <f t="shared" si="217"/>
        <v>9.6729284393666148</v>
      </c>
      <c r="N711" s="57">
        <f>Model!$B$13*I711*K711/(Model!$B$13*I711-L711*287*K711)</f>
        <v>282.67292843936661</v>
      </c>
      <c r="O711" s="57">
        <f t="shared" si="218"/>
        <v>268.29208921968331</v>
      </c>
      <c r="P711" s="57">
        <f t="shared" si="219"/>
        <v>0.68641631692585214</v>
      </c>
      <c r="Q711" s="63">
        <f t="shared" si="212"/>
        <v>2.3665738334597515E-2</v>
      </c>
      <c r="R711" s="17">
        <f t="shared" si="213"/>
        <v>1.3110377278847064E-5</v>
      </c>
      <c r="S711" s="46">
        <f>0.37*Model!$B$10*(Q711^2*(N711-K711)*I711/(R711*O711^2))^0.33333*(N711-K711)</f>
        <v>153866.13830633872</v>
      </c>
      <c r="T711" s="51">
        <f>Model!$B$32+(90-Model!$B$6)*SIN(RADIANS(-15*(E711+6)))</f>
        <v>25.637599289532595</v>
      </c>
      <c r="U711" s="46">
        <f t="shared" si="220"/>
        <v>25.637599289532595</v>
      </c>
      <c r="V711" s="51">
        <f t="shared" si="221"/>
        <v>2.311190383889163</v>
      </c>
      <c r="W711" s="46">
        <f t="shared" si="222"/>
        <v>806.42605956382863</v>
      </c>
      <c r="X711" s="46">
        <f>0.3*W711*Model!$B$9</f>
        <v>73049.816753897801</v>
      </c>
      <c r="Y711" s="17">
        <f>(S711-X711)/Model!$B$11</f>
        <v>1.7336977700834692E-3</v>
      </c>
      <c r="Z711" s="46">
        <f t="shared" si="223"/>
        <v>47.476213777757764</v>
      </c>
      <c r="AA711" s="57">
        <f>Y711/Model!$B$12*3600</f>
        <v>11.224876529473477</v>
      </c>
      <c r="AB711" s="51">
        <f t="shared" si="228"/>
        <v>58.439727292745012</v>
      </c>
      <c r="AC711" s="51">
        <f t="shared" si="214"/>
        <v>1741.5602727072551</v>
      </c>
      <c r="AD711" s="13">
        <f>IF(AE711=0, Model!$B$19, 0 )</f>
        <v>0</v>
      </c>
      <c r="AE711" s="51">
        <f>IF(AE710+AB710-AB711&lt;Model!$B$19*Model!$B$18, AE710+AB710-AB711,  0)</f>
        <v>385.19484641336851</v>
      </c>
      <c r="AF711" s="13">
        <f t="shared" si="224"/>
        <v>35.450000000000124</v>
      </c>
      <c r="AG711" s="50">
        <f t="shared" si="225"/>
        <v>0</v>
      </c>
    </row>
    <row r="712" spans="2:33" x14ac:dyDescent="0.25">
      <c r="B712" s="15">
        <f t="shared" si="226"/>
        <v>35.500000000000121</v>
      </c>
      <c r="C712" s="15">
        <f>B712+Model!$B$4</f>
        <v>37.500000000000121</v>
      </c>
      <c r="D712" s="15">
        <f t="shared" si="227"/>
        <v>2</v>
      </c>
      <c r="E712" s="15">
        <f t="shared" si="215"/>
        <v>13.500000000000121</v>
      </c>
      <c r="F712" s="16">
        <f>IF(AB712&gt;0, VLOOKUP(B712,Model!$A$40:$B$60, 2), 0)</f>
        <v>300</v>
      </c>
      <c r="G712" s="15">
        <f>IF(AB712&gt;0, VLOOKUP(B712,Model!$A$39:$C$58, 3), 0)</f>
        <v>1</v>
      </c>
      <c r="H712" s="15">
        <f t="shared" si="216"/>
        <v>97</v>
      </c>
      <c r="I712" s="45">
        <f>Model!$B$21*EXP((-0.029*9.81*F712)/(8.31*(273+J712)))</f>
        <v>100357.4491247143</v>
      </c>
      <c r="J712" s="15">
        <f>IF(Model!$B$31="Summer",  IF(F712&lt;=2000,  Model!$B$20-Model!$B$35*F712/1000,  IF(F712&lt;Model!$B$36,  Model!$B$33-6.5*F712/1000,  Model!$B$38)),     IF(F712&lt;=2000,  Model!$B$20-Model!$B$35*F712/1000,  IF(F712&lt;Model!$B$36,  Model!$B$33-5.4*F712/1000,   Model!$B$38)))</f>
        <v>-19.088750000000001</v>
      </c>
      <c r="K712" s="15">
        <f t="shared" si="211"/>
        <v>253.91125</v>
      </c>
      <c r="L712" s="45">
        <f>IF(AB711-AA711*(B712-B711)&gt;0, L711-Y711*(B712-B711)*3600-AD712*Model!$B$16, 0)</f>
        <v>553.1818837693346</v>
      </c>
      <c r="M712" s="56">
        <f t="shared" si="217"/>
        <v>9.654876586559908</v>
      </c>
      <c r="N712" s="56">
        <f>Model!$B$13*I712*K712/(Model!$B$13*I712-L712*287*K712)</f>
        <v>282.65487658655991</v>
      </c>
      <c r="O712" s="56">
        <f t="shared" si="218"/>
        <v>268.28306329327995</v>
      </c>
      <c r="P712" s="56">
        <f t="shared" si="219"/>
        <v>0.65923702370547765</v>
      </c>
      <c r="Q712" s="62">
        <f t="shared" si="212"/>
        <v>2.3665097493822878E-2</v>
      </c>
      <c r="R712" s="33">
        <f t="shared" si="213"/>
        <v>1.3109438582501115E-5</v>
      </c>
      <c r="S712" s="45">
        <f>0.37*Model!$B$10*(Q712^2*(N712-K712)*I712/(R712*O712^2))^0.33333*(N712-K712)</f>
        <v>153741.73164279576</v>
      </c>
      <c r="T712" s="50">
        <f>Model!$B$32+(90-Model!$B$6)*SIN(RADIANS(-15*(E712+6)))</f>
        <v>25.465048576910291</v>
      </c>
      <c r="U712" s="45">
        <f t="shared" si="220"/>
        <v>25.465048576910291</v>
      </c>
      <c r="V712" s="50">
        <f t="shared" si="221"/>
        <v>2.3257954550569919</v>
      </c>
      <c r="W712" s="45">
        <f t="shared" si="222"/>
        <v>803.58303207825315</v>
      </c>
      <c r="X712" s="45">
        <f>0.3*W712*Model!$B$9</f>
        <v>72792.282123928249</v>
      </c>
      <c r="Y712" s="33">
        <f>(S712-X712)/Model!$B$11</f>
        <v>1.736553674114931E-3</v>
      </c>
      <c r="Z712" s="45">
        <f t="shared" si="223"/>
        <v>47.347119969387471</v>
      </c>
      <c r="AA712" s="56">
        <f>Y712/Model!$B$12*3600</f>
        <v>11.243367163012008</v>
      </c>
      <c r="AB712" s="50">
        <f t="shared" si="228"/>
        <v>57.878483466271369</v>
      </c>
      <c r="AC712" s="50">
        <f t="shared" si="214"/>
        <v>1742.1215165337287</v>
      </c>
      <c r="AD712" s="15">
        <f>IF(AE712=0, Model!$B$19, 0 )</f>
        <v>0</v>
      </c>
      <c r="AE712" s="50">
        <f>IF(AE711+AB711-AB712&lt;Model!$B$19*Model!$B$18, AE711+AB711-AB712,  0)</f>
        <v>385.75609023984219</v>
      </c>
      <c r="AF712" s="15">
        <f t="shared" si="224"/>
        <v>35.500000000000121</v>
      </c>
      <c r="AG712" s="50">
        <f t="shared" si="225"/>
        <v>0</v>
      </c>
    </row>
    <row r="713" spans="2:33" x14ac:dyDescent="0.25">
      <c r="B713" s="13">
        <f t="shared" si="226"/>
        <v>35.550000000000118</v>
      </c>
      <c r="C713" s="13">
        <f>B713+Model!$B$4</f>
        <v>37.550000000000118</v>
      </c>
      <c r="D713" s="13">
        <f t="shared" si="227"/>
        <v>2</v>
      </c>
      <c r="E713" s="13">
        <f t="shared" si="215"/>
        <v>13.550000000000118</v>
      </c>
      <c r="F713" s="14">
        <f>IF(AB713&gt;0, VLOOKUP(B713,Model!$A$40:$B$60, 2), 0)</f>
        <v>300</v>
      </c>
      <c r="G713" s="13">
        <f>IF(AB713&gt;0, VLOOKUP(B713,Model!$A$39:$C$58, 3), 0)</f>
        <v>1</v>
      </c>
      <c r="H713" s="13">
        <f t="shared" si="216"/>
        <v>97</v>
      </c>
      <c r="I713" s="46">
        <f>Model!$B$21*EXP((-0.029*9.81*F713)/(8.31*(273+J713)))</f>
        <v>100357.4491247143</v>
      </c>
      <c r="J713" s="13">
        <f>IF(Model!$B$31="Summer",  IF(F713&lt;=2000,  Model!$B$20-Model!$B$35*F713/1000,  IF(F713&lt;Model!$B$36,  Model!$B$33-6.5*F713/1000,  Model!$B$38)),     IF(F713&lt;=2000,  Model!$B$20-Model!$B$35*F713/1000,  IF(F713&lt;Model!$B$36,  Model!$B$33-5.4*F713/1000,   Model!$B$38)))</f>
        <v>-19.088750000000001</v>
      </c>
      <c r="K713" s="13">
        <f t="shared" si="211"/>
        <v>253.91125</v>
      </c>
      <c r="L713" s="46">
        <f>IF(AB712-AA712*(B713-B712)&gt;0, L712-Y712*(B713-B712)*3600-AD713*Model!$B$16, 0)</f>
        <v>552.86930410799391</v>
      </c>
      <c r="M713" s="57">
        <f t="shared" si="217"/>
        <v>9.6367973082868161</v>
      </c>
      <c r="N713" s="57">
        <f>Model!$B$13*I713*K713/(Model!$B$13*I713-L713*287*K713)</f>
        <v>282.63679730828682</v>
      </c>
      <c r="O713" s="57">
        <f t="shared" si="218"/>
        <v>268.27402365414343</v>
      </c>
      <c r="P713" s="57">
        <f t="shared" si="219"/>
        <v>0.63124386799842824</v>
      </c>
      <c r="Q713" s="63">
        <f t="shared" si="212"/>
        <v>2.3664455679444186E-2</v>
      </c>
      <c r="R713" s="17">
        <f t="shared" si="213"/>
        <v>1.3108498460030917E-5</v>
      </c>
      <c r="S713" s="46">
        <f>0.37*Model!$B$10*(Q713^2*(N713-K713)*I713/(R713*O713^2))^0.33333*(N713-K713)</f>
        <v>153617.15612342622</v>
      </c>
      <c r="T713" s="51">
        <f>Model!$B$32+(90-Model!$B$6)*SIN(RADIANS(-15*(E713+6)))</f>
        <v>25.286957294226696</v>
      </c>
      <c r="U713" s="46">
        <f t="shared" si="220"/>
        <v>25.286957294226696</v>
      </c>
      <c r="V713" s="51">
        <f t="shared" si="221"/>
        <v>2.3410867470016306</v>
      </c>
      <c r="W713" s="46">
        <f t="shared" si="222"/>
        <v>800.61716507870369</v>
      </c>
      <c r="X713" s="46">
        <f>0.3*W713*Model!$B$9</f>
        <v>72523.620120432592</v>
      </c>
      <c r="Y713" s="17">
        <f>(S713-X713)/Model!$B$11</f>
        <v>1.7396446637990696E-3</v>
      </c>
      <c r="Z713" s="46">
        <f t="shared" si="223"/>
        <v>47.210625395357731</v>
      </c>
      <c r="AA713" s="57">
        <f>Y713/Model!$B$12*3600</f>
        <v>11.263379865431682</v>
      </c>
      <c r="AB713" s="51">
        <f t="shared" si="228"/>
        <v>57.316315108120804</v>
      </c>
      <c r="AC713" s="51">
        <f t="shared" si="214"/>
        <v>1742.6836848918792</v>
      </c>
      <c r="AD713" s="13">
        <f>IF(AE713=0, Model!$B$19, 0 )</f>
        <v>0</v>
      </c>
      <c r="AE713" s="51">
        <f>IF(AE712+AB712-AB713&lt;Model!$B$19*Model!$B$18, AE712+AB712-AB713,  0)</f>
        <v>386.31825859799272</v>
      </c>
      <c r="AF713" s="13">
        <f t="shared" si="224"/>
        <v>35.550000000000118</v>
      </c>
      <c r="AG713" s="50">
        <f t="shared" si="225"/>
        <v>0</v>
      </c>
    </row>
    <row r="714" spans="2:33" x14ac:dyDescent="0.25">
      <c r="B714" s="15">
        <f t="shared" si="226"/>
        <v>35.600000000000115</v>
      </c>
      <c r="C714" s="15">
        <f>B714+Model!$B$4</f>
        <v>37.600000000000115</v>
      </c>
      <c r="D714" s="15">
        <f t="shared" si="227"/>
        <v>2</v>
      </c>
      <c r="E714" s="15">
        <f t="shared" si="215"/>
        <v>13.600000000000115</v>
      </c>
      <c r="F714" s="16">
        <f>IF(AB714&gt;0, VLOOKUP(B714,Model!$A$40:$B$60, 2), 0)</f>
        <v>300</v>
      </c>
      <c r="G714" s="15">
        <f>IF(AB714&gt;0, VLOOKUP(B714,Model!$A$39:$C$58, 3), 0)</f>
        <v>1</v>
      </c>
      <c r="H714" s="15">
        <f t="shared" si="216"/>
        <v>97</v>
      </c>
      <c r="I714" s="45">
        <f>Model!$B$21*EXP((-0.029*9.81*F714)/(8.31*(273+J714)))</f>
        <v>100357.4491247143</v>
      </c>
      <c r="J714" s="15">
        <f>IF(Model!$B$31="Summer",  IF(F714&lt;=2000,  Model!$B$20-Model!$B$35*F714/1000,  IF(F714&lt;Model!$B$36,  Model!$B$33-6.5*F714/1000,  Model!$B$38)),     IF(F714&lt;=2000,  Model!$B$20-Model!$B$35*F714/1000,  IF(F714&lt;Model!$B$36,  Model!$B$33-5.4*F714/1000,   Model!$B$38)))</f>
        <v>-19.088750000000001</v>
      </c>
      <c r="K714" s="15">
        <f t="shared" si="211"/>
        <v>253.91125</v>
      </c>
      <c r="L714" s="45">
        <f>IF(AB713-AA713*(B714-B713)&gt;0, L713-Y713*(B714-B713)*3600-AD714*Model!$B$16, 0)</f>
        <v>552.55616806851015</v>
      </c>
      <c r="M714" s="56">
        <f t="shared" si="217"/>
        <v>9.6186881685055141</v>
      </c>
      <c r="N714" s="56">
        <f>Model!$B$13*I714*K714/(Model!$B$13*I714-L714*287*K714)</f>
        <v>282.61868816850551</v>
      </c>
      <c r="O714" s="56">
        <f t="shared" si="218"/>
        <v>268.26496908425275</v>
      </c>
      <c r="P714" s="56">
        <f t="shared" si="219"/>
        <v>0.60241685144411417</v>
      </c>
      <c r="Q714" s="62">
        <f t="shared" si="212"/>
        <v>2.3663812804981945E-2</v>
      </c>
      <c r="R714" s="33">
        <f t="shared" si="213"/>
        <v>1.3107556784762286E-5</v>
      </c>
      <c r="S714" s="45">
        <f>0.37*Model!$B$10*(Q714^2*(N714-K714)*I714/(R714*O714^2))^0.33333*(N714-K714)</f>
        <v>153492.39507116427</v>
      </c>
      <c r="T714" s="50">
        <f>Model!$B$32+(90-Model!$B$6)*SIN(RADIANS(-15*(E714+6)))</f>
        <v>25.103355956506284</v>
      </c>
      <c r="U714" s="45">
        <f t="shared" si="220"/>
        <v>25.103355956506284</v>
      </c>
      <c r="V714" s="50">
        <f t="shared" si="221"/>
        <v>2.3570870794647574</v>
      </c>
      <c r="W714" s="45">
        <f t="shared" si="222"/>
        <v>797.52549357143505</v>
      </c>
      <c r="X714" s="45">
        <f>0.3*W714*Model!$B$9</f>
        <v>72243.562160510803</v>
      </c>
      <c r="Y714" s="33">
        <f>(S714-X714)/Model!$B$11</f>
        <v>1.7429761431010074E-3</v>
      </c>
      <c r="Z714" s="45">
        <f t="shared" si="223"/>
        <v>47.066541718250107</v>
      </c>
      <c r="AA714" s="56">
        <f>Y714/Model!$B$12*3600</f>
        <v>11.28494962486152</v>
      </c>
      <c r="AB714" s="50">
        <f t="shared" si="228"/>
        <v>56.753146114849251</v>
      </c>
      <c r="AC714" s="50">
        <f t="shared" si="214"/>
        <v>1743.2468538851508</v>
      </c>
      <c r="AD714" s="15">
        <f>IF(AE714=0, Model!$B$19, 0 )</f>
        <v>0</v>
      </c>
      <c r="AE714" s="50">
        <f>IF(AE713+AB713-AB714&lt;Model!$B$19*Model!$B$18, AE713+AB713-AB714,  0)</f>
        <v>386.8814275912643</v>
      </c>
      <c r="AF714" s="15">
        <f t="shared" si="224"/>
        <v>35.600000000000115</v>
      </c>
      <c r="AG714" s="50">
        <f t="shared" si="225"/>
        <v>0</v>
      </c>
    </row>
    <row r="715" spans="2:33" x14ac:dyDescent="0.25">
      <c r="B715" s="13">
        <f t="shared" si="226"/>
        <v>35.650000000000112</v>
      </c>
      <c r="C715" s="13">
        <f>B715+Model!$B$4</f>
        <v>37.650000000000112</v>
      </c>
      <c r="D715" s="13">
        <f t="shared" si="227"/>
        <v>2</v>
      </c>
      <c r="E715" s="13">
        <f t="shared" si="215"/>
        <v>13.650000000000112</v>
      </c>
      <c r="F715" s="14">
        <f>IF(AB715&gt;0, VLOOKUP(B715,Model!$A$40:$B$60, 2), 0)</f>
        <v>300</v>
      </c>
      <c r="G715" s="13">
        <f>IF(AB715&gt;0, VLOOKUP(B715,Model!$A$39:$C$58, 3), 0)</f>
        <v>1</v>
      </c>
      <c r="H715" s="13">
        <f t="shared" si="216"/>
        <v>97</v>
      </c>
      <c r="I715" s="46">
        <f>Model!$B$21*EXP((-0.029*9.81*F715)/(8.31*(273+J715)))</f>
        <v>100357.4491247143</v>
      </c>
      <c r="J715" s="13">
        <f>IF(Model!$B$31="Summer",  IF(F715&lt;=2000,  Model!$B$20-Model!$B$35*F715/1000,  IF(F715&lt;Model!$B$36,  Model!$B$33-6.5*F715/1000,  Model!$B$38)),     IF(F715&lt;=2000,  Model!$B$20-Model!$B$35*F715/1000,  IF(F715&lt;Model!$B$36,  Model!$B$33-5.4*F715/1000,   Model!$B$38)))</f>
        <v>-19.088750000000001</v>
      </c>
      <c r="K715" s="13">
        <f t="shared" si="211"/>
        <v>253.91125</v>
      </c>
      <c r="L715" s="46">
        <f>IF(AB714-AA714*(B715-B714)&gt;0, L714-Y714*(B715-B714)*3600-AD715*Model!$B$16, 0)</f>
        <v>552.24243236275197</v>
      </c>
      <c r="M715" s="57">
        <f t="shared" si="217"/>
        <v>9.6005466762022706</v>
      </c>
      <c r="N715" s="57">
        <f>Model!$B$13*I715*K715/(Model!$B$13*I715-L715*287*K715)</f>
        <v>282.60054667620227</v>
      </c>
      <c r="O715" s="57">
        <f t="shared" si="218"/>
        <v>268.25589833810113</v>
      </c>
      <c r="P715" s="57">
        <f t="shared" si="219"/>
        <v>0.57273496191070183</v>
      </c>
      <c r="Q715" s="63">
        <f t="shared" si="212"/>
        <v>2.3663168782005181E-2</v>
      </c>
      <c r="R715" s="17">
        <f t="shared" si="213"/>
        <v>1.3106613427162518E-5</v>
      </c>
      <c r="S715" s="46">
        <f>0.37*Model!$B$10*(Q715^2*(N715-K715)*I715/(R715*O715^2))^0.33333*(N715-K715)</f>
        <v>153367.43144150145</v>
      </c>
      <c r="T715" s="51">
        <f>Model!$B$32+(90-Model!$B$6)*SIN(RADIANS(-15*(E715+6)))</f>
        <v>24.914276022893084</v>
      </c>
      <c r="U715" s="46">
        <f t="shared" si="220"/>
        <v>24.914276022893084</v>
      </c>
      <c r="V715" s="51">
        <f t="shared" si="221"/>
        <v>2.3738207302615524</v>
      </c>
      <c r="W715" s="46">
        <f t="shared" si="222"/>
        <v>794.30489834616731</v>
      </c>
      <c r="X715" s="46">
        <f>0.3*W715*Model!$B$9</f>
        <v>71951.825691613034</v>
      </c>
      <c r="Y715" s="17">
        <f>(S715-X715)/Model!$B$11</f>
        <v>1.7465538077847992E-3</v>
      </c>
      <c r="Z715" s="46">
        <f t="shared" si="223"/>
        <v>46.914670875907206</v>
      </c>
      <c r="AA715" s="57">
        <f>Y715/Model!$B$12*3600</f>
        <v>11.308113318691206</v>
      </c>
      <c r="AB715" s="51">
        <f t="shared" si="228"/>
        <v>56.188898633606208</v>
      </c>
      <c r="AC715" s="51">
        <f t="shared" si="214"/>
        <v>1743.8111013663938</v>
      </c>
      <c r="AD715" s="13">
        <f>IF(AE715=0, Model!$B$19, 0 )</f>
        <v>0</v>
      </c>
      <c r="AE715" s="51">
        <f>IF(AE714+AB714-AB715&lt;Model!$B$19*Model!$B$18, AE714+AB714-AB715,  0)</f>
        <v>387.44567507250736</v>
      </c>
      <c r="AF715" s="13">
        <f t="shared" si="224"/>
        <v>35.650000000000112</v>
      </c>
      <c r="AG715" s="50">
        <f t="shared" si="225"/>
        <v>0</v>
      </c>
    </row>
    <row r="716" spans="2:33" x14ac:dyDescent="0.25">
      <c r="B716" s="15">
        <f t="shared" si="226"/>
        <v>35.700000000000109</v>
      </c>
      <c r="C716" s="15">
        <f>B716+Model!$B$4</f>
        <v>37.700000000000109</v>
      </c>
      <c r="D716" s="15">
        <f t="shared" si="227"/>
        <v>2</v>
      </c>
      <c r="E716" s="15">
        <f t="shared" si="215"/>
        <v>13.700000000000109</v>
      </c>
      <c r="F716" s="16">
        <f>IF(AB716&gt;0, VLOOKUP(B716,Model!$A$40:$B$60, 2), 0)</f>
        <v>300</v>
      </c>
      <c r="G716" s="15">
        <f>IF(AB716&gt;0, VLOOKUP(B716,Model!$A$39:$C$58, 3), 0)</f>
        <v>1</v>
      </c>
      <c r="H716" s="15">
        <f t="shared" si="216"/>
        <v>97</v>
      </c>
      <c r="I716" s="45">
        <f>Model!$B$21*EXP((-0.029*9.81*F716)/(8.31*(273+J716)))</f>
        <v>100357.4491247143</v>
      </c>
      <c r="J716" s="15">
        <f>IF(Model!$B$31="Summer",  IF(F716&lt;=2000,  Model!$B$20-Model!$B$35*F716/1000,  IF(F716&lt;Model!$B$36,  Model!$B$33-6.5*F716/1000,  Model!$B$38)),     IF(F716&lt;=2000,  Model!$B$20-Model!$B$35*F716/1000,  IF(F716&lt;Model!$B$36,  Model!$B$33-5.4*F716/1000,   Model!$B$38)))</f>
        <v>-19.088750000000001</v>
      </c>
      <c r="K716" s="15">
        <f t="shared" si="211"/>
        <v>253.91125</v>
      </c>
      <c r="L716" s="45">
        <f>IF(AB715-AA715*(B716-B715)&gt;0, L715-Y715*(B716-B715)*3600-AD716*Model!$B$16, 0)</f>
        <v>551.92805267735071</v>
      </c>
      <c r="M716" s="56">
        <f t="shared" si="217"/>
        <v>9.582370282396198</v>
      </c>
      <c r="N716" s="56">
        <f>Model!$B$13*I716*K716/(Model!$B$13*I716-L716*287*K716)</f>
        <v>282.5823702823962</v>
      </c>
      <c r="O716" s="56">
        <f t="shared" si="218"/>
        <v>268.24681014119813</v>
      </c>
      <c r="P716" s="56">
        <f t="shared" si="219"/>
        <v>0.54217613017254696</v>
      </c>
      <c r="Q716" s="62">
        <f t="shared" si="212"/>
        <v>2.3662523520025066E-2</v>
      </c>
      <c r="R716" s="33">
        <f t="shared" si="213"/>
        <v>1.3105668254684604E-5</v>
      </c>
      <c r="S716" s="45">
        <f>0.37*Model!$B$10*(Q716^2*(N716-K716)*I716/(R716*O716^2))^0.33333*(N716-K716)</f>
        <v>153242.24780223417</v>
      </c>
      <c r="T716" s="50">
        <f>Model!$B$32+(90-Model!$B$6)*SIN(RADIANS(-15*(E716+6)))</f>
        <v>24.719749891260363</v>
      </c>
      <c r="U716" s="45">
        <f t="shared" si="220"/>
        <v>24.719749891260363</v>
      </c>
      <c r="V716" s="50">
        <f t="shared" si="221"/>
        <v>2.3913135307749656</v>
      </c>
      <c r="W716" s="45">
        <f t="shared" si="222"/>
        <v>790.95209931266243</v>
      </c>
      <c r="X716" s="45">
        <f>0.3*W716*Model!$B$9</f>
        <v>71648.113587935921</v>
      </c>
      <c r="Y716" s="33">
        <f>(S716-X716)/Model!$B$11</f>
        <v>1.750383657927668E-3</v>
      </c>
      <c r="Z716" s="45">
        <f t="shared" si="223"/>
        <v>46.754804641342083</v>
      </c>
      <c r="AA716" s="56">
        <f>Y716/Model!$B$12*3600</f>
        <v>11.332909794594855</v>
      </c>
      <c r="AB716" s="50">
        <f t="shared" si="228"/>
        <v>55.62349296767168</v>
      </c>
      <c r="AC716" s="50">
        <f t="shared" si="214"/>
        <v>1744.3765070323284</v>
      </c>
      <c r="AD716" s="15">
        <f>IF(AE716=0, Model!$B$19, 0 )</f>
        <v>0</v>
      </c>
      <c r="AE716" s="50">
        <f>IF(AE715+AB715-AB716&lt;Model!$B$19*Model!$B$18, AE715+AB715-AB716,  0)</f>
        <v>388.01108073844188</v>
      </c>
      <c r="AF716" s="15">
        <f t="shared" si="224"/>
        <v>35.700000000000109</v>
      </c>
      <c r="AG716" s="50">
        <f t="shared" si="225"/>
        <v>0</v>
      </c>
    </row>
    <row r="717" spans="2:33" x14ac:dyDescent="0.25">
      <c r="B717" s="13">
        <f t="shared" si="226"/>
        <v>35.750000000000107</v>
      </c>
      <c r="C717" s="13">
        <f>B717+Model!$B$4</f>
        <v>37.750000000000107</v>
      </c>
      <c r="D717" s="13">
        <f t="shared" si="227"/>
        <v>2</v>
      </c>
      <c r="E717" s="13">
        <f t="shared" si="215"/>
        <v>13.750000000000107</v>
      </c>
      <c r="F717" s="14">
        <f>IF(AB717&gt;0, VLOOKUP(B717,Model!$A$40:$B$60, 2), 0)</f>
        <v>300</v>
      </c>
      <c r="G717" s="13">
        <f>IF(AB717&gt;0, VLOOKUP(B717,Model!$A$39:$C$58, 3), 0)</f>
        <v>1</v>
      </c>
      <c r="H717" s="13">
        <f t="shared" si="216"/>
        <v>97</v>
      </c>
      <c r="I717" s="46">
        <f>Model!$B$21*EXP((-0.029*9.81*F717)/(8.31*(273+J717)))</f>
        <v>100357.4491247143</v>
      </c>
      <c r="J717" s="13">
        <f>IF(Model!$B$31="Summer",  IF(F717&lt;=2000,  Model!$B$20-Model!$B$35*F717/1000,  IF(F717&lt;Model!$B$36,  Model!$B$33-6.5*F717/1000,  Model!$B$38)),     IF(F717&lt;=2000,  Model!$B$20-Model!$B$35*F717/1000,  IF(F717&lt;Model!$B$36,  Model!$B$33-5.4*F717/1000,   Model!$B$38)))</f>
        <v>-19.088750000000001</v>
      </c>
      <c r="K717" s="13">
        <f t="shared" si="211"/>
        <v>253.91125</v>
      </c>
      <c r="L717" s="46">
        <f>IF(AB716-AA716*(B717-B716)&gt;0, L716-Y716*(B717-B716)*3600-AD717*Model!$B$16, 0)</f>
        <v>551.61298361892375</v>
      </c>
      <c r="M717" s="57">
        <f t="shared" si="217"/>
        <v>9.5641563770169</v>
      </c>
      <c r="N717" s="57">
        <f>Model!$B$13*I717*K717/(Model!$B$13*I717-L717*287*K717)</f>
        <v>282.5641563770169</v>
      </c>
      <c r="O717" s="57">
        <f t="shared" si="218"/>
        <v>268.23770318850848</v>
      </c>
      <c r="P717" s="57">
        <f t="shared" si="219"/>
        <v>0.51071718392619925</v>
      </c>
      <c r="Q717" s="63">
        <f t="shared" si="212"/>
        <v>2.3661876926384103E-2</v>
      </c>
      <c r="R717" s="17">
        <f t="shared" si="213"/>
        <v>1.310472113160488E-5</v>
      </c>
      <c r="S717" s="46">
        <f>0.37*Model!$B$10*(Q717^2*(N717-K717)*I717/(R717*O717^2))^0.33333*(N717-K717)</f>
        <v>153116.82631236091</v>
      </c>
      <c r="T717" s="51">
        <f>Model!$B$32+(90-Model!$B$6)*SIN(RADIANS(-15*(E717+6)))</f>
        <v>24.519810892659347</v>
      </c>
      <c r="U717" s="46">
        <f t="shared" si="220"/>
        <v>24.519810892659347</v>
      </c>
      <c r="V717" s="51">
        <f t="shared" si="221"/>
        <v>2.409592969961015</v>
      </c>
      <c r="W717" s="46">
        <f t="shared" si="222"/>
        <v>787.46364842669277</v>
      </c>
      <c r="X717" s="46">
        <f>0.3*W717*Model!$B$9</f>
        <v>71332.113509623858</v>
      </c>
      <c r="Y717" s="17">
        <f>(S717-X717)/Model!$B$11</f>
        <v>1.7544720112139236E-3</v>
      </c>
      <c r="Z717" s="46">
        <f t="shared" si="223"/>
        <v>46.58672415538782</v>
      </c>
      <c r="AA717" s="57">
        <f>Y717/Model!$B$12*3600</f>
        <v>11.359379956602895</v>
      </c>
      <c r="AB717" s="51">
        <f t="shared" si="228"/>
        <v>55.056847477941972</v>
      </c>
      <c r="AC717" s="51">
        <f t="shared" si="214"/>
        <v>1744.943152522058</v>
      </c>
      <c r="AD717" s="13">
        <f>IF(AE717=0, Model!$B$19, 0 )</f>
        <v>0</v>
      </c>
      <c r="AE717" s="51">
        <f>IF(AE716+AB716-AB717&lt;Model!$B$19*Model!$B$18, AE716+AB716-AB717,  0)</f>
        <v>388.57772622817157</v>
      </c>
      <c r="AF717" s="13">
        <f t="shared" si="224"/>
        <v>35.750000000000107</v>
      </c>
      <c r="AG717" s="50">
        <f t="shared" si="225"/>
        <v>0</v>
      </c>
    </row>
    <row r="718" spans="2:33" x14ac:dyDescent="0.25">
      <c r="B718" s="15">
        <f t="shared" si="226"/>
        <v>35.800000000000104</v>
      </c>
      <c r="C718" s="15">
        <f>B718+Model!$B$4</f>
        <v>37.800000000000104</v>
      </c>
      <c r="D718" s="15">
        <f t="shared" si="227"/>
        <v>2</v>
      </c>
      <c r="E718" s="15">
        <f t="shared" si="215"/>
        <v>13.800000000000104</v>
      </c>
      <c r="F718" s="16">
        <f>IF(AB718&gt;0, VLOOKUP(B718,Model!$A$40:$B$60, 2), 0)</f>
        <v>300</v>
      </c>
      <c r="G718" s="15">
        <f>IF(AB718&gt;0, VLOOKUP(B718,Model!$A$39:$C$58, 3), 0)</f>
        <v>1</v>
      </c>
      <c r="H718" s="15">
        <f t="shared" si="216"/>
        <v>97</v>
      </c>
      <c r="I718" s="45">
        <f>Model!$B$21*EXP((-0.029*9.81*F718)/(8.31*(273+J718)))</f>
        <v>100357.4491247143</v>
      </c>
      <c r="J718" s="15">
        <f>IF(Model!$B$31="Summer",  IF(F718&lt;=2000,  Model!$B$20-Model!$B$35*F718/1000,  IF(F718&lt;Model!$B$36,  Model!$B$33-6.5*F718/1000,  Model!$B$38)),     IF(F718&lt;=2000,  Model!$B$20-Model!$B$35*F718/1000,  IF(F718&lt;Model!$B$36,  Model!$B$33-5.4*F718/1000,   Model!$B$38)))</f>
        <v>-19.088750000000001</v>
      </c>
      <c r="K718" s="15">
        <f t="shared" si="211"/>
        <v>253.91125</v>
      </c>
      <c r="L718" s="45">
        <f>IF(AB717-AA717*(B718-B717)&gt;0, L717-Y717*(B718-B717)*3600-AD718*Model!$B$16, 0)</f>
        <v>551.29717865690532</v>
      </c>
      <c r="M718" s="56">
        <f t="shared" si="217"/>
        <v>9.5459022856468323</v>
      </c>
      <c r="N718" s="56">
        <f>Model!$B$13*I718*K718/(Model!$B$13*I718-L718*287*K718)</f>
        <v>282.54590228564683</v>
      </c>
      <c r="O718" s="56">
        <f t="shared" si="218"/>
        <v>268.22857614282339</v>
      </c>
      <c r="P718" s="56">
        <f t="shared" si="219"/>
        <v>0.47833379900136741</v>
      </c>
      <c r="Q718" s="62">
        <f t="shared" si="212"/>
        <v>2.3661228906140461E-2</v>
      </c>
      <c r="R718" s="33">
        <f t="shared" si="213"/>
        <v>1.310377191885363E-5</v>
      </c>
      <c r="S718" s="45">
        <f>0.37*Model!$B$10*(Q718^2*(N718-K718)*I718/(R718*O718^2))^0.33333*(N718-K718)</f>
        <v>152991.14870007758</v>
      </c>
      <c r="T718" s="50">
        <f>Model!$B$32+(90-Model!$B$6)*SIN(RADIANS(-15*(E718+6)))</f>
        <v>24.314493285608133</v>
      </c>
      <c r="U718" s="45">
        <f t="shared" si="220"/>
        <v>24.314493285608133</v>
      </c>
      <c r="V718" s="50">
        <f t="shared" si="221"/>
        <v>2.428688307714606</v>
      </c>
      <c r="W718" s="45">
        <f t="shared" si="222"/>
        <v>783.8359221834794</v>
      </c>
      <c r="X718" s="45">
        <f>0.3*W718*Model!$B$9</f>
        <v>71003.497222789854</v>
      </c>
      <c r="Y718" s="33">
        <f>(S718-X718)/Model!$B$11</f>
        <v>1.7588255170500424E-3</v>
      </c>
      <c r="Z718" s="45">
        <f t="shared" si="223"/>
        <v>46.410199430546434</v>
      </c>
      <c r="AA718" s="56">
        <f>Y718/Model!$B$12*3600</f>
        <v>11.38756685649054</v>
      </c>
      <c r="AB718" s="50">
        <f t="shared" si="228"/>
        <v>54.488878480111858</v>
      </c>
      <c r="AC718" s="50">
        <f t="shared" si="214"/>
        <v>1745.5111215198881</v>
      </c>
      <c r="AD718" s="15">
        <f>IF(AE718=0, Model!$B$19, 0 )</f>
        <v>0</v>
      </c>
      <c r="AE718" s="50">
        <f>IF(AE717+AB717-AB718&lt;Model!$B$19*Model!$B$18, AE717+AB717-AB718,  0)</f>
        <v>389.14569522600169</v>
      </c>
      <c r="AF718" s="15">
        <f t="shared" si="224"/>
        <v>35.800000000000104</v>
      </c>
      <c r="AG718" s="50">
        <f t="shared" si="225"/>
        <v>0</v>
      </c>
    </row>
    <row r="719" spans="2:33" x14ac:dyDescent="0.25">
      <c r="B719" s="13">
        <f t="shared" si="226"/>
        <v>35.850000000000101</v>
      </c>
      <c r="C719" s="13">
        <f>B719+Model!$B$4</f>
        <v>37.850000000000101</v>
      </c>
      <c r="D719" s="13">
        <f t="shared" si="227"/>
        <v>2</v>
      </c>
      <c r="E719" s="13">
        <f t="shared" si="215"/>
        <v>13.850000000000101</v>
      </c>
      <c r="F719" s="14">
        <f>IF(AB719&gt;0, VLOOKUP(B719,Model!$A$40:$B$60, 2), 0)</f>
        <v>300</v>
      </c>
      <c r="G719" s="13">
        <f>IF(AB719&gt;0, VLOOKUP(B719,Model!$A$39:$C$58, 3), 0)</f>
        <v>1</v>
      </c>
      <c r="H719" s="13">
        <f t="shared" si="216"/>
        <v>97</v>
      </c>
      <c r="I719" s="46">
        <f>Model!$B$21*EXP((-0.029*9.81*F719)/(8.31*(273+J719)))</f>
        <v>100357.4491247143</v>
      </c>
      <c r="J719" s="13">
        <f>IF(Model!$B$31="Summer",  IF(F719&lt;=2000,  Model!$B$20-Model!$B$35*F719/1000,  IF(F719&lt;Model!$B$36,  Model!$B$33-6.5*F719/1000,  Model!$B$38)),     IF(F719&lt;=2000,  Model!$B$20-Model!$B$35*F719/1000,  IF(F719&lt;Model!$B$36,  Model!$B$33-5.4*F719/1000,   Model!$B$38)))</f>
        <v>-19.088750000000001</v>
      </c>
      <c r="K719" s="13">
        <f t="shared" si="211"/>
        <v>253.91125</v>
      </c>
      <c r="L719" s="46">
        <f>IF(AB718-AA718*(B719-B718)&gt;0, L718-Y718*(B719-B718)*3600-AD719*Model!$B$16, 0)</f>
        <v>550.9805900638363</v>
      </c>
      <c r="M719" s="57">
        <f t="shared" si="217"/>
        <v>9.5276052661198491</v>
      </c>
      <c r="N719" s="57">
        <f>Model!$B$13*I719*K719/(Model!$B$13*I719-L719*287*K719)</f>
        <v>282.52760526611985</v>
      </c>
      <c r="O719" s="57">
        <f t="shared" si="218"/>
        <v>268.21942763305992</v>
      </c>
      <c r="P719" s="57">
        <f t="shared" si="219"/>
        <v>0.44500044761645352</v>
      </c>
      <c r="Q719" s="63">
        <f t="shared" si="212"/>
        <v>2.3660579361947254E-2</v>
      </c>
      <c r="R719" s="17">
        <f t="shared" si="213"/>
        <v>1.3102820473838231E-5</v>
      </c>
      <c r="S719" s="46">
        <f>0.37*Model!$B$10*(Q719^2*(N719-K719)*I719/(R719*O719^2))^0.33333*(N719-K719)</f>
        <v>152865.19623981105</v>
      </c>
      <c r="T719" s="51">
        <f>Model!$B$32+(90-Model!$B$6)*SIN(RADIANS(-15*(E719+6)))</f>
        <v>24.103832250221711</v>
      </c>
      <c r="U719" s="46">
        <f t="shared" si="220"/>
        <v>24.103832250221711</v>
      </c>
      <c r="V719" s="51">
        <f t="shared" si="221"/>
        <v>2.4486306985463431</v>
      </c>
      <c r="W719" s="46">
        <f t="shared" si="222"/>
        <v>780.06511365572817</v>
      </c>
      <c r="X719" s="46">
        <f>0.3*W719*Model!$B$9</f>
        <v>70661.919878283836</v>
      </c>
      <c r="Y719" s="17">
        <f>(S719-X719)/Model!$B$11</f>
        <v>1.7634511715440783E-3</v>
      </c>
      <c r="Z719" s="46">
        <f t="shared" si="223"/>
        <v>46.224988824422269</v>
      </c>
      <c r="AA719" s="57">
        <f>Y719/Model!$B$12*3600</f>
        <v>11.417515790762433</v>
      </c>
      <c r="AB719" s="51">
        <f t="shared" si="228"/>
        <v>53.919500137287365</v>
      </c>
      <c r="AC719" s="51">
        <f t="shared" si="214"/>
        <v>1746.0804998627127</v>
      </c>
      <c r="AD719" s="13">
        <f>IF(AE719=0, Model!$B$19, 0 )</f>
        <v>0</v>
      </c>
      <c r="AE719" s="51">
        <f>IF(AE718+AB718-AB719&lt;Model!$B$19*Model!$B$18, AE718+AB718-AB719,  0)</f>
        <v>389.7150735688262</v>
      </c>
      <c r="AF719" s="13">
        <f t="shared" si="224"/>
        <v>35.850000000000101</v>
      </c>
      <c r="AG719" s="50">
        <f t="shared" si="225"/>
        <v>0</v>
      </c>
    </row>
    <row r="720" spans="2:33" x14ac:dyDescent="0.25">
      <c r="B720" s="15">
        <f t="shared" si="226"/>
        <v>35.900000000000098</v>
      </c>
      <c r="C720" s="15">
        <f>B720+Model!$B$4</f>
        <v>37.900000000000098</v>
      </c>
      <c r="D720" s="15">
        <f t="shared" si="227"/>
        <v>2</v>
      </c>
      <c r="E720" s="15">
        <f t="shared" si="215"/>
        <v>13.900000000000098</v>
      </c>
      <c r="F720" s="16">
        <f>IF(AB720&gt;0, VLOOKUP(B720,Model!$A$40:$B$60, 2), 0)</f>
        <v>300</v>
      </c>
      <c r="G720" s="15">
        <f>IF(AB720&gt;0, VLOOKUP(B720,Model!$A$39:$C$58, 3), 0)</f>
        <v>1</v>
      </c>
      <c r="H720" s="15">
        <f t="shared" si="216"/>
        <v>97</v>
      </c>
      <c r="I720" s="45">
        <f>Model!$B$21*EXP((-0.029*9.81*F720)/(8.31*(273+J720)))</f>
        <v>100357.4491247143</v>
      </c>
      <c r="J720" s="15">
        <f>IF(Model!$B$31="Summer",  IF(F720&lt;=2000,  Model!$B$20-Model!$B$35*F720/1000,  IF(F720&lt;Model!$B$36,  Model!$B$33-6.5*F720/1000,  Model!$B$38)),     IF(F720&lt;=2000,  Model!$B$20-Model!$B$35*F720/1000,  IF(F720&lt;Model!$B$36,  Model!$B$33-5.4*F720/1000,   Model!$B$38)))</f>
        <v>-19.088750000000001</v>
      </c>
      <c r="K720" s="15">
        <f t="shared" si="211"/>
        <v>253.91125</v>
      </c>
      <c r="L720" s="45">
        <f>IF(AB719-AA719*(B720-B719)&gt;0, L719-Y719*(B720-B719)*3600-AD720*Model!$B$16, 0)</f>
        <v>550.66316885295839</v>
      </c>
      <c r="M720" s="56">
        <f t="shared" si="217"/>
        <v>9.5092625049680919</v>
      </c>
      <c r="N720" s="56">
        <f>Model!$B$13*I720*K720/(Model!$B$13*I720-L720*287*K720)</f>
        <v>282.50926250496809</v>
      </c>
      <c r="O720" s="56">
        <f t="shared" si="218"/>
        <v>268.21025625248404</v>
      </c>
      <c r="P720" s="56">
        <f t="shared" si="219"/>
        <v>0.41069034352223355</v>
      </c>
      <c r="Q720" s="62">
        <f t="shared" si="212"/>
        <v>2.3659928193926368E-2</v>
      </c>
      <c r="R720" s="33">
        <f t="shared" si="213"/>
        <v>1.310186665025834E-5</v>
      </c>
      <c r="S720" s="45">
        <f>0.37*Model!$B$10*(Q720^2*(N720-K720)*I720/(R720*O720^2))^0.33333*(N720-K720)</f>
        <v>152738.94972824139</v>
      </c>
      <c r="T720" s="50">
        <f>Model!$B$32+(90-Model!$B$6)*SIN(RADIANS(-15*(E720+6)))</f>
        <v>23.887863882184035</v>
      </c>
      <c r="U720" s="45">
        <f t="shared" si="220"/>
        <v>23.887863882184035</v>
      </c>
      <c r="V720" s="50">
        <f t="shared" si="221"/>
        <v>2.4694533266352567</v>
      </c>
      <c r="W720" s="45">
        <f t="shared" si="222"/>
        <v>776.14722405249654</v>
      </c>
      <c r="X720" s="45">
        <f>0.3*W720*Model!$B$9</f>
        <v>70307.019247055636</v>
      </c>
      <c r="Y720" s="33">
        <f>(S720-X720)/Model!$B$11</f>
        <v>1.7683563333945245E-3</v>
      </c>
      <c r="Z720" s="45">
        <f t="shared" si="223"/>
        <v>46.030838481047823</v>
      </c>
      <c r="AA720" s="56">
        <f>Y720/Model!$B$12*3600</f>
        <v>11.449274403525541</v>
      </c>
      <c r="AB720" s="50">
        <f t="shared" si="228"/>
        <v>53.348624347749272</v>
      </c>
      <c r="AC720" s="50">
        <f t="shared" si="214"/>
        <v>1746.6513756522506</v>
      </c>
      <c r="AD720" s="15">
        <f>IF(AE720=0, Model!$B$19, 0 )</f>
        <v>0</v>
      </c>
      <c r="AE720" s="50">
        <f>IF(AE719+AB719-AB720&lt;Model!$B$19*Model!$B$18, AE719+AB719-AB720,  0)</f>
        <v>390.28594935836429</v>
      </c>
      <c r="AF720" s="15">
        <f t="shared" si="224"/>
        <v>35.900000000000098</v>
      </c>
      <c r="AG720" s="50">
        <f t="shared" si="225"/>
        <v>0</v>
      </c>
    </row>
    <row r="721" spans="2:33" x14ac:dyDescent="0.25">
      <c r="B721" s="13">
        <f t="shared" si="226"/>
        <v>35.950000000000095</v>
      </c>
      <c r="C721" s="13">
        <f>B721+Model!$B$4</f>
        <v>37.950000000000095</v>
      </c>
      <c r="D721" s="13">
        <f t="shared" si="227"/>
        <v>2</v>
      </c>
      <c r="E721" s="13">
        <f t="shared" si="215"/>
        <v>13.950000000000095</v>
      </c>
      <c r="F721" s="14">
        <f>IF(AB721&gt;0, VLOOKUP(B721,Model!$A$40:$B$60, 2), 0)</f>
        <v>300</v>
      </c>
      <c r="G721" s="13">
        <f>IF(AB721&gt;0, VLOOKUP(B721,Model!$A$39:$C$58, 3), 0)</f>
        <v>1</v>
      </c>
      <c r="H721" s="13">
        <f t="shared" si="216"/>
        <v>97</v>
      </c>
      <c r="I721" s="46">
        <f>Model!$B$21*EXP((-0.029*9.81*F721)/(8.31*(273+J721)))</f>
        <v>100357.4491247143</v>
      </c>
      <c r="J721" s="13">
        <f>IF(Model!$B$31="Summer",  IF(F721&lt;=2000,  Model!$B$20-Model!$B$35*F721/1000,  IF(F721&lt;Model!$B$36,  Model!$B$33-6.5*F721/1000,  Model!$B$38)),     IF(F721&lt;=2000,  Model!$B$20-Model!$B$35*F721/1000,  IF(F721&lt;Model!$B$36,  Model!$B$33-5.4*F721/1000,   Model!$B$38)))</f>
        <v>-19.088750000000001</v>
      </c>
      <c r="K721" s="13">
        <f t="shared" si="211"/>
        <v>253.91125</v>
      </c>
      <c r="L721" s="46">
        <f>IF(AB720-AA720*(B721-B720)&gt;0, L720-Y720*(B721-B720)*3600-AD721*Model!$B$16, 0)</f>
        <v>550.34486471294736</v>
      </c>
      <c r="M721" s="57">
        <f t="shared" si="217"/>
        <v>9.4908711137068735</v>
      </c>
      <c r="N721" s="57">
        <f>Model!$B$13*I721*K721/(Model!$B$13*I721-L721*287*K721)</f>
        <v>282.49087111370687</v>
      </c>
      <c r="O721" s="57">
        <f t="shared" si="218"/>
        <v>268.20106055685346</v>
      </c>
      <c r="P721" s="57">
        <f t="shared" si="219"/>
        <v>0.37537538387007974</v>
      </c>
      <c r="Q721" s="63">
        <f t="shared" si="212"/>
        <v>2.3659275299536597E-2</v>
      </c>
      <c r="R721" s="17">
        <f t="shared" si="213"/>
        <v>1.3100910297912759E-5</v>
      </c>
      <c r="S721" s="46">
        <f>0.37*Model!$B$10*(Q721^2*(N721-K721)*I721/(R721*O721^2))^0.33333*(N721-K721)</f>
        <v>152612.3894592413</v>
      </c>
      <c r="T721" s="51">
        <f>Model!$B$32+(90-Model!$B$6)*SIN(RADIANS(-15*(E721+6)))</f>
        <v>23.666625186563152</v>
      </c>
      <c r="U721" s="46">
        <f t="shared" si="220"/>
        <v>23.666625186563152</v>
      </c>
      <c r="V721" s="51">
        <f t="shared" si="221"/>
        <v>2.4911915534524178</v>
      </c>
      <c r="W721" s="46">
        <f t="shared" si="222"/>
        <v>772.07805377433215</v>
      </c>
      <c r="X721" s="46">
        <f>0.3*W721*Model!$B$9</f>
        <v>69938.414909887899</v>
      </c>
      <c r="Y721" s="17">
        <f>(S721-X721)/Model!$B$11</f>
        <v>1.7735487407348149E-3</v>
      </c>
      <c r="Z721" s="46">
        <f t="shared" si="223"/>
        <v>45.827481738346407</v>
      </c>
      <c r="AA721" s="57">
        <f>Y721/Model!$B$12*3600</f>
        <v>11.482892795549361</v>
      </c>
      <c r="AB721" s="51">
        <f t="shared" si="228"/>
        <v>52.776160627573027</v>
      </c>
      <c r="AC721" s="51">
        <f t="shared" si="214"/>
        <v>1747.2238393724269</v>
      </c>
      <c r="AD721" s="13">
        <f>IF(AE721=0, Model!$B$19, 0 )</f>
        <v>0</v>
      </c>
      <c r="AE721" s="51">
        <f>IF(AE720+AB720-AB721&lt;Model!$B$19*Model!$B$18, AE720+AB720-AB721,  0)</f>
        <v>390.85841307854054</v>
      </c>
      <c r="AF721" s="13">
        <f t="shared" si="224"/>
        <v>35.950000000000095</v>
      </c>
      <c r="AG721" s="50">
        <f t="shared" si="225"/>
        <v>0</v>
      </c>
    </row>
    <row r="722" spans="2:33" x14ac:dyDescent="0.25">
      <c r="B722" s="15">
        <f t="shared" si="226"/>
        <v>36.000000000000092</v>
      </c>
      <c r="C722" s="15">
        <f>B722+Model!$B$4</f>
        <v>38.000000000000092</v>
      </c>
      <c r="D722" s="15">
        <f t="shared" si="227"/>
        <v>2</v>
      </c>
      <c r="E722" s="15">
        <f t="shared" si="215"/>
        <v>14.000000000000092</v>
      </c>
      <c r="F722" s="16">
        <f>IF(AB722&gt;0, VLOOKUP(B722,Model!$A$40:$B$60, 2), 0)</f>
        <v>300</v>
      </c>
      <c r="G722" s="15">
        <f>IF(AB722&gt;0, VLOOKUP(B722,Model!$A$39:$C$58, 3), 0)</f>
        <v>1</v>
      </c>
      <c r="H722" s="15">
        <f t="shared" si="216"/>
        <v>97</v>
      </c>
      <c r="I722" s="45">
        <f>Model!$B$21*EXP((-0.029*9.81*F722)/(8.31*(273+J722)))</f>
        <v>100357.4491247143</v>
      </c>
      <c r="J722" s="15">
        <f>IF(Model!$B$31="Summer",  IF(F722&lt;=2000,  Model!$B$20-Model!$B$35*F722/1000,  IF(F722&lt;Model!$B$36,  Model!$B$33-6.5*F722/1000,  Model!$B$38)),     IF(F722&lt;=2000,  Model!$B$20-Model!$B$35*F722/1000,  IF(F722&lt;Model!$B$36,  Model!$B$33-5.4*F722/1000,   Model!$B$38)))</f>
        <v>-19.088750000000001</v>
      </c>
      <c r="K722" s="15">
        <f t="shared" si="211"/>
        <v>253.91125</v>
      </c>
      <c r="L722" s="45">
        <f>IF(AB721-AA721*(B722-B721)&gt;0, L721-Y721*(B722-B721)*3600-AD722*Model!$B$16, 0)</f>
        <v>550.02562593961511</v>
      </c>
      <c r="M722" s="56">
        <f t="shared" si="217"/>
        <v>9.4724281249481805</v>
      </c>
      <c r="N722" s="56">
        <f>Model!$B$13*I722*K722/(Model!$B$13*I722-L722*287*K722)</f>
        <v>282.47242812494818</v>
      </c>
      <c r="O722" s="56">
        <f t="shared" si="218"/>
        <v>268.19183906247406</v>
      </c>
      <c r="P722" s="56">
        <f t="shared" si="219"/>
        <v>0.33902608763630404</v>
      </c>
      <c r="Q722" s="62">
        <f t="shared" si="212"/>
        <v>2.3658620573435658E-2</v>
      </c>
      <c r="R722" s="33">
        <f t="shared" si="213"/>
        <v>1.30999512624973E-5</v>
      </c>
      <c r="S722" s="45">
        <f>0.37*Model!$B$10*(Q722^2*(N722-K722)*I722/(R722*O722^2))^0.33333*(N722-K722)</f>
        <v>152485.49519767193</v>
      </c>
      <c r="T722" s="50">
        <f>Model!$B$32+(90-Model!$B$6)*SIN(RADIANS(-15*(E722+6)))</f>
        <v>23.440154071470609</v>
      </c>
      <c r="U722" s="45">
        <f t="shared" si="220"/>
        <v>23.440154071470609</v>
      </c>
      <c r="V722" s="50">
        <f t="shared" si="221"/>
        <v>2.5138830792984037</v>
      </c>
      <c r="W722" s="45">
        <f t="shared" si="222"/>
        <v>767.85319293946361</v>
      </c>
      <c r="X722" s="45">
        <f>0.3*W722*Model!$B$9</f>
        <v>69555.707399214458</v>
      </c>
      <c r="Y722" s="33">
        <f>(S722-X722)/Model!$B$11</f>
        <v>1.779036528981175E-3</v>
      </c>
      <c r="Z722" s="45">
        <f t="shared" si="223"/>
        <v>45.614638499909205</v>
      </c>
      <c r="AA722" s="56">
        <f>Y722/Model!$B$12*3600</f>
        <v>11.518423639822364</v>
      </c>
      <c r="AB722" s="50">
        <f t="shared" si="228"/>
        <v>52.20201598779559</v>
      </c>
      <c r="AC722" s="50">
        <f t="shared" si="214"/>
        <v>1747.7979840122043</v>
      </c>
      <c r="AD722" s="15">
        <f>IF(AE722=0, Model!$B$19, 0 )</f>
        <v>0</v>
      </c>
      <c r="AE722" s="50">
        <f>IF(AE721+AB721-AB722&lt;Model!$B$19*Model!$B$18, AE721+AB721-AB722,  0)</f>
        <v>391.43255771831798</v>
      </c>
      <c r="AF722" s="15">
        <f t="shared" si="224"/>
        <v>36.000000000000092</v>
      </c>
      <c r="AG722" s="50">
        <f t="shared" si="225"/>
        <v>0</v>
      </c>
    </row>
    <row r="723" spans="2:33" x14ac:dyDescent="0.25">
      <c r="B723" s="13">
        <f t="shared" si="226"/>
        <v>36.05000000000009</v>
      </c>
      <c r="C723" s="13">
        <f>B723+Model!$B$4</f>
        <v>38.05000000000009</v>
      </c>
      <c r="D723" s="13">
        <f t="shared" si="227"/>
        <v>2</v>
      </c>
      <c r="E723" s="13">
        <f t="shared" si="215"/>
        <v>14.05000000000009</v>
      </c>
      <c r="F723" s="14">
        <f>IF(AB723&gt;0, VLOOKUP(B723,Model!$A$40:$B$60, 2), 0)</f>
        <v>300</v>
      </c>
      <c r="G723" s="13">
        <f>IF(AB723&gt;0, VLOOKUP(B723,Model!$A$39:$C$58, 3), 0)</f>
        <v>1</v>
      </c>
      <c r="H723" s="13">
        <f t="shared" si="216"/>
        <v>97</v>
      </c>
      <c r="I723" s="46">
        <f>Model!$B$21*EXP((-0.029*9.81*F723)/(8.31*(273+J723)))</f>
        <v>100357.4491247143</v>
      </c>
      <c r="J723" s="13">
        <f>IF(Model!$B$31="Summer",  IF(F723&lt;=2000,  Model!$B$20-Model!$B$35*F723/1000,  IF(F723&lt;Model!$B$36,  Model!$B$33-6.5*F723/1000,  Model!$B$38)),     IF(F723&lt;=2000,  Model!$B$20-Model!$B$35*F723/1000,  IF(F723&lt;Model!$B$36,  Model!$B$33-5.4*F723/1000,   Model!$B$38)))</f>
        <v>-19.088750000000001</v>
      </c>
      <c r="K723" s="13">
        <f t="shared" si="211"/>
        <v>253.91125</v>
      </c>
      <c r="L723" s="46">
        <f>IF(AB722-AA722*(B723-B722)&gt;0, L722-Y722*(B723-B722)*3600-AD723*Model!$B$16, 0)</f>
        <v>549.70539936439855</v>
      </c>
      <c r="M723" s="57">
        <f t="shared" si="217"/>
        <v>9.4539304883330146</v>
      </c>
      <c r="N723" s="57">
        <f>Model!$B$13*I723*K723/(Model!$B$13*I723-L723*287*K723)</f>
        <v>282.45393048833301</v>
      </c>
      <c r="O723" s="57">
        <f t="shared" si="218"/>
        <v>268.18259024416648</v>
      </c>
      <c r="P723" s="57">
        <f t="shared" si="219"/>
        <v>0.30161153042959743</v>
      </c>
      <c r="Q723" s="63">
        <f t="shared" si="212"/>
        <v>2.3657963907335822E-2</v>
      </c>
      <c r="R723" s="17">
        <f t="shared" si="213"/>
        <v>1.3098989385393312E-5</v>
      </c>
      <c r="S723" s="46">
        <f>0.37*Model!$B$10*(Q723^2*(N723-K723)*I723/(R723*O723^2))^0.33333*(N723-K723)</f>
        <v>152358.24615196828</v>
      </c>
      <c r="T723" s="51">
        <f>Model!$B$32+(90-Model!$B$6)*SIN(RADIANS(-15*(E723+6)))</f>
        <v>23.208489341566089</v>
      </c>
      <c r="U723" s="46">
        <f t="shared" si="220"/>
        <v>23.208489341566089</v>
      </c>
      <c r="V723" s="51">
        <f t="shared" si="221"/>
        <v>2.5375681202664615</v>
      </c>
      <c r="W723" s="46">
        <f t="shared" si="222"/>
        <v>763.46801135533804</v>
      </c>
      <c r="X723" s="46">
        <f>0.3*W723*Model!$B$9</f>
        <v>69158.477290695635</v>
      </c>
      <c r="Y723" s="17">
        <f>(S723-X723)/Model!$B$11</f>
        <v>1.7848282497323318E-3</v>
      </c>
      <c r="Z723" s="46">
        <f t="shared" si="223"/>
        <v>45.392014569210893</v>
      </c>
      <c r="AA723" s="57">
        <f>Y723/Model!$B$12*3600</f>
        <v>11.555922303918699</v>
      </c>
      <c r="AB723" s="51">
        <f t="shared" si="228"/>
        <v>51.626094805804506</v>
      </c>
      <c r="AC723" s="51">
        <f t="shared" si="214"/>
        <v>1748.3739051941955</v>
      </c>
      <c r="AD723" s="13">
        <f>IF(AE723=0, Model!$B$19, 0 )</f>
        <v>0</v>
      </c>
      <c r="AE723" s="51">
        <f>IF(AE722+AB722-AB723&lt;Model!$B$19*Model!$B$18, AE722+AB722-AB723,  0)</f>
        <v>392.00847890030906</v>
      </c>
      <c r="AF723" s="13">
        <f t="shared" si="224"/>
        <v>36.05000000000009</v>
      </c>
      <c r="AG723" s="50">
        <f t="shared" si="225"/>
        <v>0</v>
      </c>
    </row>
    <row r="724" spans="2:33" x14ac:dyDescent="0.25">
      <c r="B724" s="15">
        <f t="shared" si="226"/>
        <v>36.100000000000087</v>
      </c>
      <c r="C724" s="15">
        <f>B724+Model!$B$4</f>
        <v>38.100000000000087</v>
      </c>
      <c r="D724" s="15">
        <f t="shared" si="227"/>
        <v>2</v>
      </c>
      <c r="E724" s="15">
        <f t="shared" si="215"/>
        <v>14.100000000000087</v>
      </c>
      <c r="F724" s="16">
        <f>IF(AB724&gt;0, VLOOKUP(B724,Model!$A$40:$B$60, 2), 0)</f>
        <v>300</v>
      </c>
      <c r="G724" s="15">
        <f>IF(AB724&gt;0, VLOOKUP(B724,Model!$A$39:$C$58, 3), 0)</f>
        <v>1</v>
      </c>
      <c r="H724" s="15">
        <f t="shared" si="216"/>
        <v>97</v>
      </c>
      <c r="I724" s="45">
        <f>Model!$B$21*EXP((-0.029*9.81*F724)/(8.31*(273+J724)))</f>
        <v>100357.4491247143</v>
      </c>
      <c r="J724" s="15">
        <f>IF(Model!$B$31="Summer",  IF(F724&lt;=2000,  Model!$B$20-Model!$B$35*F724/1000,  IF(F724&lt;Model!$B$36,  Model!$B$33-6.5*F724/1000,  Model!$B$38)),     IF(F724&lt;=2000,  Model!$B$20-Model!$B$35*F724/1000,  IF(F724&lt;Model!$B$36,  Model!$B$33-5.4*F724/1000,   Model!$B$38)))</f>
        <v>-19.088750000000001</v>
      </c>
      <c r="K724" s="15">
        <f t="shared" si="211"/>
        <v>253.91125</v>
      </c>
      <c r="L724" s="45">
        <f>IF(AB723-AA723*(B724-B723)&gt;0, L723-Y723*(B724-B723)*3600-AD724*Model!$B$16, 0)</f>
        <v>549.38413027944671</v>
      </c>
      <c r="M724" s="56">
        <f t="shared" si="217"/>
        <v>9.4353750662713196</v>
      </c>
      <c r="N724" s="56">
        <f>Model!$B$13*I724*K724/(Model!$B$13*I724-L724*287*K724)</f>
        <v>282.43537506627132</v>
      </c>
      <c r="O724" s="56">
        <f t="shared" si="218"/>
        <v>268.17331253313569</v>
      </c>
      <c r="P724" s="56">
        <f t="shared" si="219"/>
        <v>0.26309927550457957</v>
      </c>
      <c r="Q724" s="62">
        <f t="shared" si="212"/>
        <v>2.3657305189852634E-2</v>
      </c>
      <c r="R724" s="33">
        <f t="shared" si="213"/>
        <v>1.309802450344611E-5</v>
      </c>
      <c r="S724" s="45">
        <f>0.37*Model!$B$10*(Q724^2*(N724-K724)*I724/(R724*O724^2))^0.33333*(N724-K724)</f>
        <v>152230.62094544119</v>
      </c>
      <c r="T724" s="50">
        <f>Model!$B$32+(90-Model!$B$6)*SIN(RADIANS(-15*(E724+6)))</f>
        <v>22.971670691408494</v>
      </c>
      <c r="U724" s="45">
        <f t="shared" si="220"/>
        <v>22.971670691408494</v>
      </c>
      <c r="V724" s="50">
        <f t="shared" si="221"/>
        <v>2.5622896023360768</v>
      </c>
      <c r="W724" s="45">
        <f t="shared" si="222"/>
        <v>758.91764790957473</v>
      </c>
      <c r="X724" s="45">
        <f>0.3*W724*Model!$B$9</f>
        <v>68746.284242201611</v>
      </c>
      <c r="Y724" s="33">
        <f>(S724-X724)/Model!$B$11</f>
        <v>1.7909328907699147E-3</v>
      </c>
      <c r="Z724" s="45">
        <f t="shared" si="223"/>
        <v>45.159300944348111</v>
      </c>
      <c r="AA724" s="56">
        <f>Y724/Model!$B$12*3600</f>
        <v>11.595446979491378</v>
      </c>
      <c r="AB724" s="50">
        <f t="shared" si="228"/>
        <v>51.048298690608604</v>
      </c>
      <c r="AC724" s="50">
        <f t="shared" si="214"/>
        <v>1748.9517013093914</v>
      </c>
      <c r="AD724" s="15">
        <f>IF(AE724=0, Model!$B$19, 0 )</f>
        <v>0</v>
      </c>
      <c r="AE724" s="50">
        <f>IF(AE723+AB723-AB724&lt;Model!$B$19*Model!$B$18, AE723+AB723-AB724,  0)</f>
        <v>392.58627501550495</v>
      </c>
      <c r="AF724" s="15">
        <f t="shared" si="224"/>
        <v>36.100000000000087</v>
      </c>
      <c r="AG724" s="50">
        <f t="shared" si="225"/>
        <v>0</v>
      </c>
    </row>
    <row r="725" spans="2:33" x14ac:dyDescent="0.25">
      <c r="B725" s="13">
        <f t="shared" si="226"/>
        <v>36.150000000000084</v>
      </c>
      <c r="C725" s="13">
        <f>B725+Model!$B$4</f>
        <v>38.150000000000084</v>
      </c>
      <c r="D725" s="13">
        <f t="shared" si="227"/>
        <v>2</v>
      </c>
      <c r="E725" s="13">
        <f t="shared" si="215"/>
        <v>14.150000000000084</v>
      </c>
      <c r="F725" s="14">
        <f>IF(AB725&gt;0, VLOOKUP(B725,Model!$A$40:$B$60, 2), 0)</f>
        <v>300</v>
      </c>
      <c r="G725" s="13">
        <f>IF(AB725&gt;0, VLOOKUP(B725,Model!$A$39:$C$58, 3), 0)</f>
        <v>1</v>
      </c>
      <c r="H725" s="13">
        <f t="shared" si="216"/>
        <v>97</v>
      </c>
      <c r="I725" s="46">
        <f>Model!$B$21*EXP((-0.029*9.81*F725)/(8.31*(273+J725)))</f>
        <v>100357.4491247143</v>
      </c>
      <c r="J725" s="13">
        <f>IF(Model!$B$31="Summer",  IF(F725&lt;=2000,  Model!$B$20-Model!$B$35*F725/1000,  IF(F725&lt;Model!$B$36,  Model!$B$33-6.5*F725/1000,  Model!$B$38)),     IF(F725&lt;=2000,  Model!$B$20-Model!$B$35*F725/1000,  IF(F725&lt;Model!$B$36,  Model!$B$33-5.4*F725/1000,   Model!$B$38)))</f>
        <v>-19.088750000000001</v>
      </c>
      <c r="K725" s="13">
        <f t="shared" si="211"/>
        <v>253.91125</v>
      </c>
      <c r="L725" s="46">
        <f>IF(AB724-AA724*(B725-B724)&gt;0, L724-Y724*(B725-B724)*3600-AD725*Model!$B$16, 0)</f>
        <v>549.06176235910812</v>
      </c>
      <c r="M725" s="57">
        <f t="shared" si="217"/>
        <v>9.4167586294789771</v>
      </c>
      <c r="N725" s="57">
        <f>Model!$B$13*I725*K725/(Model!$B$13*I725-L725*287*K725)</f>
        <v>282.41675862947898</v>
      </c>
      <c r="O725" s="57">
        <f t="shared" si="218"/>
        <v>268.16400431473949</v>
      </c>
      <c r="P725" s="57">
        <f t="shared" si="219"/>
        <v>0.22345530080331955</v>
      </c>
      <c r="Q725" s="63">
        <f t="shared" si="212"/>
        <v>2.3656644306346505E-2</v>
      </c>
      <c r="R725" s="17">
        <f t="shared" si="213"/>
        <v>1.3097056448732907E-5</v>
      </c>
      <c r="S725" s="46">
        <f>0.37*Model!$B$10*(Q725^2*(N725-K725)*I725/(R725*O725^2))^0.33333*(N725-K725)</f>
        <v>152102.59758622473</v>
      </c>
      <c r="T725" s="51">
        <f>Model!$B$32+(90-Model!$B$6)*SIN(RADIANS(-15*(E725+6)))</f>
        <v>22.729738698654334</v>
      </c>
      <c r="U725" s="46">
        <f t="shared" si="220"/>
        <v>22.729738698654334</v>
      </c>
      <c r="V725" s="51">
        <f t="shared" si="221"/>
        <v>2.5880933745226846</v>
      </c>
      <c r="W725" s="46">
        <f t="shared" si="222"/>
        <v>754.19699935448011</v>
      </c>
      <c r="X725" s="46">
        <f>0.3*W725*Model!$B$9</f>
        <v>68318.66597786163</v>
      </c>
      <c r="Y725" s="17">
        <f>(S725-X725)/Model!$B$11</f>
        <v>1.7973598972082614E-3</v>
      </c>
      <c r="Z725" s="46">
        <f t="shared" si="223"/>
        <v>44.91617307135914</v>
      </c>
      <c r="AA725" s="57">
        <f>Y725/Model!$B$12*3600</f>
        <v>11.637058819207304</v>
      </c>
      <c r="AB725" s="51">
        <f t="shared" si="228"/>
        <v>50.468526341634067</v>
      </c>
      <c r="AC725" s="51">
        <f t="shared" si="214"/>
        <v>1749.5314736583659</v>
      </c>
      <c r="AD725" s="13">
        <f>IF(AE725=0, Model!$B$19, 0 )</f>
        <v>0</v>
      </c>
      <c r="AE725" s="51">
        <f>IF(AE724+AB724-AB725&lt;Model!$B$19*Model!$B$18, AE724+AB724-AB725,  0)</f>
        <v>393.16604736447948</v>
      </c>
      <c r="AF725" s="13">
        <f t="shared" si="224"/>
        <v>36.150000000000084</v>
      </c>
      <c r="AG725" s="50">
        <f t="shared" si="225"/>
        <v>0</v>
      </c>
    </row>
    <row r="726" spans="2:33" x14ac:dyDescent="0.25">
      <c r="B726" s="15">
        <f t="shared" si="226"/>
        <v>36.200000000000081</v>
      </c>
      <c r="C726" s="15">
        <f>B726+Model!$B$4</f>
        <v>38.200000000000081</v>
      </c>
      <c r="D726" s="15">
        <f t="shared" si="227"/>
        <v>2</v>
      </c>
      <c r="E726" s="15">
        <f t="shared" si="215"/>
        <v>14.200000000000081</v>
      </c>
      <c r="F726" s="16">
        <f>IF(AB726&gt;0, VLOOKUP(B726,Model!$A$40:$B$60, 2), 0)</f>
        <v>300</v>
      </c>
      <c r="G726" s="15">
        <f>IF(AB726&gt;0, VLOOKUP(B726,Model!$A$39:$C$58, 3), 0)</f>
        <v>1</v>
      </c>
      <c r="H726" s="15">
        <f t="shared" si="216"/>
        <v>97</v>
      </c>
      <c r="I726" s="45">
        <f>Model!$B$21*EXP((-0.029*9.81*F726)/(8.31*(273+J726)))</f>
        <v>100357.4491247143</v>
      </c>
      <c r="J726" s="15">
        <f>IF(Model!$B$31="Summer",  IF(F726&lt;=2000,  Model!$B$20-Model!$B$35*F726/1000,  IF(F726&lt;Model!$B$36,  Model!$B$33-6.5*F726/1000,  Model!$B$38)),     IF(F726&lt;=2000,  Model!$B$20-Model!$B$35*F726/1000,  IF(F726&lt;Model!$B$36,  Model!$B$33-5.4*F726/1000,   Model!$B$38)))</f>
        <v>-19.088750000000001</v>
      </c>
      <c r="K726" s="15">
        <f t="shared" si="211"/>
        <v>253.91125</v>
      </c>
      <c r="L726" s="45">
        <f>IF(AB725-AA725*(B726-B725)&gt;0, L725-Y725*(B726-B725)*3600-AD726*Model!$B$16, 0)</f>
        <v>548.73823757761068</v>
      </c>
      <c r="M726" s="56">
        <f t="shared" si="217"/>
        <v>9.3980778522990249</v>
      </c>
      <c r="N726" s="56">
        <f>Model!$B$13*I726*K726/(Model!$B$13*I726-L726*287*K726)</f>
        <v>282.39807785229902</v>
      </c>
      <c r="O726" s="56">
        <f t="shared" si="218"/>
        <v>268.15466392614951</v>
      </c>
      <c r="P726" s="56">
        <f t="shared" si="219"/>
        <v>0.18264392184604628</v>
      </c>
      <c r="Q726" s="62">
        <f t="shared" si="212"/>
        <v>2.3655981138756617E-2</v>
      </c>
      <c r="R726" s="33">
        <f t="shared" si="213"/>
        <v>1.3096085048319547E-5</v>
      </c>
      <c r="S726" s="45">
        <f>0.37*Model!$B$10*(Q726^2*(N726-K726)*I726/(R726*O726^2))^0.33333*(N726-K726)</f>
        <v>151974.15343578288</v>
      </c>
      <c r="T726" s="50">
        <f>Model!$B$32+(90-Model!$B$6)*SIN(RADIANS(-15*(E726+6)))</f>
        <v>22.482734817105122</v>
      </c>
      <c r="U726" s="45">
        <f t="shared" si="220"/>
        <v>22.482734817105122</v>
      </c>
      <c r="V726" s="50">
        <f t="shared" si="221"/>
        <v>2.6150284432626765</v>
      </c>
      <c r="W726" s="45">
        <f t="shared" si="222"/>
        <v>749.3007084597856</v>
      </c>
      <c r="X726" s="45">
        <f>0.3*W726*Model!$B$9</f>
        <v>67875.137214884075</v>
      </c>
      <c r="Y726" s="33">
        <f>(S726-X726)/Model!$B$11</f>
        <v>1.8041191938410125E-3</v>
      </c>
      <c r="Z726" s="45">
        <f t="shared" si="223"/>
        <v>44.662290054186691</v>
      </c>
      <c r="AA726" s="56">
        <f>Y726/Model!$B$12*3600</f>
        <v>11.680822081430952</v>
      </c>
      <c r="AB726" s="50">
        <f t="shared" si="228"/>
        <v>49.886673400673736</v>
      </c>
      <c r="AC726" s="50">
        <f t="shared" si="214"/>
        <v>1750.1133265993262</v>
      </c>
      <c r="AD726" s="15">
        <f>IF(AE726=0, Model!$B$19, 0 )</f>
        <v>0</v>
      </c>
      <c r="AE726" s="50">
        <f>IF(AE725+AB725-AB726&lt;Model!$B$19*Model!$B$18, AE725+AB725-AB726,  0)</f>
        <v>393.74790030543983</v>
      </c>
      <c r="AF726" s="15">
        <f t="shared" si="224"/>
        <v>36.200000000000081</v>
      </c>
      <c r="AG726" s="50">
        <f t="shared" si="225"/>
        <v>0</v>
      </c>
    </row>
    <row r="727" spans="2:33" x14ac:dyDescent="0.25">
      <c r="B727" s="13">
        <f t="shared" si="226"/>
        <v>36.250000000000078</v>
      </c>
      <c r="C727" s="13">
        <f>B727+Model!$B$4</f>
        <v>38.250000000000078</v>
      </c>
      <c r="D727" s="13">
        <f t="shared" si="227"/>
        <v>2</v>
      </c>
      <c r="E727" s="13">
        <f t="shared" si="215"/>
        <v>14.250000000000078</v>
      </c>
      <c r="F727" s="14">
        <f>IF(AB727&gt;0, VLOOKUP(B727,Model!$A$40:$B$60, 2), 0)</f>
        <v>300</v>
      </c>
      <c r="G727" s="13">
        <f>IF(AB727&gt;0, VLOOKUP(B727,Model!$A$39:$C$58, 3), 0)</f>
        <v>1</v>
      </c>
      <c r="H727" s="13">
        <f t="shared" si="216"/>
        <v>97</v>
      </c>
      <c r="I727" s="46">
        <f>Model!$B$21*EXP((-0.029*9.81*F727)/(8.31*(273+J727)))</f>
        <v>100357.4491247143</v>
      </c>
      <c r="J727" s="13">
        <f>IF(Model!$B$31="Summer",  IF(F727&lt;=2000,  Model!$B$20-Model!$B$35*F727/1000,  IF(F727&lt;Model!$B$36,  Model!$B$33-6.5*F727/1000,  Model!$B$38)),     IF(F727&lt;=2000,  Model!$B$20-Model!$B$35*F727/1000,  IF(F727&lt;Model!$B$36,  Model!$B$33-5.4*F727/1000,   Model!$B$38)))</f>
        <v>-19.088750000000001</v>
      </c>
      <c r="K727" s="13">
        <f t="shared" si="211"/>
        <v>253.91125</v>
      </c>
      <c r="L727" s="46">
        <f>IF(AB726-AA726*(B727-B726)&gt;0, L726-Y726*(B727-B726)*3600-AD727*Model!$B$16, 0)</f>
        <v>548.41349612271927</v>
      </c>
      <c r="M727" s="57">
        <f t="shared" si="217"/>
        <v>9.3793293077970361</v>
      </c>
      <c r="N727" s="57">
        <f>Model!$B$13*I727*K727/(Model!$B$13*I727-L727*287*K727)</f>
        <v>282.37932930779704</v>
      </c>
      <c r="O727" s="57">
        <f t="shared" si="218"/>
        <v>268.14528965389854</v>
      </c>
      <c r="P727" s="57">
        <f t="shared" si="219"/>
        <v>0.14062771029708809</v>
      </c>
      <c r="Q727" s="63">
        <f t="shared" si="212"/>
        <v>2.3655315565426799E-2</v>
      </c>
      <c r="R727" s="17">
        <f t="shared" si="213"/>
        <v>1.3095110124005447E-5</v>
      </c>
      <c r="S727" s="46">
        <f>0.37*Model!$B$10*(Q727^2*(N727-K727)*I727/(R727*O727^2))^0.33333*(N727-K727)</f>
        <v>151845.2651759111</v>
      </c>
      <c r="T727" s="51">
        <f>Model!$B$32+(90-Model!$B$6)*SIN(RADIANS(-15*(E727+6)))</f>
        <v>22.230701369604351</v>
      </c>
      <c r="U727" s="46">
        <f t="shared" si="220"/>
        <v>22.230701369604351</v>
      </c>
      <c r="V727" s="51">
        <f t="shared" si="221"/>
        <v>2.6431472305046144</v>
      </c>
      <c r="W727" s="46">
        <f t="shared" si="222"/>
        <v>744.22315150929683</v>
      </c>
      <c r="X727" s="46">
        <f>0.3*W727*Model!$B$9</f>
        <v>67415.188530944841</v>
      </c>
      <c r="Y727" s="17">
        <f>(S727-X727)/Model!$B$11</f>
        <v>1.8112212087303713E-3</v>
      </c>
      <c r="Z727" s="46">
        <f t="shared" si="223"/>
        <v>44.397293819366098</v>
      </c>
      <c r="AA727" s="57">
        <f>Y727/Model!$B$12*3600</f>
        <v>11.72680428295371</v>
      </c>
      <c r="AB727" s="51">
        <f t="shared" si="228"/>
        <v>49.302632296602219</v>
      </c>
      <c r="AC727" s="51">
        <f t="shared" si="214"/>
        <v>1750.6973677033977</v>
      </c>
      <c r="AD727" s="13">
        <f>IF(AE727=0, Model!$B$19, 0 )</f>
        <v>0</v>
      </c>
      <c r="AE727" s="51">
        <f>IF(AE726+AB726-AB727&lt;Model!$B$19*Model!$B$18, AE726+AB726-AB727,  0)</f>
        <v>394.33194140951133</v>
      </c>
      <c r="AF727" s="13">
        <f t="shared" si="224"/>
        <v>36.250000000000078</v>
      </c>
      <c r="AG727" s="50">
        <f t="shared" si="225"/>
        <v>0</v>
      </c>
    </row>
    <row r="728" spans="2:33" x14ac:dyDescent="0.25">
      <c r="B728" s="15">
        <f t="shared" si="226"/>
        <v>36.300000000000075</v>
      </c>
      <c r="C728" s="15">
        <f>B728+Model!$B$4</f>
        <v>38.300000000000075</v>
      </c>
      <c r="D728" s="15">
        <f t="shared" si="227"/>
        <v>2</v>
      </c>
      <c r="E728" s="15">
        <f t="shared" si="215"/>
        <v>14.300000000000075</v>
      </c>
      <c r="F728" s="16">
        <f>IF(AB728&gt;0, VLOOKUP(B728,Model!$A$40:$B$60, 2), 0)</f>
        <v>300</v>
      </c>
      <c r="G728" s="15">
        <f>IF(AB728&gt;0, VLOOKUP(B728,Model!$A$39:$C$58, 3), 0)</f>
        <v>1</v>
      </c>
      <c r="H728" s="15">
        <f t="shared" si="216"/>
        <v>97</v>
      </c>
      <c r="I728" s="45">
        <f>Model!$B$21*EXP((-0.029*9.81*F728)/(8.31*(273+J728)))</f>
        <v>100357.4491247143</v>
      </c>
      <c r="J728" s="15">
        <f>IF(Model!$B$31="Summer",  IF(F728&lt;=2000,  Model!$B$20-Model!$B$35*F728/1000,  IF(F728&lt;Model!$B$36,  Model!$B$33-6.5*F728/1000,  Model!$B$38)),     IF(F728&lt;=2000,  Model!$B$20-Model!$B$35*F728/1000,  IF(F728&lt;Model!$B$36,  Model!$B$33-5.4*F728/1000,   Model!$B$38)))</f>
        <v>-19.088750000000001</v>
      </c>
      <c r="K728" s="15">
        <f t="shared" si="211"/>
        <v>253.91125</v>
      </c>
      <c r="L728" s="45">
        <f>IF(AB727-AA727*(B728-B727)&gt;0, L727-Y727*(B728-B727)*3600-AD728*Model!$B$16, 0)</f>
        <v>548.08747630514779</v>
      </c>
      <c r="M728" s="56">
        <f t="shared" si="217"/>
        <v>9.3605094626157666</v>
      </c>
      <c r="N728" s="56">
        <f>Model!$B$13*I728*K728/(Model!$B$13*I728-L728*287*K728)</f>
        <v>282.36050946261577</v>
      </c>
      <c r="O728" s="56">
        <f t="shared" si="218"/>
        <v>268.13587973130791</v>
      </c>
      <c r="P728" s="56">
        <f t="shared" si="219"/>
        <v>9.7367408036528325E-2</v>
      </c>
      <c r="Q728" s="62">
        <f t="shared" si="212"/>
        <v>2.3654647460922863E-2</v>
      </c>
      <c r="R728" s="33">
        <f t="shared" si="213"/>
        <v>1.309413149205602E-5</v>
      </c>
      <c r="S728" s="45">
        <f>0.37*Model!$B$10*(Q728^2*(N728-K728)*I728/(R728*O728^2))^0.33333*(N728-K728)</f>
        <v>151715.90877413208</v>
      </c>
      <c r="T728" s="50">
        <f>Model!$B$32+(90-Model!$B$6)*SIN(RADIANS(-15*(E728+6)))</f>
        <v>21.973681540785826</v>
      </c>
      <c r="U728" s="45">
        <f t="shared" si="220"/>
        <v>21.973681540785826</v>
      </c>
      <c r="V728" s="50">
        <f t="shared" si="221"/>
        <v>2.6725058583135275</v>
      </c>
      <c r="W728" s="45">
        <f t="shared" si="222"/>
        <v>738.95842511887304</v>
      </c>
      <c r="X728" s="45">
        <f>0.3*W728*Model!$B$9</f>
        <v>66938.285170098738</v>
      </c>
      <c r="Y728" s="33">
        <f>(S728-X728)/Model!$B$11</f>
        <v>1.8186768980807326E-3</v>
      </c>
      <c r="Z728" s="45">
        <f t="shared" si="223"/>
        <v>44.120808233600265</v>
      </c>
      <c r="AA728" s="56">
        <f>Y728/Model!$B$12*3600</f>
        <v>11.775076360038915</v>
      </c>
      <c r="AB728" s="50">
        <f t="shared" si="228"/>
        <v>48.716292082454565</v>
      </c>
      <c r="AC728" s="50">
        <f t="shared" si="214"/>
        <v>1751.2837079175454</v>
      </c>
      <c r="AD728" s="15">
        <f>IF(AE728=0, Model!$B$19, 0 )</f>
        <v>0</v>
      </c>
      <c r="AE728" s="50">
        <f>IF(AE727+AB727-AB728&lt;Model!$B$19*Model!$B$18, AE727+AB727-AB728,  0)</f>
        <v>394.91828162365897</v>
      </c>
      <c r="AF728" s="15">
        <f t="shared" si="224"/>
        <v>36.300000000000075</v>
      </c>
      <c r="AG728" s="50">
        <f t="shared" si="225"/>
        <v>0</v>
      </c>
    </row>
    <row r="729" spans="2:33" x14ac:dyDescent="0.25">
      <c r="B729" s="13">
        <f t="shared" si="226"/>
        <v>36.350000000000072</v>
      </c>
      <c r="C729" s="13">
        <f>B729+Model!$B$4</f>
        <v>38.350000000000072</v>
      </c>
      <c r="D729" s="13">
        <f t="shared" si="227"/>
        <v>2</v>
      </c>
      <c r="E729" s="13">
        <f t="shared" si="215"/>
        <v>14.350000000000072</v>
      </c>
      <c r="F729" s="14">
        <f>IF(AB729&gt;0, VLOOKUP(B729,Model!$A$40:$B$60, 2), 0)</f>
        <v>300</v>
      </c>
      <c r="G729" s="13">
        <f>IF(AB729&gt;0, VLOOKUP(B729,Model!$A$39:$C$58, 3), 0)</f>
        <v>1</v>
      </c>
      <c r="H729" s="13">
        <f t="shared" si="216"/>
        <v>97</v>
      </c>
      <c r="I729" s="46">
        <f>Model!$B$21*EXP((-0.029*9.81*F729)/(8.31*(273+J729)))</f>
        <v>100357.4491247143</v>
      </c>
      <c r="J729" s="13">
        <f>IF(Model!$B$31="Summer",  IF(F729&lt;=2000,  Model!$B$20-Model!$B$35*F729/1000,  IF(F729&lt;Model!$B$36,  Model!$B$33-6.5*F729/1000,  Model!$B$38)),     IF(F729&lt;=2000,  Model!$B$20-Model!$B$35*F729/1000,  IF(F729&lt;Model!$B$36,  Model!$B$33-5.4*F729/1000,   Model!$B$38)))</f>
        <v>-19.088750000000001</v>
      </c>
      <c r="K729" s="13">
        <f t="shared" si="211"/>
        <v>253.91125</v>
      </c>
      <c r="L729" s="46">
        <f>IF(AB728-AA728*(B729-B728)&gt;0, L728-Y728*(B729-B728)*3600-AD729*Model!$B$16, 0)</f>
        <v>547.76011446349332</v>
      </c>
      <c r="M729" s="57">
        <f t="shared" si="217"/>
        <v>9.3416146715774744</v>
      </c>
      <c r="N729" s="57">
        <f>Model!$B$13*I729*K729/(Model!$B$13*I729-L729*287*K729)</f>
        <v>282.34161467157747</v>
      </c>
      <c r="O729" s="57">
        <f t="shared" si="218"/>
        <v>268.12643233578876</v>
      </c>
      <c r="P729" s="57">
        <f t="shared" si="219"/>
        <v>5.2821836581223636E-2</v>
      </c>
      <c r="Q729" s="63">
        <f t="shared" si="212"/>
        <v>2.3653976695841003E-2</v>
      </c>
      <c r="R729" s="17">
        <f t="shared" si="213"/>
        <v>1.3093148962922031E-5</v>
      </c>
      <c r="S729" s="46">
        <f>0.37*Model!$B$10*(Q729^2*(N729-K729)*I729/(R729*O729^2))^0.33333*(N729-K729)</f>
        <v>151586.05944740964</v>
      </c>
      <c r="T729" s="51">
        <f>Model!$B$32+(90-Model!$B$6)*SIN(RADIANS(-15*(E729+6)))</f>
        <v>21.711719369674071</v>
      </c>
      <c r="U729" s="46">
        <f t="shared" si="220"/>
        <v>21.711719369674071</v>
      </c>
      <c r="V729" s="51">
        <f t="shared" si="221"/>
        <v>2.7031644631836182</v>
      </c>
      <c r="W729" s="46">
        <f t="shared" si="222"/>
        <v>733.50033235573744</v>
      </c>
      <c r="X729" s="46">
        <f>0.3*W729*Model!$B$9</f>
        <v>66443.865785402159</v>
      </c>
      <c r="Y729" s="17">
        <f>(S729-X729)/Model!$B$11</f>
        <v>1.8264977724339266E-3</v>
      </c>
      <c r="Z729" s="46">
        <f t="shared" si="223"/>
        <v>43.832438172491578</v>
      </c>
      <c r="AA729" s="57">
        <f>Y729/Model!$B$12*3600</f>
        <v>11.825712838023714</v>
      </c>
      <c r="AB729" s="51">
        <f t="shared" si="228"/>
        <v>48.127538264452653</v>
      </c>
      <c r="AC729" s="51">
        <f t="shared" si="214"/>
        <v>1751.8724617355474</v>
      </c>
      <c r="AD729" s="13">
        <f>IF(AE729=0, Model!$B$19, 0 )</f>
        <v>0</v>
      </c>
      <c r="AE729" s="51">
        <f>IF(AE728+AB728-AB729&lt;Model!$B$19*Model!$B$18, AE728+AB728-AB729,  0)</f>
        <v>395.50703544166089</v>
      </c>
      <c r="AF729" s="13">
        <f t="shared" si="224"/>
        <v>36.350000000000072</v>
      </c>
      <c r="AG729" s="50">
        <f t="shared" si="225"/>
        <v>0</v>
      </c>
    </row>
    <row r="730" spans="2:33" x14ac:dyDescent="0.25">
      <c r="B730" s="15">
        <f t="shared" si="226"/>
        <v>36.40000000000007</v>
      </c>
      <c r="C730" s="15">
        <f>B730+Model!$B$4</f>
        <v>38.40000000000007</v>
      </c>
      <c r="D730" s="15">
        <f t="shared" si="227"/>
        <v>2</v>
      </c>
      <c r="E730" s="15">
        <f t="shared" si="215"/>
        <v>14.40000000000007</v>
      </c>
      <c r="F730" s="16">
        <f>IF(AB730&gt;0, VLOOKUP(B730,Model!$A$40:$B$60, 2), 0)</f>
        <v>300</v>
      </c>
      <c r="G730" s="15">
        <f>IF(AB730&gt;0, VLOOKUP(B730,Model!$A$39:$C$58, 3), 0)</f>
        <v>1</v>
      </c>
      <c r="H730" s="15">
        <f t="shared" si="216"/>
        <v>97</v>
      </c>
      <c r="I730" s="45">
        <f>Model!$B$21*EXP((-0.029*9.81*F730)/(8.31*(273+J730)))</f>
        <v>100357.4491247143</v>
      </c>
      <c r="J730" s="15">
        <f>IF(Model!$B$31="Summer",  IF(F730&lt;=2000,  Model!$B$20-Model!$B$35*F730/1000,  IF(F730&lt;Model!$B$36,  Model!$B$33-6.5*F730/1000,  Model!$B$38)),     IF(F730&lt;=2000,  Model!$B$20-Model!$B$35*F730/1000,  IF(F730&lt;Model!$B$36,  Model!$B$33-5.4*F730/1000,   Model!$B$38)))</f>
        <v>-19.088750000000001</v>
      </c>
      <c r="K730" s="15">
        <f t="shared" si="211"/>
        <v>253.91125</v>
      </c>
      <c r="L730" s="45">
        <f>IF(AB729-AA729*(B730-B729)&gt;0, L729-Y729*(B730-B729)*3600-AD730*Model!$B$16, 0)</f>
        <v>547.43134486445524</v>
      </c>
      <c r="M730" s="56">
        <f t="shared" si="217"/>
        <v>9.3226411720206102</v>
      </c>
      <c r="N730" s="56">
        <f>Model!$B$13*I730*K730/(Model!$B$13*I730-L730*287*K730)</f>
        <v>282.32264117202061</v>
      </c>
      <c r="O730" s="56">
        <f t="shared" si="218"/>
        <v>268.11694558601027</v>
      </c>
      <c r="P730" s="56">
        <f t="shared" si="219"/>
        <v>6.9478017152206917E-3</v>
      </c>
      <c r="Q730" s="62">
        <f t="shared" si="212"/>
        <v>2.365330313660673E-2</v>
      </c>
      <c r="R730" s="33">
        <f t="shared" si="213"/>
        <v>1.3092162340945067E-5</v>
      </c>
      <c r="S730" s="45">
        <f>0.37*Model!$B$10*(Q730^2*(N730-K730)*I730/(R730*O730^2))^0.33333*(N730-K730)</f>
        <v>151455.69162409281</v>
      </c>
      <c r="T730" s="50">
        <f>Model!$B$32+(90-Model!$B$6)*SIN(RADIANS(-15*(E730+6)))</f>
        <v>21.444859742138476</v>
      </c>
      <c r="U730" s="45">
        <f t="shared" si="220"/>
        <v>21.444859742138476</v>
      </c>
      <c r="V730" s="50">
        <f t="shared" si="221"/>
        <v>2.7351875437043232</v>
      </c>
      <c r="W730" s="45">
        <f t="shared" si="222"/>
        <v>727.84236814279461</v>
      </c>
      <c r="X730" s="45">
        <f>0.3*W730*Model!$B$9</f>
        <v>65931.341116768395</v>
      </c>
      <c r="Y730" s="33">
        <f>(S730-X730)/Model!$B$11</f>
        <v>1.8346959242159051E-3</v>
      </c>
      <c r="Z730" s="45">
        <f t="shared" si="223"/>
        <v>43.531768538885579</v>
      </c>
      <c r="AA730" s="56">
        <f>Y730/Model!$B$12*3600</f>
        <v>11.878792009670892</v>
      </c>
      <c r="AB730" s="50">
        <f t="shared" si="228"/>
        <v>47.536252622551501</v>
      </c>
      <c r="AC730" s="50">
        <f t="shared" si="214"/>
        <v>1752.4637473774485</v>
      </c>
      <c r="AD730" s="15">
        <f>IF(AE730=0, Model!$B$19, 0 )</f>
        <v>0</v>
      </c>
      <c r="AE730" s="50">
        <f>IF(AE729+AB729-AB730&lt;Model!$B$19*Model!$B$18, AE729+AB729-AB730,  0)</f>
        <v>396.09832108356204</v>
      </c>
      <c r="AF730" s="15">
        <f t="shared" si="224"/>
        <v>36.40000000000007</v>
      </c>
      <c r="AG730" s="50">
        <f t="shared" si="225"/>
        <v>0</v>
      </c>
    </row>
    <row r="731" spans="2:33" x14ac:dyDescent="0.25">
      <c r="B731" s="13">
        <f t="shared" si="226"/>
        <v>36.450000000000067</v>
      </c>
      <c r="C731" s="13">
        <f>B731+Model!$B$4</f>
        <v>38.450000000000067</v>
      </c>
      <c r="D731" s="13">
        <f t="shared" si="227"/>
        <v>2</v>
      </c>
      <c r="E731" s="13">
        <f t="shared" si="215"/>
        <v>14.450000000000067</v>
      </c>
      <c r="F731" s="14">
        <f>IF(AB731&gt;0, VLOOKUP(B731,Model!$A$40:$B$60, 2), 0)</f>
        <v>300</v>
      </c>
      <c r="G731" s="13">
        <f>IF(AB731&gt;0, VLOOKUP(B731,Model!$A$39:$C$58, 3), 0)</f>
        <v>1</v>
      </c>
      <c r="H731" s="13">
        <f t="shared" si="216"/>
        <v>97</v>
      </c>
      <c r="I731" s="46">
        <f>Model!$B$21*EXP((-0.029*9.81*F731)/(8.31*(273+J731)))</f>
        <v>100357.4491247143</v>
      </c>
      <c r="J731" s="13">
        <f>IF(Model!$B$31="Summer",  IF(F731&lt;=2000,  Model!$B$20-Model!$B$35*F731/1000,  IF(F731&lt;Model!$B$36,  Model!$B$33-6.5*F731/1000,  Model!$B$38)),     IF(F731&lt;=2000,  Model!$B$20-Model!$B$35*F731/1000,  IF(F731&lt;Model!$B$36,  Model!$B$33-5.4*F731/1000,   Model!$B$38)))</f>
        <v>-19.088750000000001</v>
      </c>
      <c r="K731" s="13">
        <f t="shared" ref="K731:K794" si="229">273+J731</f>
        <v>253.91125</v>
      </c>
      <c r="L731" s="46">
        <f>IF(AB730-AA730*(B731-B730)&gt;0, L730-Y730*(B731-B730)*3600-AD731*Model!$B$16, 0)</f>
        <v>547.10109959809643</v>
      </c>
      <c r="M731" s="57">
        <f t="shared" si="217"/>
        <v>9.3035850778568374</v>
      </c>
      <c r="N731" s="57">
        <f>Model!$B$13*I731*K731/(Model!$B$13*I731-L731*287*K731)</f>
        <v>282.30358507785684</v>
      </c>
      <c r="O731" s="57">
        <f t="shared" si="218"/>
        <v>268.10741753892842</v>
      </c>
      <c r="P731" s="57">
        <f t="shared" si="219"/>
        <v>-4.0300006786284648E-2</v>
      </c>
      <c r="Q731" s="63">
        <f t="shared" ref="Q731:Q794" si="230">(O731-273)*7.1*0.00001+0.024</f>
        <v>2.3652626645263918E-2</v>
      </c>
      <c r="R731" s="17">
        <f t="shared" ref="R731:R794" si="231">((O731-273)*0.104+13.6)*0.000001</f>
        <v>1.3091171424048554E-5</v>
      </c>
      <c r="S731" s="46">
        <f>0.37*Model!$B$10*(Q731^2*(N731-K731)*I731/(R731*O731^2))^0.33333*(N731-K731)</f>
        <v>151324.77890399809</v>
      </c>
      <c r="T731" s="51">
        <f>Model!$B$32+(90-Model!$B$6)*SIN(RADIANS(-15*(E731+6)))</f>
        <v>21.173148383202431</v>
      </c>
      <c r="U731" s="46">
        <f t="shared" si="220"/>
        <v>21.173148383202431</v>
      </c>
      <c r="V731" s="51">
        <f t="shared" si="221"/>
        <v>2.7686443457467704</v>
      </c>
      <c r="W731" s="46">
        <f t="shared" si="222"/>
        <v>721.97770393668895</v>
      </c>
      <c r="X731" s="46">
        <f>0.3*W731*Model!$B$9</f>
        <v>65400.092603034995</v>
      </c>
      <c r="Y731" s="17">
        <f>(S731-X731)/Model!$B$11</f>
        <v>1.8432840566547913E-3</v>
      </c>
      <c r="Z731" s="46">
        <f t="shared" si="223"/>
        <v>43.21836322954448</v>
      </c>
      <c r="AA731" s="57">
        <f>Y731/Model!$B$12*3600</f>
        <v>11.934396122399621</v>
      </c>
      <c r="AB731" s="51">
        <f t="shared" si="228"/>
        <v>46.942313022067992</v>
      </c>
      <c r="AC731" s="51">
        <f t="shared" ref="AC731:AC794" si="232">AC730+AB730-AB731</f>
        <v>1753.057686977932</v>
      </c>
      <c r="AD731" s="13">
        <f>IF(AE731=0, Model!$B$19, 0 )</f>
        <v>0</v>
      </c>
      <c r="AE731" s="51">
        <f>IF(AE730+AB730-AB731&lt;Model!$B$19*Model!$B$18, AE730+AB730-AB731,  0)</f>
        <v>396.69226068404555</v>
      </c>
      <c r="AF731" s="13">
        <f t="shared" si="224"/>
        <v>36.450000000000067</v>
      </c>
      <c r="AG731" s="50">
        <f t="shared" si="225"/>
        <v>2.0150003393142324E-2</v>
      </c>
    </row>
    <row r="732" spans="2:33" x14ac:dyDescent="0.25">
      <c r="B732" s="15">
        <f t="shared" si="226"/>
        <v>36.500000000000064</v>
      </c>
      <c r="C732" s="15">
        <f>B732+Model!$B$4</f>
        <v>38.500000000000064</v>
      </c>
      <c r="D732" s="15">
        <f t="shared" si="227"/>
        <v>2</v>
      </c>
      <c r="E732" s="15">
        <f t="shared" si="215"/>
        <v>14.500000000000064</v>
      </c>
      <c r="F732" s="16">
        <f>IF(AB732&gt;0, VLOOKUP(B732,Model!$A$40:$B$60, 2), 0)</f>
        <v>300</v>
      </c>
      <c r="G732" s="15">
        <f>IF(AB732&gt;0, VLOOKUP(B732,Model!$A$39:$C$58, 3), 0)</f>
        <v>1</v>
      </c>
      <c r="H732" s="15">
        <f t="shared" si="216"/>
        <v>97</v>
      </c>
      <c r="I732" s="45">
        <f>Model!$B$21*EXP((-0.029*9.81*F732)/(8.31*(273+J732)))</f>
        <v>100357.4491247143</v>
      </c>
      <c r="J732" s="15">
        <f>IF(Model!$B$31="Summer",  IF(F732&lt;=2000,  Model!$B$20-Model!$B$35*F732/1000,  IF(F732&lt;Model!$B$36,  Model!$B$33-6.5*F732/1000,  Model!$B$38)),     IF(F732&lt;=2000,  Model!$B$20-Model!$B$35*F732/1000,  IF(F732&lt;Model!$B$36,  Model!$B$33-5.4*F732/1000,   Model!$B$38)))</f>
        <v>-19.088750000000001</v>
      </c>
      <c r="K732" s="15">
        <f t="shared" si="229"/>
        <v>253.91125</v>
      </c>
      <c r="L732" s="45">
        <f>IF(AB731-AA731*(B732-B731)&gt;0, L731-Y731*(B732-B731)*3600-AD732*Model!$B$16, 0)</f>
        <v>546.76930846789855</v>
      </c>
      <c r="M732" s="56">
        <f t="shared" si="217"/>
        <v>9.2844423733341159</v>
      </c>
      <c r="N732" s="56">
        <f>Model!$B$13*I732*K732/(Model!$B$13*I732-L732*287*K732)</f>
        <v>282.28444237333412</v>
      </c>
      <c r="O732" s="56">
        <f t="shared" si="218"/>
        <v>268.09784618666708</v>
      </c>
      <c r="P732" s="56">
        <f t="shared" si="219"/>
        <v>-8.8969120421682923E-2</v>
      </c>
      <c r="Q732" s="62">
        <f t="shared" si="230"/>
        <v>2.3651947079253364E-2</v>
      </c>
      <c r="R732" s="33">
        <f t="shared" si="231"/>
        <v>1.3090176003413375E-5</v>
      </c>
      <c r="S732" s="45">
        <f>0.37*Model!$B$10*(Q732^2*(N732-K732)*I732/(R732*O732^2))^0.33333*(N732-K732)</f>
        <v>151193.29401653539</v>
      </c>
      <c r="T732" s="50">
        <f>Model!$B$32+(90-Model!$B$6)*SIN(RADIANS(-15*(E732+6)))</f>
        <v>20.89663184920855</v>
      </c>
      <c r="U732" s="45">
        <f t="shared" si="220"/>
        <v>20.89663184920855</v>
      </c>
      <c r="V732" s="50">
        <f t="shared" si="221"/>
        <v>2.8036092899453404</v>
      </c>
      <c r="W732" s="45">
        <f t="shared" si="222"/>
        <v>715.89917167508463</v>
      </c>
      <c r="X732" s="45">
        <f>0.3*W732*Model!$B$9</f>
        <v>64849.470927833914</v>
      </c>
      <c r="Y732" s="33">
        <f>(S732-X732)/Model!$B$11</f>
        <v>1.8522755140770455E-3</v>
      </c>
      <c r="Z732" s="45">
        <f t="shared" si="223"/>
        <v>42.891764049231966</v>
      </c>
      <c r="AA732" s="56">
        <f>Y732/Model!$B$12*3600</f>
        <v>11.992611574438854</v>
      </c>
      <c r="AB732" s="50">
        <f t="shared" si="228"/>
        <v>46.345593215948043</v>
      </c>
      <c r="AC732" s="50">
        <f t="shared" si="232"/>
        <v>1753.6544067840518</v>
      </c>
      <c r="AD732" s="15">
        <f>IF(AE732=0, Model!$B$19, 0 )</f>
        <v>0</v>
      </c>
      <c r="AE732" s="50">
        <f>IF(AE731+AB731-AB732&lt;Model!$B$19*Model!$B$18, AE731+AB731-AB732,  0)</f>
        <v>397.2889804901655</v>
      </c>
      <c r="AF732" s="15">
        <f t="shared" si="224"/>
        <v>36.500000000000064</v>
      </c>
      <c r="AG732" s="50">
        <f t="shared" si="225"/>
        <v>4.4484560210841462E-2</v>
      </c>
    </row>
    <row r="733" spans="2:33" x14ac:dyDescent="0.25">
      <c r="B733" s="13">
        <f t="shared" si="226"/>
        <v>36.550000000000061</v>
      </c>
      <c r="C733" s="13">
        <f>B733+Model!$B$4</f>
        <v>38.550000000000061</v>
      </c>
      <c r="D733" s="13">
        <f t="shared" si="227"/>
        <v>2</v>
      </c>
      <c r="E733" s="13">
        <f t="shared" si="215"/>
        <v>14.550000000000061</v>
      </c>
      <c r="F733" s="14">
        <f>IF(AB733&gt;0, VLOOKUP(B733,Model!$A$40:$B$60, 2), 0)</f>
        <v>300</v>
      </c>
      <c r="G733" s="13">
        <f>IF(AB733&gt;0, VLOOKUP(B733,Model!$A$39:$C$58, 3), 0)</f>
        <v>1</v>
      </c>
      <c r="H733" s="13">
        <f t="shared" si="216"/>
        <v>97</v>
      </c>
      <c r="I733" s="46">
        <f>Model!$B$21*EXP((-0.029*9.81*F733)/(8.31*(273+J733)))</f>
        <v>100357.4491247143</v>
      </c>
      <c r="J733" s="13">
        <f>IF(Model!$B$31="Summer",  IF(F733&lt;=2000,  Model!$B$20-Model!$B$35*F733/1000,  IF(F733&lt;Model!$B$36,  Model!$B$33-6.5*F733/1000,  Model!$B$38)),     IF(F733&lt;=2000,  Model!$B$20-Model!$B$35*F733/1000,  IF(F733&lt;Model!$B$36,  Model!$B$33-5.4*F733/1000,   Model!$B$38)))</f>
        <v>-19.088750000000001</v>
      </c>
      <c r="K733" s="13">
        <f t="shared" si="229"/>
        <v>253.91125</v>
      </c>
      <c r="L733" s="46">
        <f>IF(AB732-AA732*(B733-B732)&gt;0, L732-Y732*(B733-B732)*3600-AD733*Model!$B$16, 0)</f>
        <v>546.43589887536473</v>
      </c>
      <c r="M733" s="57">
        <f t="shared" si="217"/>
        <v>9.2652089064932284</v>
      </c>
      <c r="N733" s="57">
        <f>Model!$B$13*I733*K733/(Model!$B$13*I733-L733*287*K733)</f>
        <v>282.26520890649323</v>
      </c>
      <c r="O733" s="57">
        <f t="shared" si="218"/>
        <v>268.08822945324664</v>
      </c>
      <c r="P733" s="57">
        <f t="shared" si="219"/>
        <v>-0.13910940225282253</v>
      </c>
      <c r="Q733" s="63">
        <f t="shared" si="230"/>
        <v>2.3651264291180512E-2</v>
      </c>
      <c r="R733" s="17">
        <f t="shared" si="231"/>
        <v>1.3089175863137651E-5</v>
      </c>
      <c r="S733" s="46">
        <f>0.37*Model!$B$10*(Q733^2*(N733-K733)*I733/(R733*O733^2))^0.33333*(N733-K733)</f>
        <v>151061.20877679533</v>
      </c>
      <c r="T733" s="51">
        <f>Model!$B$32+(90-Model!$B$6)*SIN(RADIANS(-15*(E733+6)))</f>
        <v>20.615357519841403</v>
      </c>
      <c r="U733" s="46">
        <f t="shared" si="220"/>
        <v>20.615357519841403</v>
      </c>
      <c r="V733" s="51">
        <f t="shared" si="221"/>
        <v>2.8401624469580287</v>
      </c>
      <c r="W733" s="46">
        <f t="shared" si="222"/>
        <v>709.59924699757073</v>
      </c>
      <c r="X733" s="46">
        <f>0.3*W733*Model!$B$9</f>
        <v>64278.79449966309</v>
      </c>
      <c r="Y733" s="17">
        <f>(S733-X733)/Model!$B$11</f>
        <v>1.8616843135714309E-3</v>
      </c>
      <c r="Z733" s="46">
        <f t="shared" si="223"/>
        <v>42.551489571780138</v>
      </c>
      <c r="AA733" s="57">
        <f>Y733/Model!$B$12*3600</f>
        <v>12.053529119836611</v>
      </c>
      <c r="AB733" s="51">
        <f t="shared" si="228"/>
        <v>45.745962637226135</v>
      </c>
      <c r="AC733" s="51">
        <f t="shared" si="232"/>
        <v>1754.2540373627739</v>
      </c>
      <c r="AD733" s="13">
        <f>IF(AE733=0, Model!$B$19, 0 )</f>
        <v>0</v>
      </c>
      <c r="AE733" s="51">
        <f>IF(AE732+AB732-AB733&lt;Model!$B$19*Model!$B$18, AE732+AB732-AB733,  0)</f>
        <v>397.88861106888743</v>
      </c>
      <c r="AF733" s="13">
        <f t="shared" si="224"/>
        <v>36.550000000000061</v>
      </c>
      <c r="AG733" s="50">
        <f t="shared" si="225"/>
        <v>6.9554701126411267E-2</v>
      </c>
    </row>
    <row r="734" spans="2:33" x14ac:dyDescent="0.25">
      <c r="B734" s="15">
        <f t="shared" si="226"/>
        <v>36.600000000000058</v>
      </c>
      <c r="C734" s="15">
        <f>B734+Model!$B$4</f>
        <v>38.600000000000058</v>
      </c>
      <c r="D734" s="15">
        <f t="shared" si="227"/>
        <v>2</v>
      </c>
      <c r="E734" s="15">
        <f t="shared" si="215"/>
        <v>14.600000000000058</v>
      </c>
      <c r="F734" s="16">
        <f>IF(AB734&gt;0, VLOOKUP(B734,Model!$A$40:$B$60, 2), 0)</f>
        <v>300</v>
      </c>
      <c r="G734" s="15">
        <f>IF(AB734&gt;0, VLOOKUP(B734,Model!$A$39:$C$58, 3), 0)</f>
        <v>1</v>
      </c>
      <c r="H734" s="15">
        <f t="shared" si="216"/>
        <v>97</v>
      </c>
      <c r="I734" s="45">
        <f>Model!$B$21*EXP((-0.029*9.81*F734)/(8.31*(273+J734)))</f>
        <v>100357.4491247143</v>
      </c>
      <c r="J734" s="15">
        <f>IF(Model!$B$31="Summer",  IF(F734&lt;=2000,  Model!$B$20-Model!$B$35*F734/1000,  IF(F734&lt;Model!$B$36,  Model!$B$33-6.5*F734/1000,  Model!$B$38)),     IF(F734&lt;=2000,  Model!$B$20-Model!$B$35*F734/1000,  IF(F734&lt;Model!$B$36,  Model!$B$33-5.4*F734/1000,   Model!$B$38)))</f>
        <v>-19.088750000000001</v>
      </c>
      <c r="K734" s="15">
        <f t="shared" si="229"/>
        <v>253.91125</v>
      </c>
      <c r="L734" s="45">
        <f>IF(AB733-AA733*(B734-B733)&gt;0, L733-Y733*(B734-B733)*3600-AD734*Model!$B$16, 0)</f>
        <v>546.10079569892184</v>
      </c>
      <c r="M734" s="56">
        <f t="shared" si="217"/>
        <v>9.2458803823033691</v>
      </c>
      <c r="N734" s="56">
        <f>Model!$B$13*I734*K734/(Model!$B$13*I734-L734*287*K734)</f>
        <v>282.24588038230337</v>
      </c>
      <c r="O734" s="56">
        <f t="shared" si="218"/>
        <v>268.07856519115171</v>
      </c>
      <c r="P734" s="56">
        <f t="shared" si="219"/>
        <v>-0.19077316219784457</v>
      </c>
      <c r="Q734" s="62">
        <f t="shared" si="230"/>
        <v>2.3650578128571773E-2</v>
      </c>
      <c r="R734" s="33">
        <f t="shared" si="231"/>
        <v>1.3088170779879778E-5</v>
      </c>
      <c r="S734" s="45">
        <f>0.37*Model!$B$10*(Q734^2*(N734-K734)*I734/(R734*O734^2))^0.33333*(N734-K734)</f>
        <v>150928.49403950461</v>
      </c>
      <c r="T734" s="50">
        <f>Model!$B$32+(90-Model!$B$6)*SIN(RADIANS(-15*(E734+6)))</f>
        <v>20.329373590009325</v>
      </c>
      <c r="U734" s="45">
        <f t="shared" si="220"/>
        <v>20.329373590009325</v>
      </c>
      <c r="V734" s="50">
        <f t="shared" si="221"/>
        <v>2.8783900668189437</v>
      </c>
      <c r="W734" s="45">
        <f t="shared" si="222"/>
        <v>703.07003175618297</v>
      </c>
      <c r="X734" s="45">
        <f>0.3*W734*Model!$B$9</f>
        <v>63687.347867608434</v>
      </c>
      <c r="Y734" s="33">
        <f>(S734-X734)/Model!$B$11</f>
        <v>1.8715251779876903E-3</v>
      </c>
      <c r="Z734" s="45">
        <f t="shared" si="223"/>
        <v>42.197033948366737</v>
      </c>
      <c r="AA734" s="56">
        <f>Y734/Model!$B$12*3600</f>
        <v>12.117244082110851</v>
      </c>
      <c r="AB734" s="50">
        <f t="shared" si="228"/>
        <v>45.143286181234338</v>
      </c>
      <c r="AC734" s="50">
        <f t="shared" si="232"/>
        <v>1754.8567138187657</v>
      </c>
      <c r="AD734" s="15">
        <f>IF(AE734=0, Model!$B$19, 0 )</f>
        <v>0</v>
      </c>
      <c r="AE734" s="50">
        <f>IF(AE733+AB733-AB734&lt;Model!$B$19*Model!$B$18, AE733+AB733-AB734,  0)</f>
        <v>398.49128752487923</v>
      </c>
      <c r="AF734" s="15">
        <f t="shared" si="224"/>
        <v>36.600000000000058</v>
      </c>
      <c r="AG734" s="50">
        <f t="shared" si="225"/>
        <v>9.5386581098922285E-2</v>
      </c>
    </row>
    <row r="735" spans="2:33" x14ac:dyDescent="0.25">
      <c r="B735" s="13">
        <f t="shared" si="226"/>
        <v>36.650000000000055</v>
      </c>
      <c r="C735" s="13">
        <f>B735+Model!$B$4</f>
        <v>38.650000000000055</v>
      </c>
      <c r="D735" s="13">
        <f t="shared" si="227"/>
        <v>2</v>
      </c>
      <c r="E735" s="13">
        <f t="shared" si="215"/>
        <v>14.650000000000055</v>
      </c>
      <c r="F735" s="14">
        <f>IF(AB735&gt;0, VLOOKUP(B735,Model!$A$40:$B$60, 2), 0)</f>
        <v>300</v>
      </c>
      <c r="G735" s="13">
        <f>IF(AB735&gt;0, VLOOKUP(B735,Model!$A$39:$C$58, 3), 0)</f>
        <v>1</v>
      </c>
      <c r="H735" s="13">
        <f t="shared" si="216"/>
        <v>97</v>
      </c>
      <c r="I735" s="46">
        <f>Model!$B$21*EXP((-0.029*9.81*F735)/(8.31*(273+J735)))</f>
        <v>100357.4491247143</v>
      </c>
      <c r="J735" s="13">
        <f>IF(Model!$B$31="Summer",  IF(F735&lt;=2000,  Model!$B$20-Model!$B$35*F735/1000,  IF(F735&lt;Model!$B$36,  Model!$B$33-6.5*F735/1000,  Model!$B$38)),     IF(F735&lt;=2000,  Model!$B$20-Model!$B$35*F735/1000,  IF(F735&lt;Model!$B$36,  Model!$B$33-5.4*F735/1000,   Model!$B$38)))</f>
        <v>-19.088750000000001</v>
      </c>
      <c r="K735" s="13">
        <f t="shared" si="229"/>
        <v>253.91125</v>
      </c>
      <c r="L735" s="46">
        <f>IF(AB734-AA734*(B735-B734)&gt;0, L734-Y734*(B735-B734)*3600-AD735*Model!$B$16, 0)</f>
        <v>545.76392116688407</v>
      </c>
      <c r="M735" s="57">
        <f t="shared" si="217"/>
        <v>9.2264523554630955</v>
      </c>
      <c r="N735" s="57">
        <f>Model!$B$13*I735*K735/(Model!$B$13*I735-L735*287*K735)</f>
        <v>282.2264523554631</v>
      </c>
      <c r="O735" s="57">
        <f t="shared" si="218"/>
        <v>268.06885117773152</v>
      </c>
      <c r="P735" s="57">
        <f t="shared" si="219"/>
        <v>-0.24401527722723326</v>
      </c>
      <c r="Q735" s="63">
        <f t="shared" si="230"/>
        <v>2.3649888433618937E-2</v>
      </c>
      <c r="R735" s="17">
        <f t="shared" si="231"/>
        <v>1.3087160522484077E-5</v>
      </c>
      <c r="S735" s="46">
        <f>0.37*Model!$B$10*(Q735^2*(N735-K735)*I735/(R735*O735^2))^0.33333*(N735-K735)</f>
        <v>150795.11965075872</v>
      </c>
      <c r="T735" s="51">
        <f>Model!$B$32+(90-Model!$B$6)*SIN(RADIANS(-15*(E735+6)))</f>
        <v>20.038729061586441</v>
      </c>
      <c r="U735" s="46">
        <f t="shared" si="220"/>
        <v>20.038729061586441</v>
      </c>
      <c r="V735" s="51">
        <f t="shared" si="221"/>
        <v>2.918385169669774</v>
      </c>
      <c r="W735" s="46">
        <f t="shared" si="222"/>
        <v>696.30323584645259</v>
      </c>
      <c r="X735" s="46">
        <f>0.3*W735*Model!$B$9</f>
        <v>63074.380075515772</v>
      </c>
      <c r="Y735" s="17">
        <f>(S735-X735)/Model!$B$11</f>
        <v>1.8818135702079362E-3</v>
      </c>
      <c r="Z735" s="46">
        <f t="shared" si="223"/>
        <v>41.827865664085117</v>
      </c>
      <c r="AA735" s="57">
        <f>Y735/Model!$B$12*3600</f>
        <v>12.183856576140588</v>
      </c>
      <c r="AB735" s="51">
        <f t="shared" si="228"/>
        <v>44.537423977128832</v>
      </c>
      <c r="AC735" s="51">
        <f t="shared" si="232"/>
        <v>1755.4625760228712</v>
      </c>
      <c r="AD735" s="13">
        <f>IF(AE735=0, Model!$B$19, 0 )</f>
        <v>0</v>
      </c>
      <c r="AE735" s="51">
        <f>IF(AE734+AB734-AB735&lt;Model!$B$19*Model!$B$18, AE734+AB734-AB735,  0)</f>
        <v>399.09714972898473</v>
      </c>
      <c r="AF735" s="13">
        <f t="shared" si="224"/>
        <v>36.650000000000055</v>
      </c>
      <c r="AG735" s="50">
        <f t="shared" si="225"/>
        <v>0.12200763861361663</v>
      </c>
    </row>
    <row r="736" spans="2:33" x14ac:dyDescent="0.25">
      <c r="B736" s="15">
        <f t="shared" si="226"/>
        <v>36.700000000000053</v>
      </c>
      <c r="C736" s="15">
        <f>B736+Model!$B$4</f>
        <v>38.700000000000053</v>
      </c>
      <c r="D736" s="15">
        <f t="shared" si="227"/>
        <v>2</v>
      </c>
      <c r="E736" s="15">
        <f t="shared" si="215"/>
        <v>14.700000000000053</v>
      </c>
      <c r="F736" s="16">
        <f>IF(AB736&gt;0, VLOOKUP(B736,Model!$A$40:$B$60, 2), 0)</f>
        <v>300</v>
      </c>
      <c r="G736" s="15">
        <f>IF(AB736&gt;0, VLOOKUP(B736,Model!$A$39:$C$58, 3), 0)</f>
        <v>1</v>
      </c>
      <c r="H736" s="15">
        <f t="shared" si="216"/>
        <v>97</v>
      </c>
      <c r="I736" s="45">
        <f>Model!$B$21*EXP((-0.029*9.81*F736)/(8.31*(273+J736)))</f>
        <v>100357.4491247143</v>
      </c>
      <c r="J736" s="15">
        <f>IF(Model!$B$31="Summer",  IF(F736&lt;=2000,  Model!$B$20-Model!$B$35*F736/1000,  IF(F736&lt;Model!$B$36,  Model!$B$33-6.5*F736/1000,  Model!$B$38)),     IF(F736&lt;=2000,  Model!$B$20-Model!$B$35*F736/1000,  IF(F736&lt;Model!$B$36,  Model!$B$33-5.4*F736/1000,   Model!$B$38)))</f>
        <v>-19.088750000000001</v>
      </c>
      <c r="K736" s="15">
        <f t="shared" si="229"/>
        <v>253.91125</v>
      </c>
      <c r="L736" s="45">
        <f>IF(AB735-AA735*(B736-B735)&gt;0, L735-Y735*(B736-B735)*3600-AD736*Model!$B$16, 0)</f>
        <v>545.42519472424669</v>
      </c>
      <c r="M736" s="56">
        <f t="shared" si="217"/>
        <v>9.2069202228549329</v>
      </c>
      <c r="N736" s="56">
        <f>Model!$B$13*I736*K736/(Model!$B$13*I736-L736*287*K736)</f>
        <v>282.20692022285493</v>
      </c>
      <c r="O736" s="56">
        <f t="shared" si="218"/>
        <v>268.05908511142746</v>
      </c>
      <c r="P736" s="56">
        <f t="shared" si="219"/>
        <v>-0.29889331626285021</v>
      </c>
      <c r="Q736" s="62">
        <f t="shared" si="230"/>
        <v>2.3649195042911349E-2</v>
      </c>
      <c r="R736" s="33">
        <f t="shared" si="231"/>
        <v>1.3086144851588455E-5</v>
      </c>
      <c r="S736" s="45">
        <f>0.37*Model!$B$10*(Q736^2*(N736-K736)*I736/(R736*O736^2))^0.33333*(N736-K736)</f>
        <v>150661.05439745943</v>
      </c>
      <c r="T736" s="50">
        <f>Model!$B$32+(90-Model!$B$6)*SIN(RADIANS(-15*(E736+6)))</f>
        <v>19.743473735016451</v>
      </c>
      <c r="U736" s="45">
        <f t="shared" si="220"/>
        <v>19.743473735016451</v>
      </c>
      <c r="V736" s="50">
        <f t="shared" si="221"/>
        <v>2.9602482063025679</v>
      </c>
      <c r="W736" s="45">
        <f t="shared" si="222"/>
        <v>689.29015840898683</v>
      </c>
      <c r="X736" s="45">
        <f>0.3*W736*Model!$B$9</f>
        <v>62439.10295914275</v>
      </c>
      <c r="Y736" s="33">
        <f>(S736-X736)/Model!$B$11</f>
        <v>1.892565728592013E-3</v>
      </c>
      <c r="Z736" s="45">
        <f t="shared" si="223"/>
        <v>41.443426244994903</v>
      </c>
      <c r="AA736" s="56">
        <f>Y736/Model!$B$12*3600</f>
        <v>12.253471737657925</v>
      </c>
      <c r="AB736" s="50">
        <f t="shared" si="228"/>
        <v>43.928231148321835</v>
      </c>
      <c r="AC736" s="50">
        <f t="shared" si="232"/>
        <v>1756.0717688516781</v>
      </c>
      <c r="AD736" s="15">
        <f>IF(AE736=0, Model!$B$19, 0 )</f>
        <v>0</v>
      </c>
      <c r="AE736" s="50">
        <f>IF(AE735+AB735-AB736&lt;Model!$B$19*Model!$B$18, AE735+AB735-AB736,  0)</f>
        <v>399.70634255779169</v>
      </c>
      <c r="AF736" s="15">
        <f t="shared" si="224"/>
        <v>36.700000000000053</v>
      </c>
      <c r="AG736" s="50">
        <f t="shared" si="225"/>
        <v>0.1494466581314251</v>
      </c>
    </row>
    <row r="737" spans="2:33" x14ac:dyDescent="0.25">
      <c r="B737" s="13">
        <f t="shared" si="226"/>
        <v>36.75000000000005</v>
      </c>
      <c r="C737" s="13">
        <f>B737+Model!$B$4</f>
        <v>38.75000000000005</v>
      </c>
      <c r="D737" s="13">
        <f t="shared" si="227"/>
        <v>2</v>
      </c>
      <c r="E737" s="13">
        <f t="shared" si="215"/>
        <v>14.75000000000005</v>
      </c>
      <c r="F737" s="14">
        <f>IF(AB737&gt;0, VLOOKUP(B737,Model!$A$40:$B$60, 2), 0)</f>
        <v>300</v>
      </c>
      <c r="G737" s="13">
        <f>IF(AB737&gt;0, VLOOKUP(B737,Model!$A$39:$C$58, 3), 0)</f>
        <v>1</v>
      </c>
      <c r="H737" s="13">
        <f t="shared" si="216"/>
        <v>97</v>
      </c>
      <c r="I737" s="46">
        <f>Model!$B$21*EXP((-0.029*9.81*F737)/(8.31*(273+J737)))</f>
        <v>100357.4491247143</v>
      </c>
      <c r="J737" s="13">
        <f>IF(Model!$B$31="Summer",  IF(F737&lt;=2000,  Model!$B$20-Model!$B$35*F737/1000,  IF(F737&lt;Model!$B$36,  Model!$B$33-6.5*F737/1000,  Model!$B$38)),     IF(F737&lt;=2000,  Model!$B$20-Model!$B$35*F737/1000,  IF(F737&lt;Model!$B$36,  Model!$B$33-5.4*F737/1000,   Model!$B$38)))</f>
        <v>-19.088750000000001</v>
      </c>
      <c r="K737" s="13">
        <f t="shared" si="229"/>
        <v>253.91125</v>
      </c>
      <c r="L737" s="46">
        <f>IF(AB736-AA736*(B737-B736)&gt;0, L736-Y736*(B737-B736)*3600-AD737*Model!$B$16, 0)</f>
        <v>545.08453289310012</v>
      </c>
      <c r="M737" s="57">
        <f t="shared" si="217"/>
        <v>9.1872792156413539</v>
      </c>
      <c r="N737" s="57">
        <f>Model!$B$13*I737*K737/(Model!$B$13*I737-L737*287*K737)</f>
        <v>282.18727921564135</v>
      </c>
      <c r="O737" s="57">
        <f t="shared" si="218"/>
        <v>268.04926460782065</v>
      </c>
      <c r="P737" s="57">
        <f t="shared" si="219"/>
        <v>-0.35546766945274477</v>
      </c>
      <c r="Q737" s="63">
        <f t="shared" si="230"/>
        <v>2.3648497787155266E-2</v>
      </c>
      <c r="R737" s="17">
        <f t="shared" si="231"/>
        <v>1.3085123519213347E-5</v>
      </c>
      <c r="S737" s="46">
        <f>0.37*Model!$B$10*(Q737^2*(N737-K737)*I737/(R737*O737^2))^0.33333*(N737-K737)</f>
        <v>150526.26595437626</v>
      </c>
      <c r="T737" s="51">
        <f>Model!$B$32+(90-Model!$B$6)*SIN(RADIANS(-15*(E737+6)))</f>
        <v>19.443658200779591</v>
      </c>
      <c r="U737" s="46">
        <f t="shared" si="220"/>
        <v>19.443658200779591</v>
      </c>
      <c r="V737" s="51">
        <f t="shared" si="221"/>
        <v>3.004087798298297</v>
      </c>
      <c r="W737" s="46">
        <f t="shared" si="222"/>
        <v>682.02166847584408</v>
      </c>
      <c r="X737" s="46">
        <f>0.3*W737*Model!$B$9</f>
        <v>61780.689393017659</v>
      </c>
      <c r="Y737" s="17">
        <f>(S737-X737)/Model!$B$11</f>
        <v>1.9037987034507904E-3</v>
      </c>
      <c r="Z737" s="46">
        <f t="shared" si="223"/>
        <v>41.043128919269854</v>
      </c>
      <c r="AA737" s="57">
        <f>Y737/Model!$B$12*3600</f>
        <v>12.326199959395433</v>
      </c>
      <c r="AB737" s="51">
        <f t="shared" si="228"/>
        <v>43.315557561438972</v>
      </c>
      <c r="AC737" s="51">
        <f t="shared" si="232"/>
        <v>1756.6844424385611</v>
      </c>
      <c r="AD737" s="13">
        <f>IF(AE737=0, Model!$B$19, 0 )</f>
        <v>0</v>
      </c>
      <c r="AE737" s="51">
        <f>IF(AE736+AB736-AB737&lt;Model!$B$19*Model!$B$18, AE736+AB736-AB737,  0)</f>
        <v>400.31901614467455</v>
      </c>
      <c r="AF737" s="13">
        <f t="shared" si="224"/>
        <v>36.75000000000005</v>
      </c>
      <c r="AG737" s="50">
        <f t="shared" si="225"/>
        <v>0.17773383472637239</v>
      </c>
    </row>
    <row r="738" spans="2:33" x14ac:dyDescent="0.25">
      <c r="B738" s="15">
        <f t="shared" si="226"/>
        <v>36.800000000000047</v>
      </c>
      <c r="C738" s="15">
        <f>B738+Model!$B$4</f>
        <v>38.800000000000047</v>
      </c>
      <c r="D738" s="15">
        <f t="shared" si="227"/>
        <v>2</v>
      </c>
      <c r="E738" s="15">
        <f t="shared" si="215"/>
        <v>14.800000000000047</v>
      </c>
      <c r="F738" s="16">
        <f>IF(AB738&gt;0, VLOOKUP(B738,Model!$A$40:$B$60, 2), 0)</f>
        <v>300</v>
      </c>
      <c r="G738" s="15">
        <f>IF(AB738&gt;0, VLOOKUP(B738,Model!$A$39:$C$58, 3), 0)</f>
        <v>1</v>
      </c>
      <c r="H738" s="15">
        <f t="shared" si="216"/>
        <v>97</v>
      </c>
      <c r="I738" s="45">
        <f>Model!$B$21*EXP((-0.029*9.81*F738)/(8.31*(273+J738)))</f>
        <v>100357.4491247143</v>
      </c>
      <c r="J738" s="15">
        <f>IF(Model!$B$31="Summer",  IF(F738&lt;=2000,  Model!$B$20-Model!$B$35*F738/1000,  IF(F738&lt;Model!$B$36,  Model!$B$33-6.5*F738/1000,  Model!$B$38)),     IF(F738&lt;=2000,  Model!$B$20-Model!$B$35*F738/1000,  IF(F738&lt;Model!$B$36,  Model!$B$33-5.4*F738/1000,   Model!$B$38)))</f>
        <v>-19.088750000000001</v>
      </c>
      <c r="K738" s="15">
        <f t="shared" si="229"/>
        <v>253.91125</v>
      </c>
      <c r="L738" s="45">
        <f>IF(AB737-AA737*(B738-B737)&gt;0, L737-Y737*(B738-B737)*3600-AD738*Model!$B$16, 0)</f>
        <v>544.741849126479</v>
      </c>
      <c r="M738" s="56">
        <f t="shared" si="217"/>
        <v>9.167524390992412</v>
      </c>
      <c r="N738" s="56">
        <f>Model!$B$13*I738*K738/(Model!$B$13*I738-L738*287*K738)</f>
        <v>282.16752439099241</v>
      </c>
      <c r="O738" s="56">
        <f t="shared" si="218"/>
        <v>268.0393871954962</v>
      </c>
      <c r="P738" s="56">
        <f t="shared" si="219"/>
        <v>-0.41380168133150086</v>
      </c>
      <c r="Q738" s="62">
        <f t="shared" si="230"/>
        <v>2.3647796490880231E-2</v>
      </c>
      <c r="R738" s="33">
        <f t="shared" si="231"/>
        <v>1.3084096268331604E-5</v>
      </c>
      <c r="S738" s="45">
        <f>0.37*Model!$B$10*(Q738^2*(N738-K738)*I738/(R738*O738^2))^0.33333*(N738-K738)</f>
        <v>150390.72082877214</v>
      </c>
      <c r="T738" s="50">
        <f>Model!$B$32+(90-Model!$B$6)*SIN(RADIANS(-15*(E738+6)))</f>
        <v>19.139333830724194</v>
      </c>
      <c r="U738" s="45">
        <f t="shared" si="220"/>
        <v>19.139333830724194</v>
      </c>
      <c r="V738" s="50">
        <f t="shared" si="221"/>
        <v>3.05002156914659</v>
      </c>
      <c r="W738" s="45">
        <f t="shared" si="222"/>
        <v>674.48818516667382</v>
      </c>
      <c r="X738" s="45">
        <f>0.3*W738*Model!$B$9</f>
        <v>61098.271496513808</v>
      </c>
      <c r="Y738" s="33">
        <f>(S738-X738)/Model!$B$11</f>
        <v>1.915530394342129E-3</v>
      </c>
      <c r="Z738" s="45">
        <f t="shared" si="223"/>
        <v>40.626357237876036</v>
      </c>
      <c r="AA738" s="56">
        <f>Y738/Model!$B$12*3600</f>
        <v>12.402157132559983</v>
      </c>
      <c r="AB738" s="50">
        <f t="shared" si="228"/>
        <v>42.699247563469235</v>
      </c>
      <c r="AC738" s="50">
        <f t="shared" si="232"/>
        <v>1757.3007524365307</v>
      </c>
      <c r="AD738" s="15">
        <f>IF(AE738=0, Model!$B$19, 0 )</f>
        <v>0</v>
      </c>
      <c r="AE738" s="50">
        <f>IF(AE737+AB737-AB738&lt;Model!$B$19*Model!$B$18, AE737+AB737-AB738,  0)</f>
        <v>400.93532614264433</v>
      </c>
      <c r="AF738" s="15">
        <f t="shared" si="224"/>
        <v>36.800000000000047</v>
      </c>
      <c r="AG738" s="50">
        <f t="shared" si="225"/>
        <v>0.20690084066575043</v>
      </c>
    </row>
    <row r="739" spans="2:33" x14ac:dyDescent="0.25">
      <c r="B739" s="13">
        <f t="shared" si="226"/>
        <v>36.850000000000044</v>
      </c>
      <c r="C739" s="13">
        <f>B739+Model!$B$4</f>
        <v>38.850000000000044</v>
      </c>
      <c r="D739" s="13">
        <f t="shared" si="227"/>
        <v>2</v>
      </c>
      <c r="E739" s="13">
        <f t="shared" ref="E739:E802" si="233">C739-24*(D739-1)</f>
        <v>14.850000000000044</v>
      </c>
      <c r="F739" s="14">
        <f>IF(AB739&gt;0, VLOOKUP(B739,Model!$A$40:$B$60, 2), 0)</f>
        <v>300</v>
      </c>
      <c r="G739" s="13">
        <f>IF(AB739&gt;0, VLOOKUP(B739,Model!$A$39:$C$58, 3), 0)</f>
        <v>1</v>
      </c>
      <c r="H739" s="13">
        <f t="shared" si="216"/>
        <v>97</v>
      </c>
      <c r="I739" s="46">
        <f>Model!$B$21*EXP((-0.029*9.81*F739)/(8.31*(273+J739)))</f>
        <v>100357.4491247143</v>
      </c>
      <c r="J739" s="13">
        <f>IF(Model!$B$31="Summer",  IF(F739&lt;=2000,  Model!$B$20-Model!$B$35*F739/1000,  IF(F739&lt;Model!$B$36,  Model!$B$33-6.5*F739/1000,  Model!$B$38)),     IF(F739&lt;=2000,  Model!$B$20-Model!$B$35*F739/1000,  IF(F739&lt;Model!$B$36,  Model!$B$33-5.4*F739/1000,   Model!$B$38)))</f>
        <v>-19.088750000000001</v>
      </c>
      <c r="K739" s="13">
        <f t="shared" si="229"/>
        <v>253.91125</v>
      </c>
      <c r="L739" s="46">
        <f>IF(AB738-AA738*(B739-B738)&gt;0, L738-Y738*(B739-B738)*3600-AD739*Model!$B$16, 0)</f>
        <v>544.39705365549742</v>
      </c>
      <c r="M739" s="57">
        <f t="shared" si="217"/>
        <v>9.1476506234370163</v>
      </c>
      <c r="N739" s="57">
        <f>Model!$B$13*I739*K739/(Model!$B$13*I739-L739*287*K739)</f>
        <v>282.14765062343702</v>
      </c>
      <c r="O739" s="57">
        <f t="shared" si="218"/>
        <v>268.02945031171851</v>
      </c>
      <c r="P739" s="57">
        <f t="shared" si="219"/>
        <v>-0.47396178717033344</v>
      </c>
      <c r="Q739" s="63">
        <f t="shared" si="230"/>
        <v>2.3647090972132013E-2</v>
      </c>
      <c r="R739" s="17">
        <f t="shared" si="231"/>
        <v>1.3083062832418723E-5</v>
      </c>
      <c r="S739" s="46">
        <f>0.37*Model!$B$10*(Q739^2*(N739-K739)*I739/(R739*O739^2))^0.33333*(N739-K739)</f>
        <v>150254.38430254516</v>
      </c>
      <c r="T739" s="51">
        <f>Model!$B$32+(90-Model!$B$6)*SIN(RADIANS(-15*(E739+6)))</f>
        <v>18.830552769264383</v>
      </c>
      <c r="U739" s="46">
        <f t="shared" si="220"/>
        <v>18.830552769264383</v>
      </c>
      <c r="V739" s="51">
        <f t="shared" si="221"/>
        <v>3.0981770796336869</v>
      </c>
      <c r="W739" s="46">
        <f t="shared" si="222"/>
        <v>666.67965757832769</v>
      </c>
      <c r="X739" s="46">
        <f>0.3*W739*Model!$B$9</f>
        <v>60390.938812157154</v>
      </c>
      <c r="Y739" s="17">
        <f>(S739-X739)/Model!$B$11</f>
        <v>1.9277795879092141E-3</v>
      </c>
      <c r="Z739" s="46">
        <f t="shared" si="223"/>
        <v>40.192463662529008</v>
      </c>
      <c r="AA739" s="57">
        <f>Y739/Model!$B$12*3600</f>
        <v>12.481464891818121</v>
      </c>
      <c r="AB739" s="51">
        <f t="shared" si="228"/>
        <v>42.079139706841275</v>
      </c>
      <c r="AC739" s="51">
        <f t="shared" si="232"/>
        <v>1757.9208602931587</v>
      </c>
      <c r="AD739" s="13">
        <f>IF(AE739=0, Model!$B$19, 0 )</f>
        <v>0</v>
      </c>
      <c r="AE739" s="51">
        <f>IF(AE738+AB738-AB739&lt;Model!$B$19*Model!$B$18, AE738+AB738-AB739,  0)</f>
        <v>401.55543399927228</v>
      </c>
      <c r="AF739" s="13">
        <f t="shared" si="224"/>
        <v>36.850000000000044</v>
      </c>
      <c r="AG739" s="50">
        <f t="shared" si="225"/>
        <v>0.23698089358516672</v>
      </c>
    </row>
    <row r="740" spans="2:33" x14ac:dyDescent="0.25">
      <c r="B740" s="15">
        <f t="shared" si="226"/>
        <v>36.900000000000041</v>
      </c>
      <c r="C740" s="15">
        <f>B740+Model!$B$4</f>
        <v>38.900000000000041</v>
      </c>
      <c r="D740" s="15">
        <f t="shared" si="227"/>
        <v>2</v>
      </c>
      <c r="E740" s="15">
        <f t="shared" si="233"/>
        <v>14.900000000000041</v>
      </c>
      <c r="F740" s="16">
        <f>IF(AB740&gt;0, VLOOKUP(B740,Model!$A$40:$B$60, 2), 0)</f>
        <v>300</v>
      </c>
      <c r="G740" s="15">
        <f>IF(AB740&gt;0, VLOOKUP(B740,Model!$A$39:$C$58, 3), 0)</f>
        <v>1</v>
      </c>
      <c r="H740" s="15">
        <f t="shared" si="216"/>
        <v>97</v>
      </c>
      <c r="I740" s="45">
        <f>Model!$B$21*EXP((-0.029*9.81*F740)/(8.31*(273+J740)))</f>
        <v>100357.4491247143</v>
      </c>
      <c r="J740" s="15">
        <f>IF(Model!$B$31="Summer",  IF(F740&lt;=2000,  Model!$B$20-Model!$B$35*F740/1000,  IF(F740&lt;Model!$B$36,  Model!$B$33-6.5*F740/1000,  Model!$B$38)),     IF(F740&lt;=2000,  Model!$B$20-Model!$B$35*F740/1000,  IF(F740&lt;Model!$B$36,  Model!$B$33-5.4*F740/1000,   Model!$B$38)))</f>
        <v>-19.088750000000001</v>
      </c>
      <c r="K740" s="15">
        <f t="shared" si="229"/>
        <v>253.91125</v>
      </c>
      <c r="L740" s="45">
        <f>IF(AB739-AA739*(B740-B739)&gt;0, L739-Y739*(B740-B739)*3600-AD740*Model!$B$16, 0)</f>
        <v>544.0500533296738</v>
      </c>
      <c r="M740" s="56">
        <f t="shared" si="217"/>
        <v>9.1276525958336947</v>
      </c>
      <c r="N740" s="56">
        <f>Model!$B$13*I740*K740/(Model!$B$13*I740-L740*287*K740)</f>
        <v>282.12765259583369</v>
      </c>
      <c r="O740" s="56">
        <f t="shared" si="218"/>
        <v>268.01945129791682</v>
      </c>
      <c r="P740" s="56">
        <f t="shared" si="219"/>
        <v>-0.53601765156096892</v>
      </c>
      <c r="Q740" s="62">
        <f t="shared" si="230"/>
        <v>2.3646381042152095E-2</v>
      </c>
      <c r="R740" s="33">
        <f t="shared" si="231"/>
        <v>1.3082022934983347E-5</v>
      </c>
      <c r="S740" s="45">
        <f>0.37*Model!$B$10*(Q740^2*(N740-K740)*I740/(R740*O740^2))^0.33333*(N740-K740)</f>
        <v>150117.22037186392</v>
      </c>
      <c r="T740" s="50">
        <f>Model!$B$32+(90-Model!$B$6)*SIN(RADIANS(-15*(E740+6)))</f>
        <v>18.517367924445477</v>
      </c>
      <c r="U740" s="45">
        <f t="shared" si="220"/>
        <v>18.517367924445477</v>
      </c>
      <c r="V740" s="50">
        <f t="shared" si="221"/>
        <v>3.1486928830521705</v>
      </c>
      <c r="W740" s="45">
        <f t="shared" si="222"/>
        <v>658.58554456037461</v>
      </c>
      <c r="X740" s="45">
        <f>0.3*W740*Model!$B$9</f>
        <v>59657.736473598532</v>
      </c>
      <c r="Y740" s="33">
        <f>(S740-X740)/Model!$B$11</f>
        <v>1.9405659958868474E-3</v>
      </c>
      <c r="Z740" s="45">
        <f t="shared" si="223"/>
        <v>39.740768131608725</v>
      </c>
      <c r="AA740" s="56">
        <f>Y740/Model!$B$12*3600</f>
        <v>12.564250861368913</v>
      </c>
      <c r="AB740" s="50">
        <f t="shared" si="228"/>
        <v>41.455066462250407</v>
      </c>
      <c r="AC740" s="50">
        <f t="shared" si="232"/>
        <v>1758.5449335377496</v>
      </c>
      <c r="AD740" s="15">
        <f>IF(AE740=0, Model!$B$19, 0 )</f>
        <v>0</v>
      </c>
      <c r="AE740" s="50">
        <f>IF(AE739+AB739-AB740&lt;Model!$B$19*Model!$B$18, AE739+AB739-AB740,  0)</f>
        <v>402.17950724386316</v>
      </c>
      <c r="AF740" s="15">
        <f t="shared" si="224"/>
        <v>36.900000000000041</v>
      </c>
      <c r="AG740" s="50">
        <f t="shared" si="225"/>
        <v>0.26800882578048446</v>
      </c>
    </row>
    <row r="741" spans="2:33" x14ac:dyDescent="0.25">
      <c r="B741" s="13">
        <f t="shared" si="226"/>
        <v>36.950000000000038</v>
      </c>
      <c r="C741" s="13">
        <f>B741+Model!$B$4</f>
        <v>38.950000000000038</v>
      </c>
      <c r="D741" s="13">
        <f t="shared" si="227"/>
        <v>2</v>
      </c>
      <c r="E741" s="13">
        <f t="shared" si="233"/>
        <v>14.950000000000038</v>
      </c>
      <c r="F741" s="14">
        <f>IF(AB741&gt;0, VLOOKUP(B741,Model!$A$40:$B$60, 2), 0)</f>
        <v>300</v>
      </c>
      <c r="G741" s="13">
        <f>IF(AB741&gt;0, VLOOKUP(B741,Model!$A$39:$C$58, 3), 0)</f>
        <v>1</v>
      </c>
      <c r="H741" s="13">
        <f t="shared" si="216"/>
        <v>97</v>
      </c>
      <c r="I741" s="46">
        <f>Model!$B$21*EXP((-0.029*9.81*F741)/(8.31*(273+J741)))</f>
        <v>100357.4491247143</v>
      </c>
      <c r="J741" s="13">
        <f>IF(Model!$B$31="Summer",  IF(F741&lt;=2000,  Model!$B$20-Model!$B$35*F741/1000,  IF(F741&lt;Model!$B$36,  Model!$B$33-6.5*F741/1000,  Model!$B$38)),     IF(F741&lt;=2000,  Model!$B$20-Model!$B$35*F741/1000,  IF(F741&lt;Model!$B$36,  Model!$B$33-5.4*F741/1000,   Model!$B$38)))</f>
        <v>-19.088750000000001</v>
      </c>
      <c r="K741" s="13">
        <f t="shared" si="229"/>
        <v>253.91125</v>
      </c>
      <c r="L741" s="46">
        <f>IF(AB740-AA740*(B741-B740)&gt;0, L740-Y740*(B741-B740)*3600-AD741*Model!$B$16, 0)</f>
        <v>543.70075145041415</v>
      </c>
      <c r="M741" s="57">
        <f t="shared" si="217"/>
        <v>9.1075247899582337</v>
      </c>
      <c r="N741" s="57">
        <f>Model!$B$13*I741*K741/(Model!$B$13*I741-L741*287*K741)</f>
        <v>282.10752478995823</v>
      </c>
      <c r="O741" s="57">
        <f t="shared" si="218"/>
        <v>268.00938739497911</v>
      </c>
      <c r="P741" s="57">
        <f t="shared" si="219"/>
        <v>-0.60004230795171942</v>
      </c>
      <c r="Q741" s="63">
        <f t="shared" si="230"/>
        <v>2.3645666505043517E-2</v>
      </c>
      <c r="R741" s="17">
        <f t="shared" si="231"/>
        <v>1.3080976289077827E-5</v>
      </c>
      <c r="S741" s="46">
        <f>0.37*Model!$B$10*(Q741^2*(N741-K741)*I741/(R741*O741^2))^0.33333*(N741-K741)</f>
        <v>149979.19168428602</v>
      </c>
      <c r="T741" s="51">
        <f>Model!$B$32+(90-Model!$B$6)*SIN(RADIANS(-15*(E741+6)))</f>
        <v>18.199832958878343</v>
      </c>
      <c r="U741" s="46">
        <f t="shared" si="220"/>
        <v>18.199832958878343</v>
      </c>
      <c r="V741" s="51">
        <f t="shared" si="221"/>
        <v>3.2017197184969772</v>
      </c>
      <c r="W741" s="46">
        <f t="shared" si="222"/>
        <v>650.19479463012294</v>
      </c>
      <c r="X741" s="46">
        <f>0.3*W741*Model!$B$9</f>
        <v>58897.663386223125</v>
      </c>
      <c r="Y741" s="17">
        <f>(S741-X741)/Model!$B$11</f>
        <v>1.9539102927826429E-3</v>
      </c>
      <c r="Z741" s="46">
        <f t="shared" si="223"/>
        <v>39.270556618417942</v>
      </c>
      <c r="AA741" s="57">
        <f>Y741/Model!$B$12*3600</f>
        <v>12.650648898911946</v>
      </c>
      <c r="AB741" s="51">
        <f t="shared" si="228"/>
        <v>40.826853919182</v>
      </c>
      <c r="AC741" s="51">
        <f t="shared" si="232"/>
        <v>1759.173146080818</v>
      </c>
      <c r="AD741" s="13">
        <f>IF(AE741=0, Model!$B$19, 0 )</f>
        <v>0</v>
      </c>
      <c r="AE741" s="51">
        <f>IF(AE740+AB740-AB741&lt;Model!$B$19*Model!$B$18, AE740+AB740-AB741,  0)</f>
        <v>402.80771978693156</v>
      </c>
      <c r="AF741" s="13">
        <f t="shared" si="224"/>
        <v>36.950000000000038</v>
      </c>
      <c r="AG741" s="50">
        <f t="shared" si="225"/>
        <v>0.30002115397585971</v>
      </c>
    </row>
    <row r="742" spans="2:33" x14ac:dyDescent="0.25">
      <c r="B742" s="15">
        <f t="shared" si="226"/>
        <v>37.000000000000036</v>
      </c>
      <c r="C742" s="15">
        <f>B742+Model!$B$4</f>
        <v>39.000000000000036</v>
      </c>
      <c r="D742" s="15">
        <f t="shared" si="227"/>
        <v>2</v>
      </c>
      <c r="E742" s="15">
        <f t="shared" si="233"/>
        <v>15.000000000000036</v>
      </c>
      <c r="F742" s="16">
        <f>IF(AB742&gt;0, VLOOKUP(B742,Model!$A$40:$B$60, 2), 0)</f>
        <v>300</v>
      </c>
      <c r="G742" s="15">
        <f>IF(AB742&gt;0, VLOOKUP(B742,Model!$A$39:$C$58, 3), 0)</f>
        <v>1</v>
      </c>
      <c r="H742" s="15">
        <f t="shared" si="216"/>
        <v>97</v>
      </c>
      <c r="I742" s="45">
        <f>Model!$B$21*EXP((-0.029*9.81*F742)/(8.31*(273+J742)))</f>
        <v>100357.4491247143</v>
      </c>
      <c r="J742" s="15">
        <f>IF(Model!$B$31="Summer",  IF(F742&lt;=2000,  Model!$B$20-Model!$B$35*F742/1000,  IF(F742&lt;Model!$B$36,  Model!$B$33-6.5*F742/1000,  Model!$B$38)),     IF(F742&lt;=2000,  Model!$B$20-Model!$B$35*F742/1000,  IF(F742&lt;Model!$B$36,  Model!$B$33-5.4*F742/1000,   Model!$B$38)))</f>
        <v>-19.088750000000001</v>
      </c>
      <c r="K742" s="15">
        <f t="shared" si="229"/>
        <v>253.91125</v>
      </c>
      <c r="L742" s="45">
        <f>IF(AB741-AA741*(B742-B741)&gt;0, L741-Y741*(B742-B741)*3600-AD742*Model!$B$16, 0)</f>
        <v>543.34904759771325</v>
      </c>
      <c r="M742" s="56">
        <f t="shared" si="217"/>
        <v>9.0872614767145024</v>
      </c>
      <c r="N742" s="56">
        <f>Model!$B$13*I742*K742/(Model!$B$13*I742-L742*287*K742)</f>
        <v>282.0872614767145</v>
      </c>
      <c r="O742" s="56">
        <f t="shared" si="218"/>
        <v>267.99925573835725</v>
      </c>
      <c r="P742" s="56">
        <f t="shared" si="219"/>
        <v>-0.66611229744192979</v>
      </c>
      <c r="Q742" s="62">
        <f t="shared" si="230"/>
        <v>2.3644947157423366E-2</v>
      </c>
      <c r="R742" s="33">
        <f t="shared" si="231"/>
        <v>1.3079922596789152E-5</v>
      </c>
      <c r="S742" s="45">
        <f>0.37*Model!$B$10*(Q742^2*(N742-K742)*I742/(R742*O742^2))^0.33333*(N742-K742)</f>
        <v>149840.25947341081</v>
      </c>
      <c r="T742" s="50">
        <f>Model!$B$32+(90-Model!$B$6)*SIN(RADIANS(-15*(E742+6)))</f>
        <v>17.878002280544624</v>
      </c>
      <c r="U742" s="45">
        <f t="shared" si="220"/>
        <v>17.878002280544624</v>
      </c>
      <c r="V742" s="50">
        <f t="shared" si="221"/>
        <v>3.2574218637662544</v>
      </c>
      <c r="W742" s="45">
        <f t="shared" si="222"/>
        <v>641.49582635748732</v>
      </c>
      <c r="X742" s="45">
        <f>0.3*W742*Model!$B$9</f>
        <v>58109.670450320606</v>
      </c>
      <c r="Y742" s="33">
        <f>(S742-X742)/Model!$B$11</f>
        <v>1.9678341525923028E-3</v>
      </c>
      <c r="Z742" s="45">
        <f t="shared" si="223"/>
        <v>38.781079700834461</v>
      </c>
      <c r="AA742" s="56">
        <f>Y742/Model!$B$12*3600</f>
        <v>12.740799333361432</v>
      </c>
      <c r="AB742" s="50">
        <f t="shared" si="228"/>
        <v>40.194321474236439</v>
      </c>
      <c r="AC742" s="50">
        <f t="shared" si="232"/>
        <v>1759.8056785257636</v>
      </c>
      <c r="AD742" s="15">
        <f>IF(AE742=0, Model!$B$19, 0 )</f>
        <v>0</v>
      </c>
      <c r="AE742" s="50">
        <f>IF(AE741+AB741-AB742&lt;Model!$B$19*Model!$B$18, AE741+AB741-AB742,  0)</f>
        <v>403.44025223187708</v>
      </c>
      <c r="AF742" s="15">
        <f t="shared" si="224"/>
        <v>37.000000000000036</v>
      </c>
      <c r="AG742" s="50">
        <f t="shared" si="225"/>
        <v>0.3330561487209649</v>
      </c>
    </row>
    <row r="743" spans="2:33" x14ac:dyDescent="0.25">
      <c r="B743" s="13">
        <f t="shared" si="226"/>
        <v>37.050000000000033</v>
      </c>
      <c r="C743" s="13">
        <f>B743+Model!$B$4</f>
        <v>39.050000000000033</v>
      </c>
      <c r="D743" s="13">
        <f t="shared" si="227"/>
        <v>2</v>
      </c>
      <c r="E743" s="13">
        <f t="shared" si="233"/>
        <v>15.050000000000033</v>
      </c>
      <c r="F743" s="14">
        <f>IF(AB743&gt;0, VLOOKUP(B743,Model!$A$40:$B$60, 2), 0)</f>
        <v>300</v>
      </c>
      <c r="G743" s="13">
        <f>IF(AB743&gt;0, VLOOKUP(B743,Model!$A$39:$C$58, 3), 0)</f>
        <v>1</v>
      </c>
      <c r="H743" s="13">
        <f t="shared" si="216"/>
        <v>97</v>
      </c>
      <c r="I743" s="46">
        <f>Model!$B$21*EXP((-0.029*9.81*F743)/(8.31*(273+J743)))</f>
        <v>100357.4491247143</v>
      </c>
      <c r="J743" s="13">
        <f>IF(Model!$B$31="Summer",  IF(F743&lt;=2000,  Model!$B$20-Model!$B$35*F743/1000,  IF(F743&lt;Model!$B$36,  Model!$B$33-6.5*F743/1000,  Model!$B$38)),     IF(F743&lt;=2000,  Model!$B$20-Model!$B$35*F743/1000,  IF(F743&lt;Model!$B$36,  Model!$B$33-5.4*F743/1000,   Model!$B$38)))</f>
        <v>-19.088750000000001</v>
      </c>
      <c r="K743" s="13">
        <f t="shared" si="229"/>
        <v>253.91125</v>
      </c>
      <c r="L743" s="46">
        <f>IF(AB742-AA742*(B743-B742)&gt;0, L742-Y742*(B743-B742)*3600-AD743*Model!$B$16, 0)</f>
        <v>542.99483745024668</v>
      </c>
      <c r="M743" s="57">
        <f t="shared" si="217"/>
        <v>9.0668567059776137</v>
      </c>
      <c r="N743" s="57">
        <f>Model!$B$13*I743*K743/(Model!$B$13*I743-L743*287*K743)</f>
        <v>282.06685670597761</v>
      </c>
      <c r="O743" s="57">
        <f t="shared" si="218"/>
        <v>267.98905335298878</v>
      </c>
      <c r="P743" s="57">
        <f t="shared" si="219"/>
        <v>-0.73430780462794498</v>
      </c>
      <c r="Q743" s="63">
        <f t="shared" si="230"/>
        <v>2.3644222788062205E-2</v>
      </c>
      <c r="R743" s="17">
        <f t="shared" si="231"/>
        <v>1.3078861548710833E-5</v>
      </c>
      <c r="S743" s="46">
        <f>0.37*Model!$B$10*(Q743^2*(N743-K743)*I743/(R743*O743^2))^0.33333*(N743-K743)</f>
        <v>149700.38349113692</v>
      </c>
      <c r="T743" s="51">
        <f>Model!$B$32+(90-Model!$B$6)*SIN(RADIANS(-15*(E743+6)))</f>
        <v>17.551931033474261</v>
      </c>
      <c r="U743" s="46">
        <f t="shared" si="220"/>
        <v>17.551931033474261</v>
      </c>
      <c r="V743" s="51">
        <f t="shared" si="221"/>
        <v>3.315978673306939</v>
      </c>
      <c r="W743" s="46">
        <f t="shared" si="222"/>
        <v>632.47650964613456</v>
      </c>
      <c r="X743" s="46">
        <f>0.3*W743*Model!$B$9</f>
        <v>57292.658865444435</v>
      </c>
      <c r="Y743" s="17">
        <f>(S743-X743)/Model!$B$11</f>
        <v>1.9823602837218167E-3</v>
      </c>
      <c r="Z743" s="46">
        <f t="shared" si="223"/>
        <v>38.271551167293083</v>
      </c>
      <c r="AA743" s="57">
        <f>Y743/Model!$B$12*3600</f>
        <v>12.834849190951019</v>
      </c>
      <c r="AB743" s="51">
        <f t="shared" si="228"/>
        <v>39.557281507568405</v>
      </c>
      <c r="AC743" s="51">
        <f t="shared" si="232"/>
        <v>1760.4427184924316</v>
      </c>
      <c r="AD743" s="13">
        <f>IF(AE743=0, Model!$B$19, 0 )</f>
        <v>0</v>
      </c>
      <c r="AE743" s="51">
        <f>IF(AE742+AB742-AB743&lt;Model!$B$19*Model!$B$18, AE742+AB742-AB743,  0)</f>
        <v>404.07729219854514</v>
      </c>
      <c r="AF743" s="13">
        <f t="shared" si="224"/>
        <v>37.050000000000033</v>
      </c>
      <c r="AG743" s="50">
        <f t="shared" si="225"/>
        <v>0.36715390231397249</v>
      </c>
    </row>
    <row r="744" spans="2:33" x14ac:dyDescent="0.25">
      <c r="B744" s="15">
        <f t="shared" si="226"/>
        <v>37.10000000000003</v>
      </c>
      <c r="C744" s="15">
        <f>B744+Model!$B$4</f>
        <v>39.10000000000003</v>
      </c>
      <c r="D744" s="15">
        <f t="shared" si="227"/>
        <v>2</v>
      </c>
      <c r="E744" s="15">
        <f t="shared" si="233"/>
        <v>15.10000000000003</v>
      </c>
      <c r="F744" s="16">
        <f>IF(AB744&gt;0, VLOOKUP(B744,Model!$A$40:$B$60, 2), 0)</f>
        <v>300</v>
      </c>
      <c r="G744" s="15">
        <f>IF(AB744&gt;0, VLOOKUP(B744,Model!$A$39:$C$58, 3), 0)</f>
        <v>1</v>
      </c>
      <c r="H744" s="15">
        <f t="shared" si="216"/>
        <v>97</v>
      </c>
      <c r="I744" s="45">
        <f>Model!$B$21*EXP((-0.029*9.81*F744)/(8.31*(273+J744)))</f>
        <v>100357.4491247143</v>
      </c>
      <c r="J744" s="15">
        <f>IF(Model!$B$31="Summer",  IF(F744&lt;=2000,  Model!$B$20-Model!$B$35*F744/1000,  IF(F744&lt;Model!$B$36,  Model!$B$33-6.5*F744/1000,  Model!$B$38)),     IF(F744&lt;=2000,  Model!$B$20-Model!$B$35*F744/1000,  IF(F744&lt;Model!$B$36,  Model!$B$33-5.4*F744/1000,   Model!$B$38)))</f>
        <v>-19.088750000000001</v>
      </c>
      <c r="K744" s="15">
        <f t="shared" si="229"/>
        <v>253.91125</v>
      </c>
      <c r="L744" s="45">
        <f>IF(AB743-AA743*(B744-B743)&gt;0, L743-Y743*(B744-B743)*3600-AD744*Model!$B$16, 0)</f>
        <v>542.63801259917682</v>
      </c>
      <c r="M744" s="56">
        <f t="shared" si="217"/>
        <v>9.0463042960898861</v>
      </c>
      <c r="N744" s="56">
        <f>Model!$B$13*I744*K744/(Model!$B$13*I744-L744*287*K744)</f>
        <v>282.04630429608989</v>
      </c>
      <c r="O744" s="56">
        <f t="shared" si="218"/>
        <v>267.97877714804497</v>
      </c>
      <c r="P744" s="56">
        <f t="shared" si="219"/>
        <v>-0.80471278764749332</v>
      </c>
      <c r="Q744" s="62">
        <f t="shared" si="230"/>
        <v>2.3643493177511195E-2</v>
      </c>
      <c r="R744" s="33">
        <f t="shared" si="231"/>
        <v>1.3077792823396676E-5</v>
      </c>
      <c r="S744" s="45">
        <f>0.37*Model!$B$10*(Q744^2*(N744-K744)*I744/(R744*O744^2))^0.33333*(N744-K744)</f>
        <v>149559.52193767211</v>
      </c>
      <c r="T744" s="50">
        <f>Model!$B$32+(90-Model!$B$6)*SIN(RADIANS(-15*(E744+6)))</f>
        <v>17.221675088296866</v>
      </c>
      <c r="U744" s="45">
        <f t="shared" si="220"/>
        <v>17.221675088296866</v>
      </c>
      <c r="V744" s="50">
        <f t="shared" si="221"/>
        <v>3.3775863313886418</v>
      </c>
      <c r="W744" s="45">
        <f t="shared" si="222"/>
        <v>623.1241484576866</v>
      </c>
      <c r="X744" s="45">
        <f>0.3*W744*Model!$B$9</f>
        <v>56445.478565489968</v>
      </c>
      <c r="Y744" s="33">
        <f>(S744-X744)/Model!$B$11</f>
        <v>1.9975124610572166E-3</v>
      </c>
      <c r="Z744" s="45">
        <f t="shared" si="223"/>
        <v>37.741146691424454</v>
      </c>
      <c r="AA744" s="56">
        <f>Y744/Model!$B$12*3600</f>
        <v>12.932952402870338</v>
      </c>
      <c r="AB744" s="50">
        <f t="shared" si="228"/>
        <v>38.915539048020889</v>
      </c>
      <c r="AC744" s="50">
        <f t="shared" si="232"/>
        <v>1761.0844609519791</v>
      </c>
      <c r="AD744" s="15">
        <f>IF(AE744=0, Model!$B$19, 0 )</f>
        <v>0</v>
      </c>
      <c r="AE744" s="50">
        <f>IF(AE743+AB743-AB744&lt;Model!$B$19*Model!$B$18, AE743+AB743-AB744,  0)</f>
        <v>404.71903465809265</v>
      </c>
      <c r="AF744" s="15">
        <f t="shared" si="224"/>
        <v>37.10000000000003</v>
      </c>
      <c r="AG744" s="50">
        <f t="shared" si="225"/>
        <v>0.40235639382374666</v>
      </c>
    </row>
    <row r="745" spans="2:33" x14ac:dyDescent="0.25">
      <c r="B745" s="13">
        <f t="shared" si="226"/>
        <v>37.150000000000027</v>
      </c>
      <c r="C745" s="13">
        <f>B745+Model!$B$4</f>
        <v>39.150000000000027</v>
      </c>
      <c r="D745" s="13">
        <f t="shared" si="227"/>
        <v>2</v>
      </c>
      <c r="E745" s="13">
        <f t="shared" si="233"/>
        <v>15.150000000000027</v>
      </c>
      <c r="F745" s="14">
        <f>IF(AB745&gt;0, VLOOKUP(B745,Model!$A$40:$B$60, 2), 0)</f>
        <v>300</v>
      </c>
      <c r="G745" s="13">
        <f>IF(AB745&gt;0, VLOOKUP(B745,Model!$A$39:$C$58, 3), 0)</f>
        <v>1</v>
      </c>
      <c r="H745" s="13">
        <f t="shared" si="216"/>
        <v>97</v>
      </c>
      <c r="I745" s="46">
        <f>Model!$B$21*EXP((-0.029*9.81*F745)/(8.31*(273+J745)))</f>
        <v>100357.4491247143</v>
      </c>
      <c r="J745" s="13">
        <f>IF(Model!$B$31="Summer",  IF(F745&lt;=2000,  Model!$B$20-Model!$B$35*F745/1000,  IF(F745&lt;Model!$B$36,  Model!$B$33-6.5*F745/1000,  Model!$B$38)),     IF(F745&lt;=2000,  Model!$B$20-Model!$B$35*F745/1000,  IF(F745&lt;Model!$B$36,  Model!$B$33-5.4*F745/1000,   Model!$B$38)))</f>
        <v>-19.088750000000001</v>
      </c>
      <c r="K745" s="13">
        <f t="shared" si="229"/>
        <v>253.91125</v>
      </c>
      <c r="L745" s="46">
        <f>IF(AB744-AA744*(B745-B744)&gt;0, L744-Y744*(B745-B744)*3600-AD745*Model!$B$16, 0)</f>
        <v>542.27846035618654</v>
      </c>
      <c r="M745" s="57">
        <f t="shared" si="217"/>
        <v>9.0255978230393339</v>
      </c>
      <c r="N745" s="57">
        <f>Model!$B$13*I745*K745/(Model!$B$13*I745-L745*287*K745)</f>
        <v>282.02559782303933</v>
      </c>
      <c r="O745" s="57">
        <f t="shared" si="218"/>
        <v>267.96842391151966</v>
      </c>
      <c r="P745" s="57">
        <f t="shared" si="219"/>
        <v>-0.87741509876242318</v>
      </c>
      <c r="Q745" s="63">
        <f t="shared" si="230"/>
        <v>2.3642758097717896E-2</v>
      </c>
      <c r="R745" s="17">
        <f t="shared" si="231"/>
        <v>1.3076716086798045E-5</v>
      </c>
      <c r="S745" s="46">
        <f>0.37*Model!$B$10*(Q745^2*(N745-K745)*I745/(R745*O745^2))^0.33333*(N745-K745)</f>
        <v>149417.63138950954</v>
      </c>
      <c r="T745" s="51">
        <f>Model!$B$32+(90-Model!$B$6)*SIN(RADIANS(-15*(E745+6)))</f>
        <v>16.887291032668458</v>
      </c>
      <c r="U745" s="46">
        <f t="shared" si="220"/>
        <v>16.887291032668458</v>
      </c>
      <c r="V745" s="51">
        <f t="shared" si="221"/>
        <v>3.4424598564519977</v>
      </c>
      <c r="W745" s="46">
        <f t="shared" si="222"/>
        <v>613.42546567642921</v>
      </c>
      <c r="X745" s="46">
        <f>0.3*W745*Model!$B$9</f>
        <v>55566.926847669434</v>
      </c>
      <c r="Y745" s="17">
        <f>(S745-X745)/Model!$B$11</f>
        <v>2.0133155538311722E-3</v>
      </c>
      <c r="Z745" s="46">
        <f t="shared" si="223"/>
        <v>37.189002616976794</v>
      </c>
      <c r="AA745" s="57">
        <f>Y745/Model!$B$12*3600</f>
        <v>13.035269985688089</v>
      </c>
      <c r="AB745" s="51">
        <f t="shared" si="228"/>
        <v>38.268891427877406</v>
      </c>
      <c r="AC745" s="51">
        <f t="shared" si="232"/>
        <v>1761.7311085721226</v>
      </c>
      <c r="AD745" s="13">
        <f>IF(AE745=0, Model!$B$19, 0 )</f>
        <v>0</v>
      </c>
      <c r="AE745" s="51">
        <f>IF(AE744+AB744-AB745&lt;Model!$B$19*Model!$B$18, AE744+AB744-AB745,  0)</f>
        <v>405.36568227823614</v>
      </c>
      <c r="AF745" s="13">
        <f t="shared" si="224"/>
        <v>37.150000000000027</v>
      </c>
      <c r="AG745" s="50">
        <f t="shared" si="225"/>
        <v>0.43870754938121159</v>
      </c>
    </row>
    <row r="746" spans="2:33" x14ac:dyDescent="0.25">
      <c r="B746" s="15">
        <f t="shared" si="226"/>
        <v>37.200000000000024</v>
      </c>
      <c r="C746" s="15">
        <f>B746+Model!$B$4</f>
        <v>39.200000000000024</v>
      </c>
      <c r="D746" s="15">
        <f t="shared" si="227"/>
        <v>2</v>
      </c>
      <c r="E746" s="15">
        <f t="shared" si="233"/>
        <v>15.200000000000024</v>
      </c>
      <c r="F746" s="16">
        <f>IF(AB746&gt;0, VLOOKUP(B746,Model!$A$40:$B$60, 2), 0)</f>
        <v>300</v>
      </c>
      <c r="G746" s="15">
        <f>IF(AB746&gt;0, VLOOKUP(B746,Model!$A$39:$C$58, 3), 0)</f>
        <v>1</v>
      </c>
      <c r="H746" s="15">
        <f t="shared" si="216"/>
        <v>97</v>
      </c>
      <c r="I746" s="45">
        <f>Model!$B$21*EXP((-0.029*9.81*F746)/(8.31*(273+J746)))</f>
        <v>100357.4491247143</v>
      </c>
      <c r="J746" s="15">
        <f>IF(Model!$B$31="Summer",  IF(F746&lt;=2000,  Model!$B$20-Model!$B$35*F746/1000,  IF(F746&lt;Model!$B$36,  Model!$B$33-6.5*F746/1000,  Model!$B$38)),     IF(F746&lt;=2000,  Model!$B$20-Model!$B$35*F746/1000,  IF(F746&lt;Model!$B$36,  Model!$B$33-5.4*F746/1000,   Model!$B$38)))</f>
        <v>-19.088750000000001</v>
      </c>
      <c r="K746" s="15">
        <f t="shared" si="229"/>
        <v>253.91125</v>
      </c>
      <c r="L746" s="45">
        <f>IF(AB745-AA745*(B746-B745)&gt;0, L745-Y745*(B746-B745)*3600-AD746*Model!$B$16, 0)</f>
        <v>541.91606355649697</v>
      </c>
      <c r="M746" s="56">
        <f t="shared" si="217"/>
        <v>9.0047306093662769</v>
      </c>
      <c r="N746" s="56">
        <f>Model!$B$13*I746*K746/(Model!$B$13*I746-L746*287*K746)</f>
        <v>282.00473060936628</v>
      </c>
      <c r="O746" s="56">
        <f t="shared" si="218"/>
        <v>267.95799030468311</v>
      </c>
      <c r="P746" s="56">
        <f t="shared" si="219"/>
        <v>-0.95250659080733424</v>
      </c>
      <c r="Q746" s="62">
        <f t="shared" si="230"/>
        <v>2.3642017311632502E-2</v>
      </c>
      <c r="R746" s="33">
        <f t="shared" si="231"/>
        <v>1.3075630991687041E-5</v>
      </c>
      <c r="S746" s="45">
        <f>0.37*Model!$B$10*(Q746^2*(N746-K746)*I746/(R746*O746^2))^0.33333*(N746-K746)</f>
        <v>149274.66672568923</v>
      </c>
      <c r="T746" s="50">
        <f>Model!$B$32+(90-Model!$B$6)*SIN(RADIANS(-15*(E746+6)))</f>
        <v>16.548836161575551</v>
      </c>
      <c r="U746" s="45">
        <f t="shared" si="220"/>
        <v>16.548836161575551</v>
      </c>
      <c r="V746" s="50">
        <f t="shared" si="221"/>
        <v>3.5108353996079265</v>
      </c>
      <c r="W746" s="45">
        <f t="shared" si="222"/>
        <v>603.36659100065799</v>
      </c>
      <c r="X746" s="45">
        <f>0.3*W746*Model!$B$9</f>
        <v>54655.747275653943</v>
      </c>
      <c r="Y746" s="33">
        <f>(S746-X746)/Model!$B$11</f>
        <v>2.0297955475712818E-3</v>
      </c>
      <c r="Z746" s="45">
        <f t="shared" si="223"/>
        <v>36.614214906331483</v>
      </c>
      <c r="AA746" s="56">
        <f>Y746/Model!$B$12*3600</f>
        <v>13.141970183456886</v>
      </c>
      <c r="AB746" s="50">
        <f t="shared" si="228"/>
        <v>37.617127928593042</v>
      </c>
      <c r="AC746" s="50">
        <f t="shared" si="232"/>
        <v>1762.3828720714071</v>
      </c>
      <c r="AD746" s="15">
        <f>IF(AE746=0, Model!$B$19, 0 )</f>
        <v>0</v>
      </c>
      <c r="AE746" s="50">
        <f>IF(AE745+AB745-AB746&lt;Model!$B$19*Model!$B$18, AE745+AB745-AB746,  0)</f>
        <v>406.01744577752049</v>
      </c>
      <c r="AF746" s="15">
        <f t="shared" si="224"/>
        <v>37.200000000000024</v>
      </c>
      <c r="AG746" s="50">
        <f t="shared" si="225"/>
        <v>0.47625329540366712</v>
      </c>
    </row>
    <row r="747" spans="2:33" x14ac:dyDescent="0.25">
      <c r="B747" s="13">
        <f t="shared" si="226"/>
        <v>37.250000000000021</v>
      </c>
      <c r="C747" s="13">
        <f>B747+Model!$B$4</f>
        <v>39.250000000000021</v>
      </c>
      <c r="D747" s="13">
        <f t="shared" si="227"/>
        <v>2</v>
      </c>
      <c r="E747" s="13">
        <f t="shared" si="233"/>
        <v>15.250000000000021</v>
      </c>
      <c r="F747" s="14">
        <f>IF(AB747&gt;0, VLOOKUP(B747,Model!$A$40:$B$60, 2), 0)</f>
        <v>300</v>
      </c>
      <c r="G747" s="13">
        <f>IF(AB747&gt;0, VLOOKUP(B747,Model!$A$39:$C$58, 3), 0)</f>
        <v>1</v>
      </c>
      <c r="H747" s="13">
        <f t="shared" si="216"/>
        <v>97</v>
      </c>
      <c r="I747" s="46">
        <f>Model!$B$21*EXP((-0.029*9.81*F747)/(8.31*(273+J747)))</f>
        <v>100357.4491247143</v>
      </c>
      <c r="J747" s="13">
        <f>IF(Model!$B$31="Summer",  IF(F747&lt;=2000,  Model!$B$20-Model!$B$35*F747/1000,  IF(F747&lt;Model!$B$36,  Model!$B$33-6.5*F747/1000,  Model!$B$38)),     IF(F747&lt;=2000,  Model!$B$20-Model!$B$35*F747/1000,  IF(F747&lt;Model!$B$36,  Model!$B$33-5.4*F747/1000,   Model!$B$38)))</f>
        <v>-19.088750000000001</v>
      </c>
      <c r="K747" s="13">
        <f t="shared" si="229"/>
        <v>253.91125</v>
      </c>
      <c r="L747" s="46">
        <f>IF(AB746-AA746*(B747-B746)&gt;0, L746-Y746*(B747-B746)*3600-AD747*Model!$B$16, 0)</f>
        <v>541.55070035793415</v>
      </c>
      <c r="M747" s="57">
        <f t="shared" si="217"/>
        <v>8.9836957128590598</v>
      </c>
      <c r="N747" s="57">
        <f>Model!$B$13*I747*K747/(Model!$B$13*I747-L747*287*K747)</f>
        <v>281.98369571285906</v>
      </c>
      <c r="O747" s="57">
        <f t="shared" si="218"/>
        <v>267.9474728564295</v>
      </c>
      <c r="P747" s="57">
        <f t="shared" si="219"/>
        <v>-1.0300832035660843</v>
      </c>
      <c r="Q747" s="63">
        <f t="shared" si="230"/>
        <v>2.3641270572806496E-2</v>
      </c>
      <c r="R747" s="17">
        <f t="shared" si="231"/>
        <v>1.3074537177068666E-5</v>
      </c>
      <c r="S747" s="46">
        <f>0.37*Model!$B$10*(Q747^2*(N747-K747)*I747/(R747*O747^2))^0.33333*(N747-K747)</f>
        <v>149130.58105277305</v>
      </c>
      <c r="T747" s="51">
        <f>Model!$B$32+(90-Model!$B$6)*SIN(RADIANS(-15*(E747+6)))</f>
        <v>16.206368467517944</v>
      </c>
      <c r="U747" s="46">
        <f t="shared" si="220"/>
        <v>16.206368467517944</v>
      </c>
      <c r="V747" s="51">
        <f t="shared" si="221"/>
        <v>3.582972888880382</v>
      </c>
      <c r="W747" s="46">
        <f t="shared" si="222"/>
        <v>592.93305298311657</v>
      </c>
      <c r="X747" s="46">
        <f>0.3*W747*Model!$B$9</f>
        <v>53710.628958559304</v>
      </c>
      <c r="Y747" s="17">
        <f>(S747-X747)/Model!$B$11</f>
        <v>2.0469795579580339E-3</v>
      </c>
      <c r="Z747" s="46">
        <f t="shared" si="223"/>
        <v>36.015838320614236</v>
      </c>
      <c r="AA747" s="57">
        <f>Y747/Model!$B$12*3600</f>
        <v>13.253228557437025</v>
      </c>
      <c r="AB747" s="51">
        <f t="shared" si="228"/>
        <v>36.960029419420238</v>
      </c>
      <c r="AC747" s="51">
        <f t="shared" si="232"/>
        <v>1763.0399705805798</v>
      </c>
      <c r="AD747" s="13">
        <f>IF(AE747=0, Model!$B$19, 0 )</f>
        <v>0</v>
      </c>
      <c r="AE747" s="51">
        <f>IF(AE746+AB746-AB747&lt;Model!$B$19*Model!$B$18, AE746+AB746-AB747,  0)</f>
        <v>406.67454428669328</v>
      </c>
      <c r="AF747" s="13">
        <f t="shared" si="224"/>
        <v>37.250000000000021</v>
      </c>
      <c r="AG747" s="50">
        <f t="shared" si="225"/>
        <v>0.51504160178304215</v>
      </c>
    </row>
    <row r="748" spans="2:33" x14ac:dyDescent="0.25">
      <c r="B748" s="15">
        <f t="shared" si="226"/>
        <v>37.300000000000018</v>
      </c>
      <c r="C748" s="15">
        <f>B748+Model!$B$4</f>
        <v>39.300000000000018</v>
      </c>
      <c r="D748" s="15">
        <f t="shared" si="227"/>
        <v>2</v>
      </c>
      <c r="E748" s="15">
        <f t="shared" si="233"/>
        <v>15.300000000000018</v>
      </c>
      <c r="F748" s="16">
        <f>IF(AB748&gt;0, VLOOKUP(B748,Model!$A$40:$B$60, 2), 0)</f>
        <v>300</v>
      </c>
      <c r="G748" s="15">
        <f>IF(AB748&gt;0, VLOOKUP(B748,Model!$A$39:$C$58, 3), 0)</f>
        <v>1</v>
      </c>
      <c r="H748" s="15">
        <f t="shared" si="216"/>
        <v>97</v>
      </c>
      <c r="I748" s="45">
        <f>Model!$B$21*EXP((-0.029*9.81*F748)/(8.31*(273+J748)))</f>
        <v>100357.4491247143</v>
      </c>
      <c r="J748" s="15">
        <f>IF(Model!$B$31="Summer",  IF(F748&lt;=2000,  Model!$B$20-Model!$B$35*F748/1000,  IF(F748&lt;Model!$B$36,  Model!$B$33-6.5*F748/1000,  Model!$B$38)),     IF(F748&lt;=2000,  Model!$B$20-Model!$B$35*F748/1000,  IF(F748&lt;Model!$B$36,  Model!$B$33-5.4*F748/1000,   Model!$B$38)))</f>
        <v>-19.088750000000001</v>
      </c>
      <c r="K748" s="15">
        <f t="shared" si="229"/>
        <v>253.91125</v>
      </c>
      <c r="L748" s="45">
        <f>IF(AB747-AA747*(B748-B747)&gt;0, L747-Y747*(B748-B747)*3600-AD748*Model!$B$16, 0)</f>
        <v>541.18224403750173</v>
      </c>
      <c r="M748" s="56">
        <f t="shared" si="217"/>
        <v>8.9624859151246596</v>
      </c>
      <c r="N748" s="56">
        <f>Model!$B$13*I748*K748/(Model!$B$13*I748-L748*287*K748)</f>
        <v>281.96248591512466</v>
      </c>
      <c r="O748" s="56">
        <f t="shared" si="218"/>
        <v>267.9368679575623</v>
      </c>
      <c r="P748" s="56">
        <f t="shared" si="219"/>
        <v>-1.1102450225502269</v>
      </c>
      <c r="Q748" s="62">
        <f t="shared" si="230"/>
        <v>2.3640517624986923E-2</v>
      </c>
      <c r="R748" s="33">
        <f t="shared" si="231"/>
        <v>1.3073434267586477E-5</v>
      </c>
      <c r="S748" s="45">
        <f>0.37*Model!$B$10*(Q748^2*(N748-K748)*I748/(R748*O748^2))^0.33333*(N748-K748)</f>
        <v>148985.32562912881</v>
      </c>
      <c r="T748" s="50">
        <f>Model!$B$32+(90-Model!$B$6)*SIN(RADIANS(-15*(E748+6)))</f>
        <v>15.859946630571979</v>
      </c>
      <c r="U748" s="45">
        <f t="shared" si="220"/>
        <v>15.859946630571979</v>
      </c>
      <c r="V748" s="50">
        <f t="shared" si="221"/>
        <v>3.6591590813941637</v>
      </c>
      <c r="W748" s="45">
        <f t="shared" si="222"/>
        <v>582.10977663925019</v>
      </c>
      <c r="X748" s="45">
        <f>0.3*W748*Model!$B$9</f>
        <v>52730.206334290604</v>
      </c>
      <c r="Y748" s="33">
        <f>(S748-X748)/Model!$B$11</f>
        <v>2.0648958338482935E-3</v>
      </c>
      <c r="Z748" s="45">
        <f t="shared" si="223"/>
        <v>35.392885917873969</v>
      </c>
      <c r="AA748" s="56">
        <f>Y748/Model!$B$12*3600</f>
        <v>13.369228005672149</v>
      </c>
      <c r="AB748" s="50">
        <f t="shared" si="228"/>
        <v>36.297367991548427</v>
      </c>
      <c r="AC748" s="50">
        <f t="shared" si="232"/>
        <v>1763.7026320084515</v>
      </c>
      <c r="AD748" s="15">
        <f>IF(AE748=0, Model!$B$19, 0 )</f>
        <v>0</v>
      </c>
      <c r="AE748" s="50">
        <f>IF(AE747+AB747-AB748&lt;Model!$B$19*Model!$B$18, AE747+AB747-AB748,  0)</f>
        <v>407.33720571456513</v>
      </c>
      <c r="AF748" s="15">
        <f t="shared" si="224"/>
        <v>37.300000000000018</v>
      </c>
      <c r="AG748" s="50">
        <f t="shared" si="225"/>
        <v>0.55512251127511347</v>
      </c>
    </row>
    <row r="749" spans="2:33" x14ac:dyDescent="0.25">
      <c r="B749" s="13">
        <f t="shared" si="226"/>
        <v>37.350000000000016</v>
      </c>
      <c r="C749" s="13">
        <f>B749+Model!$B$4</f>
        <v>39.350000000000016</v>
      </c>
      <c r="D749" s="13">
        <f t="shared" si="227"/>
        <v>2</v>
      </c>
      <c r="E749" s="13">
        <f t="shared" si="233"/>
        <v>15.350000000000016</v>
      </c>
      <c r="F749" s="14">
        <f>IF(AB749&gt;0, VLOOKUP(B749,Model!$A$40:$B$60, 2), 0)</f>
        <v>300</v>
      </c>
      <c r="G749" s="13">
        <f>IF(AB749&gt;0, VLOOKUP(B749,Model!$A$39:$C$58, 3), 0)</f>
        <v>1</v>
      </c>
      <c r="H749" s="13">
        <f t="shared" si="216"/>
        <v>97</v>
      </c>
      <c r="I749" s="46">
        <f>Model!$B$21*EXP((-0.029*9.81*F749)/(8.31*(273+J749)))</f>
        <v>100357.4491247143</v>
      </c>
      <c r="J749" s="13">
        <f>IF(Model!$B$31="Summer",  IF(F749&lt;=2000,  Model!$B$20-Model!$B$35*F749/1000,  IF(F749&lt;Model!$B$36,  Model!$B$33-6.5*F749/1000,  Model!$B$38)),     IF(F749&lt;=2000,  Model!$B$20-Model!$B$35*F749/1000,  IF(F749&lt;Model!$B$36,  Model!$B$33-5.4*F749/1000,   Model!$B$38)))</f>
        <v>-19.088750000000001</v>
      </c>
      <c r="K749" s="13">
        <f t="shared" si="229"/>
        <v>253.91125</v>
      </c>
      <c r="L749" s="46">
        <f>IF(AB748-AA748*(B749-B748)&gt;0, L748-Y748*(B749-B748)*3600-AD749*Model!$B$16, 0)</f>
        <v>540.81056278740903</v>
      </c>
      <c r="M749" s="57">
        <f t="shared" si="217"/>
        <v>8.9410937101465038</v>
      </c>
      <c r="N749" s="57">
        <f>Model!$B$13*I749*K749/(Model!$B$13*I749-L749*287*K749)</f>
        <v>281.9410937101465</v>
      </c>
      <c r="O749" s="57">
        <f t="shared" si="218"/>
        <v>267.92617185507322</v>
      </c>
      <c r="P749" s="57">
        <f t="shared" si="219"/>
        <v>-1.1930963006650805</v>
      </c>
      <c r="Q749" s="63">
        <f t="shared" si="230"/>
        <v>2.3639758201710197E-2</v>
      </c>
      <c r="R749" s="17">
        <f t="shared" si="231"/>
        <v>1.3072321872927614E-5</v>
      </c>
      <c r="S749" s="46">
        <f>0.37*Model!$B$10*(Q749^2*(N749-K749)*I749/(R749*O749^2))^0.33333*(N749-K749)</f>
        <v>148838.84978929997</v>
      </c>
      <c r="T749" s="51">
        <f>Model!$B$32+(90-Model!$B$6)*SIN(RADIANS(-15*(E749+6)))</f>
        <v>15.509630008336039</v>
      </c>
      <c r="U749" s="46">
        <f t="shared" si="220"/>
        <v>15.509630008336039</v>
      </c>
      <c r="V749" s="51">
        <f t="shared" si="221"/>
        <v>3.7397110988374997</v>
      </c>
      <c r="W749" s="46">
        <f t="shared" si="222"/>
        <v>570.88108841364681</v>
      </c>
      <c r="X749" s="46">
        <f>0.3*W749*Model!$B$9</f>
        <v>51713.059619425476</v>
      </c>
      <c r="Y749" s="17">
        <f>(S749-X749)/Model!$B$11</f>
        <v>2.0835737460018129E-3</v>
      </c>
      <c r="Z749" s="46">
        <f t="shared" si="223"/>
        <v>34.744328979048007</v>
      </c>
      <c r="AA749" s="57">
        <f>Y749/Model!$B$12*3600</f>
        <v>13.490158689998699</v>
      </c>
      <c r="AB749" s="51">
        <f t="shared" si="228"/>
        <v>35.628906591264858</v>
      </c>
      <c r="AC749" s="51">
        <f t="shared" si="232"/>
        <v>1764.3710934087351</v>
      </c>
      <c r="AD749" s="13">
        <f>IF(AE749=0, Model!$B$19, 0 )</f>
        <v>0</v>
      </c>
      <c r="AE749" s="51">
        <f>IF(AE748+AB748-AB749&lt;Model!$B$19*Model!$B$18, AE748+AB748-AB749,  0)</f>
        <v>408.00566711484868</v>
      </c>
      <c r="AF749" s="13">
        <f t="shared" si="224"/>
        <v>37.350000000000016</v>
      </c>
      <c r="AG749" s="50">
        <f t="shared" si="225"/>
        <v>0.59654815033254027</v>
      </c>
    </row>
    <row r="750" spans="2:33" x14ac:dyDescent="0.25">
      <c r="B750" s="15">
        <f t="shared" si="226"/>
        <v>37.400000000000013</v>
      </c>
      <c r="C750" s="15">
        <f>B750+Model!$B$4</f>
        <v>39.400000000000013</v>
      </c>
      <c r="D750" s="15">
        <f t="shared" si="227"/>
        <v>2</v>
      </c>
      <c r="E750" s="15">
        <f t="shared" si="233"/>
        <v>15.400000000000013</v>
      </c>
      <c r="F750" s="16">
        <f>IF(AB750&gt;0, VLOOKUP(B750,Model!$A$40:$B$60, 2), 0)</f>
        <v>300</v>
      </c>
      <c r="G750" s="15">
        <f>IF(AB750&gt;0, VLOOKUP(B750,Model!$A$39:$C$58, 3), 0)</f>
        <v>1</v>
      </c>
      <c r="H750" s="15">
        <f t="shared" si="216"/>
        <v>97</v>
      </c>
      <c r="I750" s="45">
        <f>Model!$B$21*EXP((-0.029*9.81*F750)/(8.31*(273+J750)))</f>
        <v>100357.4491247143</v>
      </c>
      <c r="J750" s="15">
        <f>IF(Model!$B$31="Summer",  IF(F750&lt;=2000,  Model!$B$20-Model!$B$35*F750/1000,  IF(F750&lt;Model!$B$36,  Model!$B$33-6.5*F750/1000,  Model!$B$38)),     IF(F750&lt;=2000,  Model!$B$20-Model!$B$35*F750/1000,  IF(F750&lt;Model!$B$36,  Model!$B$33-5.4*F750/1000,   Model!$B$38)))</f>
        <v>-19.088750000000001</v>
      </c>
      <c r="K750" s="15">
        <f t="shared" si="229"/>
        <v>253.91125</v>
      </c>
      <c r="L750" s="45">
        <f>IF(AB749-AA749*(B750-B749)&gt;0, L749-Y749*(B750-B749)*3600-AD750*Model!$B$16, 0)</f>
        <v>540.43551951312872</v>
      </c>
      <c r="M750" s="56">
        <f t="shared" si="217"/>
        <v>8.9195112929791094</v>
      </c>
      <c r="N750" s="56">
        <f>Model!$B$13*I750*K750/(Model!$B$13*I750-L750*287*K750)</f>
        <v>281.91951129297911</v>
      </c>
      <c r="O750" s="56">
        <f t="shared" si="218"/>
        <v>267.91538064648955</v>
      </c>
      <c r="P750" s="56">
        <f t="shared" si="219"/>
        <v>-1.2787454307528003</v>
      </c>
      <c r="Q750" s="62">
        <f t="shared" si="230"/>
        <v>2.3638992025900758E-2</v>
      </c>
      <c r="R750" s="33">
        <f t="shared" si="231"/>
        <v>1.3071199587234913E-5</v>
      </c>
      <c r="S750" s="45">
        <f>0.37*Model!$B$10*(Q750^2*(N750-K750)*I750/(R750*O750^2))^0.33333*(N750-K750)</f>
        <v>148691.10086949446</v>
      </c>
      <c r="T750" s="50">
        <f>Model!$B$32+(90-Model!$B$6)*SIN(RADIANS(-15*(E750+6)))</f>
        <v>15.155478625759905</v>
      </c>
      <c r="U750" s="45">
        <f t="shared" si="220"/>
        <v>15.155478625759905</v>
      </c>
      <c r="V750" s="50">
        <f t="shared" si="221"/>
        <v>3.8249805378586186</v>
      </c>
      <c r="W750" s="45">
        <f t="shared" si="222"/>
        <v>559.23073076172727</v>
      </c>
      <c r="X750" s="45">
        <f>0.3*W750*Model!$B$9</f>
        <v>50657.716130091314</v>
      </c>
      <c r="Y750" s="33">
        <f>(S750-X750)/Model!$B$11</f>
        <v>2.1030437571469087E-3</v>
      </c>
      <c r="Z750" s="45">
        <f t="shared" si="223"/>
        <v>34.069097500699371</v>
      </c>
      <c r="AA750" s="56">
        <f>Y750/Model!$B$12*3600</f>
        <v>13.61621784223528</v>
      </c>
      <c r="AB750" s="50">
        <f t="shared" si="228"/>
        <v>34.954398656764958</v>
      </c>
      <c r="AC750" s="50">
        <f t="shared" si="232"/>
        <v>1765.0456013432351</v>
      </c>
      <c r="AD750" s="15">
        <f>IF(AE750=0, Model!$B$19, 0 )</f>
        <v>0</v>
      </c>
      <c r="AE750" s="50">
        <f>IF(AE749+AB749-AB750&lt;Model!$B$19*Model!$B$18, AE749+AB749-AB750,  0)</f>
        <v>408.68017504934858</v>
      </c>
      <c r="AF750" s="15">
        <f t="shared" si="224"/>
        <v>37.400000000000013</v>
      </c>
      <c r="AG750" s="50">
        <f t="shared" si="225"/>
        <v>0.63937271537640017</v>
      </c>
    </row>
    <row r="751" spans="2:33" x14ac:dyDescent="0.25">
      <c r="B751" s="13">
        <f t="shared" si="226"/>
        <v>37.45000000000001</v>
      </c>
      <c r="C751" s="13">
        <f>B751+Model!$B$4</f>
        <v>39.45000000000001</v>
      </c>
      <c r="D751" s="13">
        <f t="shared" si="227"/>
        <v>2</v>
      </c>
      <c r="E751" s="13">
        <f t="shared" si="233"/>
        <v>15.45000000000001</v>
      </c>
      <c r="F751" s="14">
        <f>IF(AB751&gt;0, VLOOKUP(B751,Model!$A$40:$B$60, 2), 0)</f>
        <v>300</v>
      </c>
      <c r="G751" s="13">
        <f>IF(AB751&gt;0, VLOOKUP(B751,Model!$A$39:$C$58, 3), 0)</f>
        <v>1</v>
      </c>
      <c r="H751" s="13">
        <f t="shared" si="216"/>
        <v>97</v>
      </c>
      <c r="I751" s="46">
        <f>Model!$B$21*EXP((-0.029*9.81*F751)/(8.31*(273+J751)))</f>
        <v>100357.4491247143</v>
      </c>
      <c r="J751" s="13">
        <f>IF(Model!$B$31="Summer",  IF(F751&lt;=2000,  Model!$B$20-Model!$B$35*F751/1000,  IF(F751&lt;Model!$B$36,  Model!$B$33-6.5*F751/1000,  Model!$B$38)),     IF(F751&lt;=2000,  Model!$B$20-Model!$B$35*F751/1000,  IF(F751&lt;Model!$B$36,  Model!$B$33-5.4*F751/1000,   Model!$B$38)))</f>
        <v>-19.088750000000001</v>
      </c>
      <c r="K751" s="13">
        <f t="shared" si="229"/>
        <v>253.91125</v>
      </c>
      <c r="L751" s="46">
        <f>IF(AB750-AA750*(B751-B750)&gt;0, L750-Y750*(B751-B750)*3600-AD751*Model!$B$16, 0)</f>
        <v>540.05697163684226</v>
      </c>
      <c r="M751" s="57">
        <f t="shared" si="217"/>
        <v>8.8977305487732679</v>
      </c>
      <c r="N751" s="57">
        <f>Model!$B$13*I751*K751/(Model!$B$13*I751-L751*287*K751)</f>
        <v>281.89773054877327</v>
      </c>
      <c r="O751" s="57">
        <f t="shared" si="218"/>
        <v>267.9044902743866</v>
      </c>
      <c r="P751" s="57">
        <f t="shared" si="219"/>
        <v>-1.367304853868518</v>
      </c>
      <c r="Q751" s="63">
        <f t="shared" si="230"/>
        <v>2.363821880948145E-2</v>
      </c>
      <c r="R751" s="17">
        <f t="shared" si="231"/>
        <v>1.3070066988536205E-5</v>
      </c>
      <c r="S751" s="46">
        <f>0.37*Model!$B$10*(Q751^2*(N751-K751)*I751/(R751*O751^2))^0.33333*(N751-K751)</f>
        <v>148542.02413552519</v>
      </c>
      <c r="T751" s="51">
        <f>Model!$B$32+(90-Model!$B$6)*SIN(RADIANS(-15*(E751+6)))</f>
        <v>14.797553164859782</v>
      </c>
      <c r="U751" s="46">
        <f t="shared" si="220"/>
        <v>14.797553164859782</v>
      </c>
      <c r="V751" s="51">
        <f t="shared" si="221"/>
        <v>3.9153582674783118</v>
      </c>
      <c r="W751" s="46">
        <f t="shared" si="222"/>
        <v>547.14188919040328</v>
      </c>
      <c r="X751" s="46">
        <f>0.3*W751*Model!$B$9</f>
        <v>49562.652731433598</v>
      </c>
      <c r="Y751" s="17">
        <f>(S751-X751)/Model!$B$11</f>
        <v>2.1233373678878386E-3</v>
      </c>
      <c r="Z751" s="46">
        <f t="shared" si="223"/>
        <v>33.366081430406624</v>
      </c>
      <c r="AA751" s="57">
        <f>Y751/Model!$B$12*3600</f>
        <v>13.747609413958399</v>
      </c>
      <c r="AB751" s="51">
        <f t="shared" si="228"/>
        <v>34.273587764653236</v>
      </c>
      <c r="AC751" s="51">
        <f t="shared" si="232"/>
        <v>1765.7264122353467</v>
      </c>
      <c r="AD751" s="13">
        <f>IF(AE751=0, Model!$B$19, 0 )</f>
        <v>0</v>
      </c>
      <c r="AE751" s="51">
        <f>IF(AE750+AB750-AB751&lt;Model!$B$19*Model!$B$18, AE750+AB750-AB751,  0)</f>
        <v>409.36098594146029</v>
      </c>
      <c r="AF751" s="13">
        <f t="shared" si="224"/>
        <v>37.45000000000001</v>
      </c>
      <c r="AG751" s="50">
        <f t="shared" si="225"/>
        <v>0.68365242693425898</v>
      </c>
    </row>
    <row r="752" spans="2:33" x14ac:dyDescent="0.25">
      <c r="B752" s="15">
        <f t="shared" si="226"/>
        <v>37.500000000000007</v>
      </c>
      <c r="C752" s="15">
        <f>B752+Model!$B$4</f>
        <v>39.500000000000007</v>
      </c>
      <c r="D752" s="15">
        <f t="shared" si="227"/>
        <v>2</v>
      </c>
      <c r="E752" s="15">
        <f t="shared" si="233"/>
        <v>15.500000000000007</v>
      </c>
      <c r="F752" s="16">
        <f>IF(AB752&gt;0, VLOOKUP(B752,Model!$A$40:$B$60, 2), 0)</f>
        <v>300</v>
      </c>
      <c r="G752" s="15">
        <f>IF(AB752&gt;0, VLOOKUP(B752,Model!$A$39:$C$58, 3), 0)</f>
        <v>1</v>
      </c>
      <c r="H752" s="15">
        <f t="shared" si="216"/>
        <v>97</v>
      </c>
      <c r="I752" s="45">
        <f>Model!$B$21*EXP((-0.029*9.81*F752)/(8.31*(273+J752)))</f>
        <v>100357.4491247143</v>
      </c>
      <c r="J752" s="15">
        <f>IF(Model!$B$31="Summer",  IF(F752&lt;=2000,  Model!$B$20-Model!$B$35*F752/1000,  IF(F752&lt;Model!$B$36,  Model!$B$33-6.5*F752/1000,  Model!$B$38)),     IF(F752&lt;=2000,  Model!$B$20-Model!$B$35*F752/1000,  IF(F752&lt;Model!$B$36,  Model!$B$33-5.4*F752/1000,   Model!$B$38)))</f>
        <v>-19.088750000000001</v>
      </c>
      <c r="K752" s="15">
        <f t="shared" si="229"/>
        <v>253.91125</v>
      </c>
      <c r="L752" s="45">
        <f>IF(AB751-AA751*(B752-B751)&gt;0, L751-Y751*(B752-B751)*3600-AD752*Model!$B$16, 0)</f>
        <v>539.67477091062244</v>
      </c>
      <c r="M752" s="56">
        <f t="shared" si="217"/>
        <v>8.8757430423823962</v>
      </c>
      <c r="N752" s="56">
        <f>Model!$B$13*I752*K752/(Model!$B$13*I752-L752*287*K752)</f>
        <v>281.8757430423824</v>
      </c>
      <c r="O752" s="56">
        <f t="shared" si="218"/>
        <v>267.8934965211912</v>
      </c>
      <c r="P752" s="56">
        <f t="shared" si="219"/>
        <v>-1.4588908842061139</v>
      </c>
      <c r="Q752" s="62">
        <f t="shared" si="230"/>
        <v>2.3637438253004576E-2</v>
      </c>
      <c r="R752" s="33">
        <f t="shared" si="231"/>
        <v>1.3068923638203883E-5</v>
      </c>
      <c r="S752" s="45">
        <f>0.37*Model!$B$10*(Q752^2*(N752-K752)*I752/(R752*O752^2))^0.33333*(N752-K752)</f>
        <v>148391.5627149209</v>
      </c>
      <c r="T752" s="50">
        <f>Model!$B$32+(90-Model!$B$6)*SIN(RADIANS(-15*(E752+6)))</f>
        <v>14.435914954320832</v>
      </c>
      <c r="U752" s="45">
        <f t="shared" si="220"/>
        <v>14.435914954320832</v>
      </c>
      <c r="V752" s="50">
        <f t="shared" si="221"/>
        <v>4.0112800512889013</v>
      </c>
      <c r="W752" s="45">
        <f t="shared" si="222"/>
        <v>534.59723533976512</v>
      </c>
      <c r="X752" s="45">
        <f>0.3*W752*Model!$B$9</f>
        <v>48426.299740155206</v>
      </c>
      <c r="Y752" s="33">
        <f>(S752-X752)/Model!$B$11</f>
        <v>2.1444870315298877E-3</v>
      </c>
      <c r="Z752" s="45">
        <f t="shared" si="223"/>
        <v>32.634132867236055</v>
      </c>
      <c r="AA752" s="56">
        <f>Y752/Model!$B$12*3600</f>
        <v>13.884543525035019</v>
      </c>
      <c r="AB752" s="50">
        <f t="shared" si="228"/>
        <v>33.586207293955354</v>
      </c>
      <c r="AC752" s="50">
        <f t="shared" si="232"/>
        <v>1766.4137927060447</v>
      </c>
      <c r="AD752" s="15">
        <f>IF(AE752=0, Model!$B$19, 0 )</f>
        <v>0</v>
      </c>
      <c r="AE752" s="50">
        <f>IF(AE751+AB751-AB752&lt;Model!$B$19*Model!$B$18, AE751+AB751-AB752,  0)</f>
        <v>410.0483664121582</v>
      </c>
      <c r="AF752" s="15">
        <f t="shared" si="224"/>
        <v>37.500000000000007</v>
      </c>
      <c r="AG752" s="50">
        <f t="shared" si="225"/>
        <v>0.72944544210305695</v>
      </c>
    </row>
    <row r="753" spans="2:33" x14ac:dyDescent="0.25">
      <c r="B753" s="13">
        <f t="shared" si="226"/>
        <v>37.550000000000004</v>
      </c>
      <c r="C753" s="13">
        <f>B753+Model!$B$4</f>
        <v>39.550000000000004</v>
      </c>
      <c r="D753" s="13">
        <f t="shared" si="227"/>
        <v>2</v>
      </c>
      <c r="E753" s="13">
        <f t="shared" si="233"/>
        <v>15.550000000000004</v>
      </c>
      <c r="F753" s="14">
        <f>IF(AB753&gt;0, VLOOKUP(B753,Model!$A$40:$B$60, 2), 0)</f>
        <v>300</v>
      </c>
      <c r="G753" s="13">
        <f>IF(AB753&gt;0, VLOOKUP(B753,Model!$A$39:$C$58, 3), 0)</f>
        <v>1</v>
      </c>
      <c r="H753" s="13">
        <f t="shared" si="216"/>
        <v>97</v>
      </c>
      <c r="I753" s="46">
        <f>Model!$B$21*EXP((-0.029*9.81*F753)/(8.31*(273+J753)))</f>
        <v>100357.4491247143</v>
      </c>
      <c r="J753" s="13">
        <f>IF(Model!$B$31="Summer",  IF(F753&lt;=2000,  Model!$B$20-Model!$B$35*F753/1000,  IF(F753&lt;Model!$B$36,  Model!$B$33-6.5*F753/1000,  Model!$B$38)),     IF(F753&lt;=2000,  Model!$B$20-Model!$B$35*F753/1000,  IF(F753&lt;Model!$B$36,  Model!$B$33-5.4*F753/1000,   Model!$B$38)))</f>
        <v>-19.088750000000001</v>
      </c>
      <c r="K753" s="13">
        <f t="shared" si="229"/>
        <v>253.91125</v>
      </c>
      <c r="L753" s="46">
        <f>IF(AB752-AA752*(B753-B752)&gt;0, L752-Y752*(B753-B752)*3600-AD753*Model!$B$16, 0)</f>
        <v>539.28876324494706</v>
      </c>
      <c r="M753" s="57">
        <f t="shared" si="217"/>
        <v>8.8535400088718461</v>
      </c>
      <c r="N753" s="57">
        <f>Model!$B$13*I753*K753/(Model!$B$13*I753-L753*287*K753)</f>
        <v>281.85354000887185</v>
      </c>
      <c r="O753" s="57">
        <f t="shared" si="218"/>
        <v>267.88239500443592</v>
      </c>
      <c r="P753" s="57">
        <f t="shared" si="219"/>
        <v>-1.5536234266323099</v>
      </c>
      <c r="Q753" s="63">
        <f t="shared" si="230"/>
        <v>2.3636650045314952E-2</v>
      </c>
      <c r="R753" s="17">
        <f t="shared" si="231"/>
        <v>1.3067769080461336E-5</v>
      </c>
      <c r="S753" s="46">
        <f>0.37*Model!$B$10*(Q753^2*(N753-K753)*I753/(R753*O753^2))^0.33333*(N753-K753)</f>
        <v>148239.6575354159</v>
      </c>
      <c r="T753" s="51">
        <f>Model!$B$32+(90-Model!$B$6)*SIN(RADIANS(-15*(E753+6)))</f>
        <v>14.070625958988728</v>
      </c>
      <c r="U753" s="46">
        <f t="shared" si="220"/>
        <v>14.070625958988728</v>
      </c>
      <c r="V753" s="51">
        <f t="shared" si="221"/>
        <v>4.1132331647176095</v>
      </c>
      <c r="W753" s="46">
        <f t="shared" si="222"/>
        <v>521.57899061817329</v>
      </c>
      <c r="X753" s="46">
        <f>0.3*W753*Model!$B$9</f>
        <v>47247.046688878523</v>
      </c>
      <c r="Y753" s="17">
        <f>(S753-X753)/Model!$B$11</f>
        <v>2.1665260291008769E-3</v>
      </c>
      <c r="Z753" s="46">
        <f t="shared" si="223"/>
        <v>31.872069508519168</v>
      </c>
      <c r="AA753" s="57">
        <f>Y753/Model!$B$12*3600</f>
        <v>14.027235654445676</v>
      </c>
      <c r="AB753" s="51">
        <f t="shared" si="228"/>
        <v>32.891980117703646</v>
      </c>
      <c r="AC753" s="51">
        <f t="shared" si="232"/>
        <v>1767.1080198822963</v>
      </c>
      <c r="AD753" s="13">
        <f>IF(AE753=0, Model!$B$19, 0 )</f>
        <v>0</v>
      </c>
      <c r="AE753" s="51">
        <f>IF(AE752+AB752-AB753&lt;Model!$B$19*Model!$B$18, AE752+AB752-AB753,  0)</f>
        <v>410.74259358840987</v>
      </c>
      <c r="AF753" s="13">
        <f t="shared" si="224"/>
        <v>37.550000000000004</v>
      </c>
      <c r="AG753" s="50">
        <f t="shared" si="225"/>
        <v>0.77681171331615495</v>
      </c>
    </row>
    <row r="754" spans="2:33" x14ac:dyDescent="0.25">
      <c r="B754" s="15">
        <f t="shared" si="226"/>
        <v>37.6</v>
      </c>
      <c r="C754" s="15">
        <f>B754+Model!$B$4</f>
        <v>39.6</v>
      </c>
      <c r="D754" s="15">
        <f t="shared" si="227"/>
        <v>2</v>
      </c>
      <c r="E754" s="15">
        <f t="shared" si="233"/>
        <v>15.600000000000001</v>
      </c>
      <c r="F754" s="16">
        <f>IF(AB754&gt;0, VLOOKUP(B754,Model!$A$40:$B$60, 2), 0)</f>
        <v>300</v>
      </c>
      <c r="G754" s="15">
        <f>IF(AB754&gt;0, VLOOKUP(B754,Model!$A$39:$C$58, 3), 0)</f>
        <v>1</v>
      </c>
      <c r="H754" s="15">
        <f t="shared" si="216"/>
        <v>97</v>
      </c>
      <c r="I754" s="45">
        <f>Model!$B$21*EXP((-0.029*9.81*F754)/(8.31*(273+J754)))</f>
        <v>100357.4491247143</v>
      </c>
      <c r="J754" s="15">
        <f>IF(Model!$B$31="Summer",  IF(F754&lt;=2000,  Model!$B$20-Model!$B$35*F754/1000,  IF(F754&lt;Model!$B$36,  Model!$B$33-6.5*F754/1000,  Model!$B$38)),     IF(F754&lt;=2000,  Model!$B$20-Model!$B$35*F754/1000,  IF(F754&lt;Model!$B$36,  Model!$B$33-5.4*F754/1000,   Model!$B$38)))</f>
        <v>-19.088750000000001</v>
      </c>
      <c r="K754" s="15">
        <f t="shared" si="229"/>
        <v>253.91125</v>
      </c>
      <c r="L754" s="45">
        <f>IF(AB753-AA753*(B754-B753)&gt;0, L753-Y753*(B754-B753)*3600-AD754*Model!$B$16, 0)</f>
        <v>538.89878855970892</v>
      </c>
      <c r="M754" s="56">
        <f t="shared" si="217"/>
        <v>8.8311123453440814</v>
      </c>
      <c r="N754" s="56">
        <f>Model!$B$13*I754*K754/(Model!$B$13*I754-L754*287*K754)</f>
        <v>281.83111234534408</v>
      </c>
      <c r="O754" s="56">
        <f t="shared" si="218"/>
        <v>267.87118117267204</v>
      </c>
      <c r="P754" s="56">
        <f t="shared" si="219"/>
        <v>-1.6516255565401377</v>
      </c>
      <c r="Q754" s="62">
        <f t="shared" si="230"/>
        <v>2.3635853863259716E-2</v>
      </c>
      <c r="R754" s="33">
        <f t="shared" si="231"/>
        <v>1.306660284195789E-5</v>
      </c>
      <c r="S754" s="45">
        <f>0.37*Model!$B$10*(Q754^2*(N754-K754)*I754/(R754*O754^2))^0.33333*(N754-K754)</f>
        <v>148086.24727263991</v>
      </c>
      <c r="T754" s="50">
        <f>Model!$B$32+(90-Model!$B$6)*SIN(RADIANS(-15*(E754+6)))</f>
        <v>13.701748769252244</v>
      </c>
      <c r="U754" s="45">
        <f t="shared" si="220"/>
        <v>13.701748769252244</v>
      </c>
      <c r="V754" s="50">
        <f t="shared" si="221"/>
        <v>4.2217642190307352</v>
      </c>
      <c r="W754" s="45">
        <f t="shared" si="222"/>
        <v>508.06901607683801</v>
      </c>
      <c r="X754" s="45">
        <f>0.3*W754*Model!$B$9</f>
        <v>46023.25046740206</v>
      </c>
      <c r="Y754" s="33">
        <f>(S754-X754)/Model!$B$11</f>
        <v>2.1894882935801318E-3</v>
      </c>
      <c r="Z754" s="45">
        <f t="shared" si="223"/>
        <v>31.078679698506487</v>
      </c>
      <c r="AA754" s="56">
        <f>Y754/Model!$B$12*3600</f>
        <v>14.175905502249854</v>
      </c>
      <c r="AB754" s="50">
        <f t="shared" si="228"/>
        <v>32.190618334981401</v>
      </c>
      <c r="AC754" s="50">
        <f t="shared" si="232"/>
        <v>1767.8093816650187</v>
      </c>
      <c r="AD754" s="15">
        <f>IF(AE754=0, Model!$B$19, 0 )</f>
        <v>0</v>
      </c>
      <c r="AE754" s="50">
        <f>IF(AE753+AB753-AB754&lt;Model!$B$19*Model!$B$18, AE753+AB753-AB754,  0)</f>
        <v>411.44395537113212</v>
      </c>
      <c r="AF754" s="15">
        <f t="shared" si="224"/>
        <v>37.6</v>
      </c>
      <c r="AG754" s="50">
        <f t="shared" si="225"/>
        <v>0.82581277827006883</v>
      </c>
    </row>
    <row r="755" spans="2:33" x14ac:dyDescent="0.25">
      <c r="B755" s="13">
        <f t="shared" si="226"/>
        <v>37.65</v>
      </c>
      <c r="C755" s="13">
        <f>B755+Model!$B$4</f>
        <v>39.65</v>
      </c>
      <c r="D755" s="13">
        <f t="shared" si="227"/>
        <v>2</v>
      </c>
      <c r="E755" s="13">
        <f t="shared" si="233"/>
        <v>15.649999999999999</v>
      </c>
      <c r="F755" s="14">
        <f>IF(AB755&gt;0, VLOOKUP(B755,Model!$A$40:$B$60, 2), 0)</f>
        <v>300</v>
      </c>
      <c r="G755" s="13">
        <f>IF(AB755&gt;0, VLOOKUP(B755,Model!$A$39:$C$58, 3), 0)</f>
        <v>1</v>
      </c>
      <c r="H755" s="13">
        <f t="shared" si="216"/>
        <v>97</v>
      </c>
      <c r="I755" s="46">
        <f>Model!$B$21*EXP((-0.029*9.81*F755)/(8.31*(273+J755)))</f>
        <v>100357.4491247143</v>
      </c>
      <c r="J755" s="13">
        <f>IF(Model!$B$31="Summer",  IF(F755&lt;=2000,  Model!$B$20-Model!$B$35*F755/1000,  IF(F755&lt;Model!$B$36,  Model!$B$33-6.5*F755/1000,  Model!$B$38)),     IF(F755&lt;=2000,  Model!$B$20-Model!$B$35*F755/1000,  IF(F755&lt;Model!$B$36,  Model!$B$33-5.4*F755/1000,   Model!$B$38)))</f>
        <v>-19.088750000000001</v>
      </c>
      <c r="K755" s="13">
        <f t="shared" si="229"/>
        <v>253.91125</v>
      </c>
      <c r="L755" s="46">
        <f>IF(AB754-AA754*(B755-B754)&gt;0, L754-Y754*(B755-B754)*3600-AD755*Model!$B$16, 0)</f>
        <v>538.50468066686449</v>
      </c>
      <c r="M755" s="57">
        <f t="shared" si="217"/>
        <v>8.8084506046044453</v>
      </c>
      <c r="N755" s="57">
        <f>Model!$B$13*I755*K755/(Model!$B$13*I755-L755*287*K755)</f>
        <v>281.80845060460445</v>
      </c>
      <c r="O755" s="57">
        <f t="shared" si="218"/>
        <v>267.85985030230222</v>
      </c>
      <c r="P755" s="57">
        <f t="shared" si="219"/>
        <v>-1.7530229238521913</v>
      </c>
      <c r="Q755" s="63">
        <f t="shared" si="230"/>
        <v>2.3635049371463459E-2</v>
      </c>
      <c r="R755" s="17">
        <f t="shared" si="231"/>
        <v>1.3065424431439429E-5</v>
      </c>
      <c r="S755" s="46">
        <f>0.37*Model!$B$10*(Q755^2*(N755-K755)*I755/(R755*O755^2))^0.33333*(N755-K755)</f>
        <v>147931.26831059551</v>
      </c>
      <c r="T755" s="51">
        <f>Model!$B$32+(90-Model!$B$6)*SIN(RADIANS(-15*(E755+6)))</f>
        <v>13.329346590318856</v>
      </c>
      <c r="U755" s="46">
        <f t="shared" si="220"/>
        <v>13.329346590318856</v>
      </c>
      <c r="V755" s="51">
        <f t="shared" si="221"/>
        <v>4.3374884568316068</v>
      </c>
      <c r="W755" s="46">
        <f t="shared" si="222"/>
        <v>494.04893569232382</v>
      </c>
      <c r="X755" s="46">
        <f>0.3*W755*Model!$B$9</f>
        <v>44753.246490202189</v>
      </c>
      <c r="Y755" s="17">
        <f>(S755-X755)/Model!$B$11</f>
        <v>2.2134081694817833E-3</v>
      </c>
      <c r="Z755" s="46">
        <f t="shared" si="223"/>
        <v>30.252729528579835</v>
      </c>
      <c r="AA755" s="57">
        <f>Y755/Model!$B$12*3600</f>
        <v>14.330775433001071</v>
      </c>
      <c r="AB755" s="51">
        <f t="shared" si="228"/>
        <v>31.481823059868947</v>
      </c>
      <c r="AC755" s="51">
        <f t="shared" si="232"/>
        <v>1768.5181769401311</v>
      </c>
      <c r="AD755" s="13">
        <f>IF(AE755=0, Model!$B$19, 0 )</f>
        <v>0</v>
      </c>
      <c r="AE755" s="51">
        <f>IF(AE754+AB754-AB755&lt;Model!$B$19*Model!$B$18, AE754+AB754-AB755,  0)</f>
        <v>412.15275064624461</v>
      </c>
      <c r="AF755" s="13">
        <f t="shared" si="224"/>
        <v>37.65</v>
      </c>
      <c r="AG755" s="50">
        <f t="shared" si="225"/>
        <v>0.87651146192609564</v>
      </c>
    </row>
    <row r="756" spans="2:33" x14ac:dyDescent="0.25">
      <c r="B756" s="15">
        <f t="shared" si="226"/>
        <v>37.699999999999996</v>
      </c>
      <c r="C756" s="15">
        <f>B756+Model!$B$4</f>
        <v>39.699999999999996</v>
      </c>
      <c r="D756" s="15">
        <f t="shared" si="227"/>
        <v>2</v>
      </c>
      <c r="E756" s="15">
        <f t="shared" si="233"/>
        <v>15.699999999999996</v>
      </c>
      <c r="F756" s="16">
        <f>IF(AB756&gt;0, VLOOKUP(B756,Model!$A$40:$B$60, 2), 0)</f>
        <v>300</v>
      </c>
      <c r="G756" s="15">
        <f>IF(AB756&gt;0, VLOOKUP(B756,Model!$A$39:$C$58, 3), 0)</f>
        <v>1</v>
      </c>
      <c r="H756" s="15">
        <f t="shared" si="216"/>
        <v>97</v>
      </c>
      <c r="I756" s="45">
        <f>Model!$B$21*EXP((-0.029*9.81*F756)/(8.31*(273+J756)))</f>
        <v>100357.4491247143</v>
      </c>
      <c r="J756" s="15">
        <f>IF(Model!$B$31="Summer",  IF(F756&lt;=2000,  Model!$B$20-Model!$B$35*F756/1000,  IF(F756&lt;Model!$B$36,  Model!$B$33-6.5*F756/1000,  Model!$B$38)),     IF(F756&lt;=2000,  Model!$B$20-Model!$B$35*F756/1000,  IF(F756&lt;Model!$B$36,  Model!$B$33-5.4*F756/1000,   Model!$B$38)))</f>
        <v>-19.088750000000001</v>
      </c>
      <c r="K756" s="15">
        <f t="shared" si="229"/>
        <v>253.91125</v>
      </c>
      <c r="L756" s="45">
        <f>IF(AB755-AA755*(B756-B755)&gt;0, L755-Y755*(B756-B755)*3600-AD756*Model!$B$16, 0)</f>
        <v>538.10626719635775</v>
      </c>
      <c r="M756" s="56">
        <f t="shared" si="217"/>
        <v>8.7855449913352572</v>
      </c>
      <c r="N756" s="56">
        <f>Model!$B$13*I756*K756/(Model!$B$13*I756-L756*287*K756)</f>
        <v>281.78554499133526</v>
      </c>
      <c r="O756" s="56">
        <f t="shared" si="218"/>
        <v>267.84839749566765</v>
      </c>
      <c r="P756" s="56">
        <f t="shared" si="219"/>
        <v>-1.8579429330502131</v>
      </c>
      <c r="Q756" s="62">
        <f t="shared" si="230"/>
        <v>2.3634236222192403E-2</v>
      </c>
      <c r="R756" s="33">
        <f t="shared" si="231"/>
        <v>1.3064233339549435E-5</v>
      </c>
      <c r="S756" s="45">
        <f>0.37*Model!$B$10*(Q756^2*(N756-K756)*I756/(R756*O756^2))^0.33333*(N756-K756)</f>
        <v>147774.65471947871</v>
      </c>
      <c r="T756" s="50">
        <f>Model!$B$32+(90-Model!$B$6)*SIN(RADIANS(-15*(E756+6)))</f>
        <v>12.953483231384855</v>
      </c>
      <c r="U756" s="45">
        <f t="shared" si="220"/>
        <v>12.953483231384855</v>
      </c>
      <c r="V756" s="50">
        <f t="shared" si="221"/>
        <v>4.461100852338439</v>
      </c>
      <c r="W756" s="45">
        <f t="shared" si="222"/>
        <v>479.50030209955179</v>
      </c>
      <c r="X756" s="45">
        <f>0.3*W756*Model!$B$9</f>
        <v>43435.363709297984</v>
      </c>
      <c r="Y756" s="33">
        <f>(S756-X756)/Model!$B$11</f>
        <v>2.2383200903181534E-3</v>
      </c>
      <c r="Z756" s="45">
        <f t="shared" si="223"/>
        <v>29.392972557947456</v>
      </c>
      <c r="AA756" s="56">
        <f>Y756/Model!$B$12*3600</f>
        <v>14.492068387474218</v>
      </c>
      <c r="AB756" s="50">
        <f t="shared" si="228"/>
        <v>30.765284288218936</v>
      </c>
      <c r="AC756" s="50">
        <f t="shared" si="232"/>
        <v>1769.2347157117811</v>
      </c>
      <c r="AD756" s="15">
        <f>IF(AE756=0, Model!$B$19, 0 )</f>
        <v>0</v>
      </c>
      <c r="AE756" s="50">
        <f>IF(AE755+AB755-AB756&lt;Model!$B$19*Model!$B$18, AE755+AB755-AB756,  0)</f>
        <v>412.86928941789461</v>
      </c>
      <c r="AF756" s="15">
        <f t="shared" si="224"/>
        <v>37.699999999999996</v>
      </c>
      <c r="AG756" s="50">
        <f t="shared" si="225"/>
        <v>0.92897146652510654</v>
      </c>
    </row>
    <row r="757" spans="2:33" x14ac:dyDescent="0.25">
      <c r="B757" s="13">
        <f t="shared" si="226"/>
        <v>37.749999999999993</v>
      </c>
      <c r="C757" s="13">
        <f>B757+Model!$B$4</f>
        <v>39.749999999999993</v>
      </c>
      <c r="D757" s="13">
        <f t="shared" si="227"/>
        <v>2</v>
      </c>
      <c r="E757" s="13">
        <f t="shared" si="233"/>
        <v>15.749999999999993</v>
      </c>
      <c r="F757" s="14">
        <f>IF(AB757&gt;0, VLOOKUP(B757,Model!$A$40:$B$60, 2), 0)</f>
        <v>300</v>
      </c>
      <c r="G757" s="13">
        <f>IF(AB757&gt;0, VLOOKUP(B757,Model!$A$39:$C$58, 3), 0)</f>
        <v>1</v>
      </c>
      <c r="H757" s="13">
        <f t="shared" si="216"/>
        <v>97</v>
      </c>
      <c r="I757" s="46">
        <f>Model!$B$21*EXP((-0.029*9.81*F757)/(8.31*(273+J757)))</f>
        <v>100357.4491247143</v>
      </c>
      <c r="J757" s="13">
        <f>IF(Model!$B$31="Summer",  IF(F757&lt;=2000,  Model!$B$20-Model!$B$35*F757/1000,  IF(F757&lt;Model!$B$36,  Model!$B$33-6.5*F757/1000,  Model!$B$38)),     IF(F757&lt;=2000,  Model!$B$20-Model!$B$35*F757/1000,  IF(F757&lt;Model!$B$36,  Model!$B$33-5.4*F757/1000,   Model!$B$38)))</f>
        <v>-19.088750000000001</v>
      </c>
      <c r="K757" s="13">
        <f t="shared" si="229"/>
        <v>253.91125</v>
      </c>
      <c r="L757" s="46">
        <f>IF(AB756-AA756*(B757-B756)&gt;0, L756-Y756*(B757-B756)*3600-AD757*Model!$B$16, 0)</f>
        <v>537.70336958010046</v>
      </c>
      <c r="M757" s="57">
        <f t="shared" si="217"/>
        <v>8.7623853616261727</v>
      </c>
      <c r="N757" s="57">
        <f>Model!$B$13*I757*K757/(Model!$B$13*I757-L757*287*K757)</f>
        <v>281.76238536162617</v>
      </c>
      <c r="O757" s="57">
        <f t="shared" si="218"/>
        <v>267.83681768081306</v>
      </c>
      <c r="P757" s="57">
        <f t="shared" si="219"/>
        <v>-1.9665136385232356</v>
      </c>
      <c r="Q757" s="63">
        <f t="shared" si="230"/>
        <v>2.3633414055337726E-2</v>
      </c>
      <c r="R757" s="17">
        <f t="shared" si="231"/>
        <v>1.3063029038804557E-5</v>
      </c>
      <c r="S757" s="46">
        <f>0.37*Model!$B$10*(Q757^2*(N757-K757)*I757/(R757*O757^2))^0.33333*(N757-K757)</f>
        <v>147616.33825662351</v>
      </c>
      <c r="T757" s="51">
        <f>Model!$B$32+(90-Model!$B$6)*SIN(RADIANS(-15*(E757+6)))</f>
        <v>12.574223094701807</v>
      </c>
      <c r="U757" s="46">
        <f t="shared" si="220"/>
        <v>12.574223094701807</v>
      </c>
      <c r="V757" s="51">
        <f t="shared" si="221"/>
        <v>4.593389438886283</v>
      </c>
      <c r="W757" s="46">
        <f t="shared" si="222"/>
        <v>464.40481618922877</v>
      </c>
      <c r="X757" s="46">
        <f>0.3*W757*Model!$B$9</f>
        <v>42067.944506405947</v>
      </c>
      <c r="Y757" s="17">
        <f>(S757-X757)/Model!$B$11</f>
        <v>2.2642581518871087E-3</v>
      </c>
      <c r="Z757" s="46">
        <f t="shared" si="223"/>
        <v>28.498162874947461</v>
      </c>
      <c r="AA757" s="57">
        <f>Y757/Model!$B$12*3600</f>
        <v>14.660005119902149</v>
      </c>
      <c r="AB757" s="51">
        <f t="shared" si="228"/>
        <v>30.040680868845268</v>
      </c>
      <c r="AC757" s="51">
        <f t="shared" si="232"/>
        <v>1769.9593191311546</v>
      </c>
      <c r="AD757" s="13">
        <f>IF(AE757=0, Model!$B$19, 0 )</f>
        <v>0</v>
      </c>
      <c r="AE757" s="51">
        <f>IF(AE756+AB756-AB757&lt;Model!$B$19*Model!$B$18, AE756+AB756-AB757,  0)</f>
        <v>413.5938928372683</v>
      </c>
      <c r="AF757" s="13">
        <f t="shared" si="224"/>
        <v>37.749999999999993</v>
      </c>
      <c r="AG757" s="50">
        <f t="shared" si="225"/>
        <v>0.98325681926161779</v>
      </c>
    </row>
    <row r="758" spans="2:33" x14ac:dyDescent="0.25">
      <c r="B758" s="15">
        <f t="shared" si="226"/>
        <v>37.79999999999999</v>
      </c>
      <c r="C758" s="15">
        <f>B758+Model!$B$4</f>
        <v>39.79999999999999</v>
      </c>
      <c r="D758" s="15">
        <f t="shared" si="227"/>
        <v>2</v>
      </c>
      <c r="E758" s="15">
        <f t="shared" si="233"/>
        <v>15.79999999999999</v>
      </c>
      <c r="F758" s="16">
        <f>IF(AB758&gt;0, VLOOKUP(B758,Model!$A$40:$B$60, 2), 0)</f>
        <v>300</v>
      </c>
      <c r="G758" s="15">
        <f>IF(AB758&gt;0, VLOOKUP(B758,Model!$A$39:$C$58, 3), 0)</f>
        <v>1</v>
      </c>
      <c r="H758" s="15">
        <f t="shared" si="216"/>
        <v>97</v>
      </c>
      <c r="I758" s="45">
        <f>Model!$B$21*EXP((-0.029*9.81*F758)/(8.31*(273+J758)))</f>
        <v>100357.4491247143</v>
      </c>
      <c r="J758" s="15">
        <f>IF(Model!$B$31="Summer",  IF(F758&lt;=2000,  Model!$B$20-Model!$B$35*F758/1000,  IF(F758&lt;Model!$B$36,  Model!$B$33-6.5*F758/1000,  Model!$B$38)),     IF(F758&lt;=2000,  Model!$B$20-Model!$B$35*F758/1000,  IF(F758&lt;Model!$B$36,  Model!$B$33-5.4*F758/1000,   Model!$B$38)))</f>
        <v>-19.088750000000001</v>
      </c>
      <c r="K758" s="15">
        <f t="shared" si="229"/>
        <v>253.91125</v>
      </c>
      <c r="L758" s="45">
        <f>IF(AB757-AA757*(B758-B757)&gt;0, L757-Y757*(B758-B757)*3600-AD758*Model!$B$16, 0)</f>
        <v>537.29580311276084</v>
      </c>
      <c r="M758" s="56">
        <f t="shared" si="217"/>
        <v>8.7389612269359986</v>
      </c>
      <c r="N758" s="56">
        <f>Model!$B$13*I758*K758/(Model!$B$13*I758-L758*287*K758)</f>
        <v>281.738961226936</v>
      </c>
      <c r="O758" s="56">
        <f t="shared" si="218"/>
        <v>267.825105613468</v>
      </c>
      <c r="P758" s="56">
        <f t="shared" si="219"/>
        <v>-2.0788622786038093</v>
      </c>
      <c r="Q758" s="62">
        <f t="shared" si="230"/>
        <v>2.3632582498556227E-2</v>
      </c>
      <c r="R758" s="33">
        <f t="shared" si="231"/>
        <v>1.306181098380067E-5</v>
      </c>
      <c r="S758" s="45">
        <f>0.37*Model!$B$10*(Q758^2*(N758-K758)*I758/(R758*O758^2))^0.33333*(N758-K758)</f>
        <v>147456.24839789144</v>
      </c>
      <c r="T758" s="50">
        <f>Model!$B$32+(90-Model!$B$6)*SIN(RADIANS(-15*(E758+6)))</f>
        <v>12.191631164541725</v>
      </c>
      <c r="U758" s="45">
        <f t="shared" si="220"/>
        <v>12.191631164541725</v>
      </c>
      <c r="V758" s="50">
        <f t="shared" si="221"/>
        <v>4.7352514030156589</v>
      </c>
      <c r="W758" s="45">
        <f t="shared" si="222"/>
        <v>448.74461498552557</v>
      </c>
      <c r="X758" s="45">
        <f>0.3*W758*Model!$B$9</f>
        <v>40649.37077023671</v>
      </c>
      <c r="Y758" s="33">
        <f>(S758-X758)/Model!$B$11</f>
        <v>2.2912555535268631E-3</v>
      </c>
      <c r="Z758" s="45">
        <f t="shared" si="223"/>
        <v>27.567072410895527</v>
      </c>
      <c r="AA758" s="56">
        <f>Y758/Model!$B$12*3600</f>
        <v>14.834800580363668</v>
      </c>
      <c r="AB758" s="50">
        <f t="shared" si="228"/>
        <v>29.307680612850202</v>
      </c>
      <c r="AC758" s="50">
        <f t="shared" si="232"/>
        <v>1770.6923193871498</v>
      </c>
      <c r="AD758" s="15">
        <f>IF(AE758=0, Model!$B$19, 0 )</f>
        <v>0</v>
      </c>
      <c r="AE758" s="50">
        <f>IF(AE757+AB757-AB758&lt;Model!$B$19*Model!$B$18, AE757+AB757-AB758,  0)</f>
        <v>414.32689309326332</v>
      </c>
      <c r="AF758" s="15">
        <f t="shared" si="224"/>
        <v>37.79999999999999</v>
      </c>
      <c r="AG758" s="50">
        <f t="shared" si="225"/>
        <v>0.99</v>
      </c>
    </row>
    <row r="759" spans="2:33" x14ac:dyDescent="0.25">
      <c r="B759" s="13">
        <f t="shared" si="226"/>
        <v>37.849999999999987</v>
      </c>
      <c r="C759" s="13">
        <f>B759+Model!$B$4</f>
        <v>39.849999999999987</v>
      </c>
      <c r="D759" s="13">
        <f t="shared" si="227"/>
        <v>2</v>
      </c>
      <c r="E759" s="13">
        <f t="shared" si="233"/>
        <v>15.849999999999987</v>
      </c>
      <c r="F759" s="14">
        <f>IF(AB759&gt;0, VLOOKUP(B759,Model!$A$40:$B$60, 2), 0)</f>
        <v>300</v>
      </c>
      <c r="G759" s="13">
        <f>IF(AB759&gt;0, VLOOKUP(B759,Model!$A$39:$C$58, 3), 0)</f>
        <v>1</v>
      </c>
      <c r="H759" s="13">
        <f t="shared" si="216"/>
        <v>97</v>
      </c>
      <c r="I759" s="46">
        <f>Model!$B$21*EXP((-0.029*9.81*F759)/(8.31*(273+J759)))</f>
        <v>100357.4491247143</v>
      </c>
      <c r="J759" s="13">
        <f>IF(Model!$B$31="Summer",  IF(F759&lt;=2000,  Model!$B$20-Model!$B$35*F759/1000,  IF(F759&lt;Model!$B$36,  Model!$B$33-6.5*F759/1000,  Model!$B$38)),     IF(F759&lt;=2000,  Model!$B$20-Model!$B$35*F759/1000,  IF(F759&lt;Model!$B$36,  Model!$B$33-5.4*F759/1000,   Model!$B$38)))</f>
        <v>-19.088750000000001</v>
      </c>
      <c r="K759" s="13">
        <f t="shared" si="229"/>
        <v>253.91125</v>
      </c>
      <c r="L759" s="46">
        <f>IF(AB758-AA758*(B759-B758)&gt;0, L758-Y758*(B759-B758)*3600-AD759*Model!$B$16, 0)</f>
        <v>536.88337711312602</v>
      </c>
      <c r="M759" s="57">
        <f t="shared" si="217"/>
        <v>8.7152617638466268</v>
      </c>
      <c r="N759" s="57">
        <f>Model!$B$13*I759*K759/(Model!$B$13*I759-L759*287*K759)</f>
        <v>281.71526176384663</v>
      </c>
      <c r="O759" s="57">
        <f t="shared" si="218"/>
        <v>267.81325588192328</v>
      </c>
      <c r="P759" s="57">
        <f t="shared" si="219"/>
        <v>-2.1951133515065164</v>
      </c>
      <c r="Q759" s="63">
        <f t="shared" si="230"/>
        <v>2.3631741167616554E-2</v>
      </c>
      <c r="R759" s="17">
        <f t="shared" si="231"/>
        <v>1.3060578611720022E-5</v>
      </c>
      <c r="S759" s="46">
        <f>0.37*Model!$B$10*(Q759^2*(N759-K759)*I759/(R759*O759^2))^0.33333*(N759-K759)</f>
        <v>147294.31240876715</v>
      </c>
      <c r="T759" s="51">
        <f>Model!$B$32+(90-Model!$B$6)*SIN(RADIANS(-15*(E759+6)))</f>
        <v>11.805772996062181</v>
      </c>
      <c r="U759" s="46">
        <f t="shared" si="220"/>
        <v>11.805772996062181</v>
      </c>
      <c r="V759" s="51">
        <f t="shared" si="221"/>
        <v>4.887712639137944</v>
      </c>
      <c r="W759" s="46">
        <f t="shared" si="222"/>
        <v>432.50264601977403</v>
      </c>
      <c r="X759" s="46">
        <f>0.3*W759*Model!$B$9</f>
        <v>39178.097809002829</v>
      </c>
      <c r="Y759" s="17">
        <f>(S759-X759)/Model!$B$11</f>
        <v>2.3193438721391037E-3</v>
      </c>
      <c r="Z759" s="46">
        <f t="shared" si="223"/>
        <v>26.598513661733822</v>
      </c>
      <c r="AA759" s="57">
        <f>Y759/Model!$B$12*3600</f>
        <v>15.016659214425202</v>
      </c>
      <c r="AB759" s="51">
        <f t="shared" si="228"/>
        <v>28.565940583832059</v>
      </c>
      <c r="AC759" s="51">
        <f t="shared" si="232"/>
        <v>1771.4340594161679</v>
      </c>
      <c r="AD759" s="13">
        <f>IF(AE759=0, Model!$B$19, 0 )</f>
        <v>0</v>
      </c>
      <c r="AE759" s="51">
        <f>IF(AE758+AB758-AB759&lt;Model!$B$19*Model!$B$18, AE758+AB758-AB759,  0)</f>
        <v>415.06863312228148</v>
      </c>
      <c r="AF759" s="13">
        <f t="shared" si="224"/>
        <v>37.849999999999987</v>
      </c>
      <c r="AG759" s="50">
        <f t="shared" si="225"/>
        <v>0.99</v>
      </c>
    </row>
    <row r="760" spans="2:33" x14ac:dyDescent="0.25">
      <c r="B760" s="15">
        <f t="shared" si="226"/>
        <v>37.899999999999984</v>
      </c>
      <c r="C760" s="15">
        <f>B760+Model!$B$4</f>
        <v>39.899999999999984</v>
      </c>
      <c r="D760" s="15">
        <f t="shared" si="227"/>
        <v>2</v>
      </c>
      <c r="E760" s="15">
        <f t="shared" si="233"/>
        <v>15.899999999999984</v>
      </c>
      <c r="F760" s="16">
        <f>IF(AB760&gt;0, VLOOKUP(B760,Model!$A$40:$B$60, 2), 0)</f>
        <v>300</v>
      </c>
      <c r="G760" s="15">
        <f>IF(AB760&gt;0, VLOOKUP(B760,Model!$A$39:$C$58, 3), 0)</f>
        <v>1</v>
      </c>
      <c r="H760" s="15">
        <f t="shared" si="216"/>
        <v>97</v>
      </c>
      <c r="I760" s="45">
        <f>Model!$B$21*EXP((-0.029*9.81*F760)/(8.31*(273+J760)))</f>
        <v>100357.4491247143</v>
      </c>
      <c r="J760" s="15">
        <f>IF(Model!$B$31="Summer",  IF(F760&lt;=2000,  Model!$B$20-Model!$B$35*F760/1000,  IF(F760&lt;Model!$B$36,  Model!$B$33-6.5*F760/1000,  Model!$B$38)),     IF(F760&lt;=2000,  Model!$B$20-Model!$B$35*F760/1000,  IF(F760&lt;Model!$B$36,  Model!$B$33-5.4*F760/1000,   Model!$B$38)))</f>
        <v>-19.088750000000001</v>
      </c>
      <c r="K760" s="15">
        <f t="shared" si="229"/>
        <v>253.91125</v>
      </c>
      <c r="L760" s="45">
        <f>IF(AB759-AA759*(B760-B759)&gt;0, L759-Y759*(B760-B759)*3600-AD760*Model!$B$16, 0)</f>
        <v>536.46589521614101</v>
      </c>
      <c r="M760" s="56">
        <f t="shared" si="217"/>
        <v>8.6912758313322911</v>
      </c>
      <c r="N760" s="56">
        <f>Model!$B$13*I760*K760/(Model!$B$13*I760-L760*287*K760)</f>
        <v>281.69127583133229</v>
      </c>
      <c r="O760" s="56">
        <f t="shared" si="218"/>
        <v>267.80126291566614</v>
      </c>
      <c r="P760" s="56">
        <f t="shared" si="219"/>
        <v>-2.3153861108686948</v>
      </c>
      <c r="Q760" s="62">
        <f t="shared" si="230"/>
        <v>2.3630889667012298E-2</v>
      </c>
      <c r="R760" s="33">
        <f t="shared" si="231"/>
        <v>1.3059331343229277E-5</v>
      </c>
      <c r="S760" s="45">
        <f>0.37*Model!$B$10*(Q760^2*(N760-K760)*I760/(R760*O760^2))^0.33333*(N760-K760)</f>
        <v>147130.45546687298</v>
      </c>
      <c r="T760" s="50">
        <f>Model!$B$32+(90-Model!$B$6)*SIN(RADIANS(-15*(E760+6)))</f>
        <v>11.416714704074014</v>
      </c>
      <c r="U760" s="45">
        <f t="shared" si="220"/>
        <v>11.416714704074014</v>
      </c>
      <c r="V760" s="50">
        <f t="shared" si="221"/>
        <v>5.0519516651181791</v>
      </c>
      <c r="W760" s="45">
        <f t="shared" si="222"/>
        <v>415.66315122291098</v>
      </c>
      <c r="X760" s="45">
        <f>0.3*W760*Model!$B$9</f>
        <v>37652.698183643013</v>
      </c>
      <c r="Y760" s="33">
        <f>(S760-X760)/Model!$B$11</f>
        <v>2.3485521244927593E-3</v>
      </c>
      <c r="Z760" s="45">
        <f t="shared" si="223"/>
        <v>25.591369281202741</v>
      </c>
      <c r="AA760" s="56">
        <f>Y760/Model!$B$12*3600</f>
        <v>15.205768891999341</v>
      </c>
      <c r="AB760" s="50">
        <f t="shared" si="228"/>
        <v>27.815107623110841</v>
      </c>
      <c r="AC760" s="50">
        <f t="shared" si="232"/>
        <v>1772.1848923768891</v>
      </c>
      <c r="AD760" s="15">
        <f>IF(AE760=0, Model!$B$19, 0 )</f>
        <v>0</v>
      </c>
      <c r="AE760" s="50">
        <f>IF(AE759+AB759-AB760&lt;Model!$B$19*Model!$B$18, AE759+AB759-AB760,  0)</f>
        <v>415.81946608300268</v>
      </c>
      <c r="AF760" s="15">
        <f t="shared" si="224"/>
        <v>37.899999999999984</v>
      </c>
      <c r="AG760" s="50">
        <f t="shared" si="225"/>
        <v>0.99</v>
      </c>
    </row>
    <row r="761" spans="2:33" x14ac:dyDescent="0.25">
      <c r="B761" s="13">
        <f t="shared" si="226"/>
        <v>37.949999999999982</v>
      </c>
      <c r="C761" s="13">
        <f>B761+Model!$B$4</f>
        <v>39.949999999999982</v>
      </c>
      <c r="D761" s="13">
        <f t="shared" si="227"/>
        <v>2</v>
      </c>
      <c r="E761" s="13">
        <f t="shared" si="233"/>
        <v>15.949999999999982</v>
      </c>
      <c r="F761" s="14">
        <f>IF(AB761&gt;0, VLOOKUP(B761,Model!$A$40:$B$60, 2), 0)</f>
        <v>300</v>
      </c>
      <c r="G761" s="13">
        <f>IF(AB761&gt;0, VLOOKUP(B761,Model!$A$39:$C$58, 3), 0)</f>
        <v>1</v>
      </c>
      <c r="H761" s="13">
        <f t="shared" si="216"/>
        <v>97</v>
      </c>
      <c r="I761" s="46">
        <f>Model!$B$21*EXP((-0.029*9.81*F761)/(8.31*(273+J761)))</f>
        <v>100357.4491247143</v>
      </c>
      <c r="J761" s="13">
        <f>IF(Model!$B$31="Summer",  IF(F761&lt;=2000,  Model!$B$20-Model!$B$35*F761/1000,  IF(F761&lt;Model!$B$36,  Model!$B$33-6.5*F761/1000,  Model!$B$38)),     IF(F761&lt;=2000,  Model!$B$20-Model!$B$35*F761/1000,  IF(F761&lt;Model!$B$36,  Model!$B$33-5.4*F761/1000,   Model!$B$38)))</f>
        <v>-19.088750000000001</v>
      </c>
      <c r="K761" s="13">
        <f t="shared" si="229"/>
        <v>253.91125</v>
      </c>
      <c r="L761" s="46">
        <f>IF(AB760-AA760*(B761-B760)&gt;0, L760-Y760*(B761-B760)*3600-AD761*Model!$B$16, 0)</f>
        <v>536.04315583373238</v>
      </c>
      <c r="M761" s="57">
        <f t="shared" si="217"/>
        <v>8.6669919977252334</v>
      </c>
      <c r="N761" s="57">
        <f>Model!$B$13*I761*K761/(Model!$B$13*I761-L761*287*K761)</f>
        <v>281.66699199772523</v>
      </c>
      <c r="O761" s="57">
        <f t="shared" si="218"/>
        <v>267.78912099886259</v>
      </c>
      <c r="P761" s="57">
        <f t="shared" si="219"/>
        <v>-2.4397913263179771</v>
      </c>
      <c r="Q761" s="63">
        <f t="shared" si="230"/>
        <v>2.3630027590919245E-2</v>
      </c>
      <c r="R761" s="17">
        <f t="shared" si="231"/>
        <v>1.3058068583881707E-5</v>
      </c>
      <c r="S761" s="46">
        <f>0.37*Model!$B$10*(Q761^2*(N761-K761)*I761/(R761*O761^2))^0.33333*(N761-K761)</f>
        <v>146964.60085072368</v>
      </c>
      <c r="T761" s="51">
        <f>Model!$B$32+(90-Model!$B$6)*SIN(RADIANS(-15*(E761+6)))</f>
        <v>11.024522951712651</v>
      </c>
      <c r="U761" s="46">
        <f t="shared" si="220"/>
        <v>11.024522951712651</v>
      </c>
      <c r="V761" s="51">
        <f t="shared" si="221"/>
        <v>5.2293290771580834</v>
      </c>
      <c r="W761" s="46">
        <f t="shared" si="222"/>
        <v>398.2122894297014</v>
      </c>
      <c r="X761" s="46">
        <f>0.3*W761*Model!$B$9</f>
        <v>36071.918097145004</v>
      </c>
      <c r="Y761" s="17">
        <f>(S761-X761)/Model!$B$11</f>
        <v>2.3789055615913049E-3</v>
      </c>
      <c r="Z761" s="46">
        <f t="shared" si="223"/>
        <v>24.544630399659525</v>
      </c>
      <c r="AA761" s="57">
        <f>Y761/Model!$B$12*3600</f>
        <v>15.402293101440938</v>
      </c>
      <c r="AB761" s="51">
        <f t="shared" si="228"/>
        <v>27.054819178510918</v>
      </c>
      <c r="AC761" s="51">
        <f t="shared" si="232"/>
        <v>1772.945180821489</v>
      </c>
      <c r="AD761" s="13">
        <f>IF(AE761=0, Model!$B$19, 0 )</f>
        <v>0</v>
      </c>
      <c r="AE761" s="51">
        <f>IF(AE760+AB760-AB761&lt;Model!$B$19*Model!$B$18, AE760+AB760-AB761,  0)</f>
        <v>416.57975452760263</v>
      </c>
      <c r="AF761" s="13">
        <f t="shared" si="224"/>
        <v>37.949999999999982</v>
      </c>
      <c r="AG761" s="50">
        <f t="shared" si="225"/>
        <v>0.99</v>
      </c>
    </row>
    <row r="762" spans="2:33" x14ac:dyDescent="0.25">
      <c r="B762" s="15">
        <f t="shared" si="226"/>
        <v>37.999999999999979</v>
      </c>
      <c r="C762" s="15">
        <f>B762+Model!$B$4</f>
        <v>39.999999999999979</v>
      </c>
      <c r="D762" s="15">
        <f t="shared" si="227"/>
        <v>2</v>
      </c>
      <c r="E762" s="15">
        <f t="shared" si="233"/>
        <v>15.999999999999979</v>
      </c>
      <c r="F762" s="16">
        <f>IF(AB762&gt;0, VLOOKUP(B762,Model!$A$40:$B$60, 2), 0)</f>
        <v>300</v>
      </c>
      <c r="G762" s="15">
        <f>IF(AB762&gt;0, VLOOKUP(B762,Model!$A$39:$C$58, 3), 0)</f>
        <v>1</v>
      </c>
      <c r="H762" s="15">
        <f t="shared" si="216"/>
        <v>97</v>
      </c>
      <c r="I762" s="45">
        <f>Model!$B$21*EXP((-0.029*9.81*F762)/(8.31*(273+J762)))</f>
        <v>100357.4491247143</v>
      </c>
      <c r="J762" s="15">
        <f>IF(Model!$B$31="Summer",  IF(F762&lt;=2000,  Model!$B$20-Model!$B$35*F762/1000,  IF(F762&lt;Model!$B$36,  Model!$B$33-6.5*F762/1000,  Model!$B$38)),     IF(F762&lt;=2000,  Model!$B$20-Model!$B$35*F762/1000,  IF(F762&lt;Model!$B$36,  Model!$B$33-5.4*F762/1000,   Model!$B$38)))</f>
        <v>-19.088750000000001</v>
      </c>
      <c r="K762" s="15">
        <f t="shared" si="229"/>
        <v>253.91125</v>
      </c>
      <c r="L762" s="45">
        <f>IF(AB761-AA761*(B762-B761)&gt;0, L761-Y761*(B762-B761)*3600-AD762*Model!$B$16, 0)</f>
        <v>535.61495283264594</v>
      </c>
      <c r="M762" s="56">
        <f t="shared" si="217"/>
        <v>8.6423985801350796</v>
      </c>
      <c r="N762" s="56">
        <f>Model!$B$13*I762*K762/(Model!$B$13*I762-L762*287*K762)</f>
        <v>281.64239858013508</v>
      </c>
      <c r="O762" s="56">
        <f t="shared" si="218"/>
        <v>267.77682429006757</v>
      </c>
      <c r="P762" s="56">
        <f t="shared" si="219"/>
        <v>-2.5684271137344514</v>
      </c>
      <c r="Q762" s="62">
        <f t="shared" si="230"/>
        <v>2.3629154524594798E-2</v>
      </c>
      <c r="R762" s="33">
        <f t="shared" si="231"/>
        <v>1.3056789726167026E-5</v>
      </c>
      <c r="S762" s="45">
        <f>0.37*Model!$B$10*(Q762^2*(N762-K762)*I762/(R762*O762^2))^0.33333*(N762-K762)</f>
        <v>146796.67021344061</v>
      </c>
      <c r="T762" s="50">
        <f>Model!$B$32+(90-Model!$B$6)*SIN(RADIANS(-15*(E762+6)))</f>
        <v>10.629264939015854</v>
      </c>
      <c r="U762" s="45">
        <f t="shared" si="220"/>
        <v>10.629264939015854</v>
      </c>
      <c r="V762" s="50">
        <f t="shared" si="221"/>
        <v>5.4214241008786361</v>
      </c>
      <c r="W762" s="45">
        <f t="shared" si="222"/>
        <v>380.13893423012792</v>
      </c>
      <c r="X762" s="45">
        <f>0.3*W762*Model!$B$9</f>
        <v>34434.74966762893</v>
      </c>
      <c r="Y762" s="33">
        <f>(S762-X762)/Model!$B$11</f>
        <v>2.4104241241190965E-3</v>
      </c>
      <c r="Z762" s="45">
        <f t="shared" si="223"/>
        <v>23.457446015336188</v>
      </c>
      <c r="AA762" s="56">
        <f>Y762/Model!$B$12*3600</f>
        <v>15.606360949289597</v>
      </c>
      <c r="AB762" s="50">
        <f t="shared" si="228"/>
        <v>26.284704523438915</v>
      </c>
      <c r="AC762" s="50">
        <f t="shared" si="232"/>
        <v>1773.7152954765611</v>
      </c>
      <c r="AD762" s="15">
        <f>IF(AE762=0, Model!$B$19, 0 )</f>
        <v>0</v>
      </c>
      <c r="AE762" s="50">
        <f>IF(AE761+AB761-AB762&lt;Model!$B$19*Model!$B$18, AE761+AB761-AB762,  0)</f>
        <v>417.34986918267464</v>
      </c>
      <c r="AF762" s="15">
        <f t="shared" si="224"/>
        <v>37.999999999999979</v>
      </c>
      <c r="AG762" s="50">
        <f t="shared" si="225"/>
        <v>0.99</v>
      </c>
    </row>
    <row r="763" spans="2:33" x14ac:dyDescent="0.25">
      <c r="B763" s="13">
        <f t="shared" si="226"/>
        <v>38.049999999999976</v>
      </c>
      <c r="C763" s="13">
        <f>B763+Model!$B$4</f>
        <v>40.049999999999976</v>
      </c>
      <c r="D763" s="13">
        <f t="shared" si="227"/>
        <v>2</v>
      </c>
      <c r="E763" s="13">
        <f t="shared" si="233"/>
        <v>16.049999999999976</v>
      </c>
      <c r="F763" s="14">
        <f>IF(AB763&gt;0, VLOOKUP(B763,Model!$A$40:$B$60, 2), 0)</f>
        <v>300</v>
      </c>
      <c r="G763" s="13">
        <f>IF(AB763&gt;0, VLOOKUP(B763,Model!$A$39:$C$58, 3), 0)</f>
        <v>1</v>
      </c>
      <c r="H763" s="13">
        <f t="shared" si="216"/>
        <v>97</v>
      </c>
      <c r="I763" s="46">
        <f>Model!$B$21*EXP((-0.029*9.81*F763)/(8.31*(273+J763)))</f>
        <v>100357.4491247143</v>
      </c>
      <c r="J763" s="13">
        <f>IF(Model!$B$31="Summer",  IF(F763&lt;=2000,  Model!$B$20-Model!$B$35*F763/1000,  IF(F763&lt;Model!$B$36,  Model!$B$33-6.5*F763/1000,  Model!$B$38)),     IF(F763&lt;=2000,  Model!$B$20-Model!$B$35*F763/1000,  IF(F763&lt;Model!$B$36,  Model!$B$33-5.4*F763/1000,   Model!$B$38)))</f>
        <v>-19.088750000000001</v>
      </c>
      <c r="K763" s="13">
        <f t="shared" si="229"/>
        <v>253.91125</v>
      </c>
      <c r="L763" s="46">
        <f>IF(AB762-AA762*(B763-B762)&gt;0, L762-Y762*(B763-B762)*3600-AD763*Model!$B$16, 0)</f>
        <v>535.18107649030458</v>
      </c>
      <c r="M763" s="57">
        <f t="shared" si="217"/>
        <v>8.6174836998091564</v>
      </c>
      <c r="N763" s="57">
        <f>Model!$B$13*I763*K763/(Model!$B$13*I763-L763*287*K763)</f>
        <v>281.61748369980916</v>
      </c>
      <c r="O763" s="57">
        <f t="shared" si="218"/>
        <v>267.7643668499046</v>
      </c>
      <c r="P763" s="57">
        <f t="shared" si="219"/>
        <v>-2.701373588561236</v>
      </c>
      <c r="Q763" s="63">
        <f t="shared" si="230"/>
        <v>2.3628270046343228E-2</v>
      </c>
      <c r="R763" s="17">
        <f t="shared" si="231"/>
        <v>1.3055494152390078E-5</v>
      </c>
      <c r="S763" s="46">
        <f>0.37*Model!$B$10*(Q763^2*(N763-K763)*I763/(R763*O763^2))^0.33333*(N763-K763)</f>
        <v>146626.58396508824</v>
      </c>
      <c r="T763" s="51">
        <f>Model!$B$32+(90-Model!$B$6)*SIN(RADIANS(-15*(E763+6)))</f>
        <v>10.231008391409276</v>
      </c>
      <c r="U763" s="46">
        <f t="shared" si="220"/>
        <v>10.231008391409276</v>
      </c>
      <c r="V763" s="51">
        <f t="shared" si="221"/>
        <v>5.6300803165261293</v>
      </c>
      <c r="W763" s="46">
        <f t="shared" si="222"/>
        <v>361.43569347538147</v>
      </c>
      <c r="X763" s="46">
        <f>0.3*W763*Model!$B$9</f>
        <v>32740.523279933528</v>
      </c>
      <c r="Y763" s="17">
        <f>(S763-X763)/Model!$B$11</f>
        <v>2.4431204694873908E-3</v>
      </c>
      <c r="Z763" s="46">
        <f t="shared" si="223"/>
        <v>22.329186423472187</v>
      </c>
      <c r="AA763" s="57">
        <f>Y763/Model!$B$12*3600</f>
        <v>15.818054386321849</v>
      </c>
      <c r="AB763" s="51">
        <f t="shared" si="228"/>
        <v>25.504386475974478</v>
      </c>
      <c r="AC763" s="51">
        <f t="shared" si="232"/>
        <v>1774.4956135240254</v>
      </c>
      <c r="AD763" s="13">
        <f>IF(AE763=0, Model!$B$19, 0 )</f>
        <v>0</v>
      </c>
      <c r="AE763" s="51">
        <f>IF(AE762+AB762-AB763&lt;Model!$B$19*Model!$B$18, AE762+AB762-AB763,  0)</f>
        <v>418.13018723013909</v>
      </c>
      <c r="AF763" s="13">
        <f t="shared" si="224"/>
        <v>38.049999999999976</v>
      </c>
      <c r="AG763" s="50">
        <f t="shared" si="225"/>
        <v>0.99</v>
      </c>
    </row>
    <row r="764" spans="2:33" x14ac:dyDescent="0.25">
      <c r="B764" s="15">
        <f t="shared" si="226"/>
        <v>38.099999999999973</v>
      </c>
      <c r="C764" s="15">
        <f>B764+Model!$B$4</f>
        <v>40.099999999999973</v>
      </c>
      <c r="D764" s="15">
        <f t="shared" si="227"/>
        <v>2</v>
      </c>
      <c r="E764" s="15">
        <f t="shared" si="233"/>
        <v>16.099999999999973</v>
      </c>
      <c r="F764" s="16">
        <f>IF(AB764&gt;0, VLOOKUP(B764,Model!$A$40:$B$60, 2), 0)</f>
        <v>300</v>
      </c>
      <c r="G764" s="15">
        <f>IF(AB764&gt;0, VLOOKUP(B764,Model!$A$39:$C$58, 3), 0)</f>
        <v>1</v>
      </c>
      <c r="H764" s="15">
        <f t="shared" si="216"/>
        <v>97</v>
      </c>
      <c r="I764" s="45">
        <f>Model!$B$21*EXP((-0.029*9.81*F764)/(8.31*(273+J764)))</f>
        <v>100357.4491247143</v>
      </c>
      <c r="J764" s="15">
        <f>IF(Model!$B$31="Summer",  IF(F764&lt;=2000,  Model!$B$20-Model!$B$35*F764/1000,  IF(F764&lt;Model!$B$36,  Model!$B$33-6.5*F764/1000,  Model!$B$38)),     IF(F764&lt;=2000,  Model!$B$20-Model!$B$35*F764/1000,  IF(F764&lt;Model!$B$36,  Model!$B$33-5.4*F764/1000,   Model!$B$38)))</f>
        <v>-19.088750000000001</v>
      </c>
      <c r="K764" s="15">
        <f t="shared" si="229"/>
        <v>253.91125</v>
      </c>
      <c r="L764" s="45">
        <f>IF(AB763-AA763*(B764-B763)&gt;0, L763-Y763*(B764-B763)*3600-AD764*Model!$B$16, 0)</f>
        <v>534.74131480579683</v>
      </c>
      <c r="M764" s="56">
        <f t="shared" si="217"/>
        <v>8.5922353578399679</v>
      </c>
      <c r="N764" s="56">
        <f>Model!$B$13*I764*K764/(Model!$B$13*I764-L764*287*K764)</f>
        <v>281.59223535783997</v>
      </c>
      <c r="O764" s="56">
        <f t="shared" si="218"/>
        <v>267.75174267891998</v>
      </c>
      <c r="P764" s="56">
        <f t="shared" si="219"/>
        <v>-2.8386860312441402</v>
      </c>
      <c r="Q764" s="62">
        <f t="shared" si="230"/>
        <v>2.3627373730203318E-2</v>
      </c>
      <c r="R764" s="33">
        <f t="shared" si="231"/>
        <v>1.3054181238607676E-5</v>
      </c>
      <c r="S764" s="45">
        <f>0.37*Model!$B$10*(Q764^2*(N764-K764)*I764/(R764*O764^2))^0.33333*(N764-K764)</f>
        <v>146454.26179350985</v>
      </c>
      <c r="T764" s="50">
        <f>Model!$B$32+(90-Model!$B$6)*SIN(RADIANS(-15*(E764+6)))</f>
        <v>9.8298215481022027</v>
      </c>
      <c r="U764" s="45">
        <f t="shared" si="220"/>
        <v>9.8298215481022027</v>
      </c>
      <c r="V764" s="50">
        <f t="shared" si="221"/>
        <v>5.8574633619713765</v>
      </c>
      <c r="W764" s="45">
        <f t="shared" si="222"/>
        <v>342.10020863839998</v>
      </c>
      <c r="X764" s="45">
        <f>0.3*W764*Model!$B$9</f>
        <v>30989.025287726752</v>
      </c>
      <c r="Y764" s="33">
        <f>(S764-X764)/Model!$B$11</f>
        <v>2.4769974580238787E-3</v>
      </c>
      <c r="Z764" s="45">
        <f t="shared" si="223"/>
        <v>21.159524419589161</v>
      </c>
      <c r="AA764" s="56">
        <f>Y764/Model!$B$12*3600</f>
        <v>16.037391931812355</v>
      </c>
      <c r="AB764" s="50">
        <f t="shared" si="228"/>
        <v>24.71348375665843</v>
      </c>
      <c r="AC764" s="50">
        <f t="shared" si="232"/>
        <v>1775.2865162433416</v>
      </c>
      <c r="AD764" s="15">
        <f>IF(AE764=0, Model!$B$19, 0 )</f>
        <v>0</v>
      </c>
      <c r="AE764" s="50">
        <f>IF(AE763+AB763-AB764&lt;Model!$B$19*Model!$B$18, AE763+AB763-AB764,  0)</f>
        <v>418.92108994945511</v>
      </c>
      <c r="AF764" s="15">
        <f t="shared" si="224"/>
        <v>38.099999999999973</v>
      </c>
      <c r="AG764" s="50">
        <f t="shared" si="225"/>
        <v>0.99</v>
      </c>
    </row>
    <row r="765" spans="2:33" x14ac:dyDescent="0.25">
      <c r="B765" s="13">
        <f t="shared" si="226"/>
        <v>38.14999999999997</v>
      </c>
      <c r="C765" s="13">
        <f>B765+Model!$B$4</f>
        <v>40.14999999999997</v>
      </c>
      <c r="D765" s="13">
        <f t="shared" si="227"/>
        <v>2</v>
      </c>
      <c r="E765" s="13">
        <f t="shared" si="233"/>
        <v>16.14999999999997</v>
      </c>
      <c r="F765" s="14">
        <f>IF(AB765&gt;0, VLOOKUP(B765,Model!$A$40:$B$60, 2), 0)</f>
        <v>300</v>
      </c>
      <c r="G765" s="13">
        <f>IF(AB765&gt;0, VLOOKUP(B765,Model!$A$39:$C$58, 3), 0)</f>
        <v>1</v>
      </c>
      <c r="H765" s="13">
        <f t="shared" si="216"/>
        <v>97</v>
      </c>
      <c r="I765" s="46">
        <f>Model!$B$21*EXP((-0.029*9.81*F765)/(8.31*(273+J765)))</f>
        <v>100357.4491247143</v>
      </c>
      <c r="J765" s="13">
        <f>IF(Model!$B$31="Summer",  IF(F765&lt;=2000,  Model!$B$20-Model!$B$35*F765/1000,  IF(F765&lt;Model!$B$36,  Model!$B$33-6.5*F765/1000,  Model!$B$38)),     IF(F765&lt;=2000,  Model!$B$20-Model!$B$35*F765/1000,  IF(F765&lt;Model!$B$36,  Model!$B$33-5.4*F765/1000,   Model!$B$38)))</f>
        <v>-19.088750000000001</v>
      </c>
      <c r="K765" s="13">
        <f t="shared" si="229"/>
        <v>253.91125</v>
      </c>
      <c r="L765" s="46">
        <f>IF(AB764-AA764*(B765-B764)&gt;0, L764-Y764*(B765-B764)*3600-AD765*Model!$B$16, 0)</f>
        <v>534.29545526335255</v>
      </c>
      <c r="M765" s="57">
        <f t="shared" si="217"/>
        <v>8.5666415367792297</v>
      </c>
      <c r="N765" s="57">
        <f>Model!$B$13*I765*K765/(Model!$B$13*I765-L765*287*K765)</f>
        <v>281.56664153677923</v>
      </c>
      <c r="O765" s="57">
        <f t="shared" si="218"/>
        <v>267.73894576838961</v>
      </c>
      <c r="P765" s="57">
        <f t="shared" si="219"/>
        <v>-2.9803861740210524</v>
      </c>
      <c r="Q765" s="63">
        <f t="shared" si="230"/>
        <v>2.3626465149555662E-2</v>
      </c>
      <c r="R765" s="17">
        <f t="shared" si="231"/>
        <v>1.3052850359912519E-5</v>
      </c>
      <c r="S765" s="46">
        <f>0.37*Model!$B$10*(Q765^2*(N765-K765)*I765/(R765*O765^2))^0.33333*(N765-K765)</f>
        <v>146279.62336134238</v>
      </c>
      <c r="T765" s="51">
        <f>Model!$B$32+(90-Model!$B$6)*SIN(RADIANS(-15*(E765+6)))</f>
        <v>9.4257731503948321</v>
      </c>
      <c r="U765" s="46">
        <f t="shared" si="220"/>
        <v>9.4257731503948321</v>
      </c>
      <c r="V765" s="51">
        <f t="shared" si="221"/>
        <v>6.1061344410991421</v>
      </c>
      <c r="W765" s="46">
        <f t="shared" si="222"/>
        <v>322.13680681806176</v>
      </c>
      <c r="X765" s="46">
        <f>0.3*W765*Model!$B$9</f>
        <v>29180.647659715949</v>
      </c>
      <c r="Y765" s="17">
        <f>(S765-X765)/Model!$B$11</f>
        <v>2.5120449576665543E-3</v>
      </c>
      <c r="Z765" s="46">
        <f t="shared" si="223"/>
        <v>19.948538962008005</v>
      </c>
      <c r="AA765" s="57">
        <f>Y765/Model!$B$12*3600</f>
        <v>16.264307985431582</v>
      </c>
      <c r="AB765" s="51">
        <f t="shared" si="228"/>
        <v>23.91161416006786</v>
      </c>
      <c r="AC765" s="51">
        <f t="shared" si="232"/>
        <v>1776.0883858399322</v>
      </c>
      <c r="AD765" s="13">
        <f>IF(AE765=0, Model!$B$19, 0 )</f>
        <v>0</v>
      </c>
      <c r="AE765" s="51">
        <f>IF(AE764+AB764-AB765&lt;Model!$B$19*Model!$B$18, AE764+AB764-AB765,  0)</f>
        <v>419.72295954604567</v>
      </c>
      <c r="AF765" s="13">
        <f t="shared" si="224"/>
        <v>38.14999999999997</v>
      </c>
      <c r="AG765" s="50">
        <f t="shared" si="225"/>
        <v>0.99</v>
      </c>
    </row>
    <row r="766" spans="2:33" x14ac:dyDescent="0.25">
      <c r="B766" s="15">
        <f t="shared" si="226"/>
        <v>38.199999999999967</v>
      </c>
      <c r="C766" s="15">
        <f>B766+Model!$B$4</f>
        <v>40.199999999999967</v>
      </c>
      <c r="D766" s="15">
        <f t="shared" si="227"/>
        <v>2</v>
      </c>
      <c r="E766" s="15">
        <f t="shared" si="233"/>
        <v>16.199999999999967</v>
      </c>
      <c r="F766" s="16">
        <f>IF(AB766&gt;0, VLOOKUP(B766,Model!$A$40:$B$60, 2), 0)</f>
        <v>300</v>
      </c>
      <c r="G766" s="15">
        <f>IF(AB766&gt;0, VLOOKUP(B766,Model!$A$39:$C$58, 3), 0)</f>
        <v>1</v>
      </c>
      <c r="H766" s="15">
        <f t="shared" si="216"/>
        <v>97</v>
      </c>
      <c r="I766" s="45">
        <f>Model!$B$21*EXP((-0.029*9.81*F766)/(8.31*(273+J766)))</f>
        <v>100357.4491247143</v>
      </c>
      <c r="J766" s="15">
        <f>IF(Model!$B$31="Summer",  IF(F766&lt;=2000,  Model!$B$20-Model!$B$35*F766/1000,  IF(F766&lt;Model!$B$36,  Model!$B$33-6.5*F766/1000,  Model!$B$38)),     IF(F766&lt;=2000,  Model!$B$20-Model!$B$35*F766/1000,  IF(F766&lt;Model!$B$36,  Model!$B$33-5.4*F766/1000,   Model!$B$38)))</f>
        <v>-19.088750000000001</v>
      </c>
      <c r="K766" s="15">
        <f t="shared" si="229"/>
        <v>253.91125</v>
      </c>
      <c r="L766" s="45">
        <f>IF(AB765-AA765*(B766-B765)&gt;0, L765-Y765*(B766-B765)*3600-AD766*Model!$B$16, 0)</f>
        <v>533.84328717097264</v>
      </c>
      <c r="M766" s="56">
        <f t="shared" si="217"/>
        <v>8.5406903351612868</v>
      </c>
      <c r="N766" s="56">
        <f>Model!$B$13*I766*K766/(Model!$B$13*I766-L766*287*K766)</f>
        <v>281.54069033516129</v>
      </c>
      <c r="O766" s="56">
        <f t="shared" si="218"/>
        <v>267.72597016758061</v>
      </c>
      <c r="P766" s="56">
        <f t="shared" si="219"/>
        <v>-3.1264511202989453</v>
      </c>
      <c r="Q766" s="62">
        <f t="shared" si="230"/>
        <v>2.3625543881898223E-2</v>
      </c>
      <c r="R766" s="33">
        <f t="shared" si="231"/>
        <v>1.3051500897428382E-5</v>
      </c>
      <c r="S766" s="45">
        <f>0.37*Model!$B$10*(Q766^2*(N766-K766)*I766/(R766*O766^2))^0.33333*(N766-K766)</f>
        <v>146102.58922663963</v>
      </c>
      <c r="T766" s="50">
        <f>Model!$B$32+(90-Model!$B$6)*SIN(RADIANS(-15*(E766+6)))</f>
        <v>9.018932429900099</v>
      </c>
      <c r="U766" s="45">
        <f t="shared" si="220"/>
        <v>9.018932429900099</v>
      </c>
      <c r="V766" s="50">
        <f t="shared" si="221"/>
        <v>6.3791449299254976</v>
      </c>
      <c r="W766" s="45">
        <f t="shared" si="222"/>
        <v>301.55859571967312</v>
      </c>
      <c r="X766" s="45">
        <f>0.3*W766*Model!$B$9</f>
        <v>27316.577752707526</v>
      </c>
      <c r="Y766" s="33">
        <f>(S766-X766)/Model!$B$11</f>
        <v>2.5482357926403967E-3</v>
      </c>
      <c r="Z766" s="45">
        <f t="shared" si="223"/>
        <v>18.696847124545521</v>
      </c>
      <c r="AA766" s="56">
        <f>Y766/Model!$B$12*3600</f>
        <v>16.498626596835447</v>
      </c>
      <c r="AB766" s="50">
        <f t="shared" si="228"/>
        <v>23.098398760796325</v>
      </c>
      <c r="AC766" s="50">
        <f t="shared" si="232"/>
        <v>1776.9016012392037</v>
      </c>
      <c r="AD766" s="15">
        <f>IF(AE766=0, Model!$B$19, 0 )</f>
        <v>0</v>
      </c>
      <c r="AE766" s="50">
        <f>IF(AE765+AB765-AB766&lt;Model!$B$19*Model!$B$18, AE765+AB765-AB766,  0)</f>
        <v>420.53617494531721</v>
      </c>
      <c r="AF766" s="15">
        <f t="shared" si="224"/>
        <v>38.199999999999967</v>
      </c>
      <c r="AG766" s="50">
        <f t="shared" si="225"/>
        <v>0.99</v>
      </c>
    </row>
    <row r="767" spans="2:33" x14ac:dyDescent="0.25">
      <c r="B767" s="13">
        <f t="shared" si="226"/>
        <v>38.249999999999964</v>
      </c>
      <c r="C767" s="13">
        <f>B767+Model!$B$4</f>
        <v>40.249999999999964</v>
      </c>
      <c r="D767" s="13">
        <f t="shared" si="227"/>
        <v>2</v>
      </c>
      <c r="E767" s="13">
        <f t="shared" si="233"/>
        <v>16.249999999999964</v>
      </c>
      <c r="F767" s="14">
        <f>IF(AB767&gt;0, VLOOKUP(B767,Model!$A$40:$B$60, 2), 0)</f>
        <v>300</v>
      </c>
      <c r="G767" s="13">
        <f>IF(AB767&gt;0, VLOOKUP(B767,Model!$A$39:$C$58, 3), 0)</f>
        <v>1</v>
      </c>
      <c r="H767" s="13">
        <f t="shared" si="216"/>
        <v>97</v>
      </c>
      <c r="I767" s="46">
        <f>Model!$B$21*EXP((-0.029*9.81*F767)/(8.31*(273+J767)))</f>
        <v>100357.4491247143</v>
      </c>
      <c r="J767" s="13">
        <f>IF(Model!$B$31="Summer",  IF(F767&lt;=2000,  Model!$B$20-Model!$B$35*F767/1000,  IF(F767&lt;Model!$B$36,  Model!$B$33-6.5*F767/1000,  Model!$B$38)),     IF(F767&lt;=2000,  Model!$B$20-Model!$B$35*F767/1000,  IF(F767&lt;Model!$B$36,  Model!$B$33-5.4*F767/1000,   Model!$B$38)))</f>
        <v>-19.088750000000001</v>
      </c>
      <c r="K767" s="13">
        <f t="shared" si="229"/>
        <v>253.91125</v>
      </c>
      <c r="L767" s="46">
        <f>IF(AB766-AA766*(B767-B766)&gt;0, L766-Y766*(B767-B766)*3600-AD767*Model!$B$16, 0)</f>
        <v>533.3846047282974</v>
      </c>
      <c r="M767" s="57">
        <f t="shared" si="217"/>
        <v>8.514370143728911</v>
      </c>
      <c r="N767" s="57">
        <f>Model!$B$13*I767*K767/(Model!$B$13*I767-L767*287*K767)</f>
        <v>281.51437014372891</v>
      </c>
      <c r="O767" s="57">
        <f t="shared" si="218"/>
        <v>267.71281007186445</v>
      </c>
      <c r="P767" s="57">
        <f t="shared" si="219"/>
        <v>-3.2767992900043907</v>
      </c>
      <c r="Q767" s="63">
        <f t="shared" si="230"/>
        <v>2.3624609515102375E-2</v>
      </c>
      <c r="R767" s="17">
        <f t="shared" si="231"/>
        <v>1.3050132247473901E-5</v>
      </c>
      <c r="S767" s="46">
        <f>0.37*Model!$B$10*(Q767^2*(N767-K767)*I767/(R767*O767^2))^0.33333*(N767-K767)</f>
        <v>145923.08204662916</v>
      </c>
      <c r="T767" s="51">
        <f>Model!$B$32+(90-Model!$B$6)*SIN(RADIANS(-15*(E767+6)))</f>
        <v>8.6093690966810055</v>
      </c>
      <c r="U767" s="46">
        <f t="shared" si="220"/>
        <v>8.6093690966810055</v>
      </c>
      <c r="V767" s="51">
        <f t="shared" si="221"/>
        <v>6.6801594997951153</v>
      </c>
      <c r="W767" s="46">
        <f t="shared" si="222"/>
        <v>280.39011236518252</v>
      </c>
      <c r="X767" s="46">
        <f>0.3*W767*Model!$B$9</f>
        <v>25399.038244076251</v>
      </c>
      <c r="Y767" s="17">
        <f>(S767-X767)/Model!$B$11</f>
        <v>2.5855206221721103E-3</v>
      </c>
      <c r="Z767" s="46">
        <f t="shared" si="223"/>
        <v>17.405771511843536</v>
      </c>
      <c r="AA767" s="57">
        <f>Y767/Model!$B$12*3600</f>
        <v>16.740028307755225</v>
      </c>
      <c r="AB767" s="51">
        <f t="shared" si="228"/>
        <v>22.2734674309546</v>
      </c>
      <c r="AC767" s="51">
        <f t="shared" si="232"/>
        <v>1777.7265325690455</v>
      </c>
      <c r="AD767" s="13">
        <f>IF(AE767=0, Model!$B$19, 0 )</f>
        <v>0</v>
      </c>
      <c r="AE767" s="51">
        <f>IF(AE766+AB766-AB767&lt;Model!$B$19*Model!$B$18, AE766+AB766-AB767,  0)</f>
        <v>421.36110627515893</v>
      </c>
      <c r="AF767" s="13">
        <f t="shared" si="224"/>
        <v>38.249999999999964</v>
      </c>
      <c r="AG767" s="50">
        <f t="shared" si="225"/>
        <v>0.99</v>
      </c>
    </row>
    <row r="768" spans="2:33" x14ac:dyDescent="0.25">
      <c r="B768" s="15">
        <f t="shared" si="226"/>
        <v>38.299999999999962</v>
      </c>
      <c r="C768" s="15">
        <f>B768+Model!$B$4</f>
        <v>40.299999999999962</v>
      </c>
      <c r="D768" s="15">
        <f t="shared" si="227"/>
        <v>2</v>
      </c>
      <c r="E768" s="15">
        <f t="shared" si="233"/>
        <v>16.299999999999962</v>
      </c>
      <c r="F768" s="16">
        <f>IF(AB768&gt;0, VLOOKUP(B768,Model!$A$40:$B$60, 2), 0)</f>
        <v>300</v>
      </c>
      <c r="G768" s="15">
        <f>IF(AB768&gt;0, VLOOKUP(B768,Model!$A$39:$C$58, 3), 0)</f>
        <v>1</v>
      </c>
      <c r="H768" s="15">
        <f t="shared" si="216"/>
        <v>97</v>
      </c>
      <c r="I768" s="45">
        <f>Model!$B$21*EXP((-0.029*9.81*F768)/(8.31*(273+J768)))</f>
        <v>100357.4491247143</v>
      </c>
      <c r="J768" s="15">
        <f>IF(Model!$B$31="Summer",  IF(F768&lt;=2000,  Model!$B$20-Model!$B$35*F768/1000,  IF(F768&lt;Model!$B$36,  Model!$B$33-6.5*F768/1000,  Model!$B$38)),     IF(F768&lt;=2000,  Model!$B$20-Model!$B$35*F768/1000,  IF(F768&lt;Model!$B$36,  Model!$B$33-5.4*F768/1000,   Model!$B$38)))</f>
        <v>-19.088750000000001</v>
      </c>
      <c r="K768" s="15">
        <f t="shared" si="229"/>
        <v>253.91125</v>
      </c>
      <c r="L768" s="45">
        <f>IF(AB767-AA767*(B768-B767)&gt;0, L767-Y767*(B768-B767)*3600-AD768*Model!$B$16, 0)</f>
        <v>532.91921101630646</v>
      </c>
      <c r="M768" s="56">
        <f t="shared" si="217"/>
        <v>8.4876698743457837</v>
      </c>
      <c r="N768" s="56">
        <f>Model!$B$13*I768*K768/(Model!$B$13*I768-L768*287*K768)</f>
        <v>281.48766987434578</v>
      </c>
      <c r="O768" s="56">
        <f t="shared" si="218"/>
        <v>267.69945993717289</v>
      </c>
      <c r="P768" s="56">
        <f t="shared" si="219"/>
        <v>-3.4312726470592252</v>
      </c>
      <c r="Q768" s="62">
        <f t="shared" si="230"/>
        <v>2.3623661655539276E-2</v>
      </c>
      <c r="R768" s="33">
        <f t="shared" si="231"/>
        <v>1.304874383346598E-5</v>
      </c>
      <c r="S768" s="45">
        <f>0.37*Model!$B$10*(Q768^2*(N768-K768)*I768/(R768*O768^2))^0.33333*(N768-K768)</f>
        <v>145741.02813891551</v>
      </c>
      <c r="T768" s="50">
        <f>Model!$B$32+(90-Model!$B$6)*SIN(RADIANS(-15*(E768+6)))</f>
        <v>8.1971533273063173</v>
      </c>
      <c r="U768" s="45">
        <f t="shared" si="220"/>
        <v>8.1971533273063173</v>
      </c>
      <c r="V768" s="50">
        <f t="shared" si="221"/>
        <v>7.0136183166050001</v>
      </c>
      <c r="W768" s="45">
        <f t="shared" si="222"/>
        <v>258.67065875221761</v>
      </c>
      <c r="X768" s="45">
        <f>0.3*W768*Model!$B$9</f>
        <v>23431.589291248496</v>
      </c>
      <c r="Y768" s="33">
        <f>(S768-X768)/Model!$B$11</f>
        <v>2.623821491958962E-3</v>
      </c>
      <c r="Z768" s="45">
        <f t="shared" si="223"/>
        <v>16.077551798875934</v>
      </c>
      <c r="AA768" s="56">
        <f>Y768/Model!$B$12*3600</f>
        <v>16.988008400795401</v>
      </c>
      <c r="AB768" s="50">
        <f t="shared" si="228"/>
        <v>21.436466015566886</v>
      </c>
      <c r="AC768" s="50">
        <f t="shared" si="232"/>
        <v>1778.5635339844332</v>
      </c>
      <c r="AD768" s="15">
        <f>IF(AE768=0, Model!$B$19, 0 )</f>
        <v>0</v>
      </c>
      <c r="AE768" s="50">
        <f>IF(AE767+AB767-AB768&lt;Model!$B$19*Model!$B$18, AE767+AB767-AB768,  0)</f>
        <v>422.19810769054664</v>
      </c>
      <c r="AF768" s="15">
        <f t="shared" si="224"/>
        <v>38.299999999999962</v>
      </c>
      <c r="AG768" s="50">
        <f t="shared" si="225"/>
        <v>0.99</v>
      </c>
    </row>
    <row r="769" spans="2:33" x14ac:dyDescent="0.25">
      <c r="B769" s="13">
        <f t="shared" si="226"/>
        <v>38.349999999999959</v>
      </c>
      <c r="C769" s="13">
        <f>B769+Model!$B$4</f>
        <v>40.349999999999959</v>
      </c>
      <c r="D769" s="13">
        <f t="shared" si="227"/>
        <v>2</v>
      </c>
      <c r="E769" s="13">
        <f t="shared" si="233"/>
        <v>16.349999999999959</v>
      </c>
      <c r="F769" s="14">
        <f>IF(AB769&gt;0, VLOOKUP(B769,Model!$A$40:$B$60, 2), 0)</f>
        <v>300</v>
      </c>
      <c r="G769" s="13">
        <f>IF(AB769&gt;0, VLOOKUP(B769,Model!$A$39:$C$58, 3), 0)</f>
        <v>1</v>
      </c>
      <c r="H769" s="13">
        <f t="shared" si="216"/>
        <v>97</v>
      </c>
      <c r="I769" s="46">
        <f>Model!$B$21*EXP((-0.029*9.81*F769)/(8.31*(273+J769)))</f>
        <v>100357.4491247143</v>
      </c>
      <c r="J769" s="13">
        <f>IF(Model!$B$31="Summer",  IF(F769&lt;=2000,  Model!$B$20-Model!$B$35*F769/1000,  IF(F769&lt;Model!$B$36,  Model!$B$33-6.5*F769/1000,  Model!$B$38)),     IF(F769&lt;=2000,  Model!$B$20-Model!$B$35*F769/1000,  IF(F769&lt;Model!$B$36,  Model!$B$33-5.4*F769/1000,   Model!$B$38)))</f>
        <v>-19.088750000000001</v>
      </c>
      <c r="K769" s="13">
        <f t="shared" si="229"/>
        <v>253.91125</v>
      </c>
      <c r="L769" s="46">
        <f>IF(AB768-AA768*(B769-B768)&gt;0, L768-Y768*(B769-B768)*3600-AD769*Model!$B$16, 0)</f>
        <v>532.44692314775386</v>
      </c>
      <c r="M769" s="57">
        <f t="shared" si="217"/>
        <v>8.4605792552170556</v>
      </c>
      <c r="N769" s="57">
        <f>Model!$B$13*I769*K769/(Model!$B$13*I769-L769*287*K769)</f>
        <v>281.46057925521706</v>
      </c>
      <c r="O769" s="57">
        <f t="shared" si="218"/>
        <v>267.68591462760855</v>
      </c>
      <c r="P769" s="57">
        <f t="shared" si="219"/>
        <v>-3.5896143140433554</v>
      </c>
      <c r="Q769" s="63">
        <f t="shared" si="230"/>
        <v>2.3622699938560209E-2</v>
      </c>
      <c r="R769" s="17">
        <f t="shared" si="231"/>
        <v>1.3047335121271288E-5</v>
      </c>
      <c r="S769" s="46">
        <f>0.37*Model!$B$10*(Q769^2*(N769-K769)*I769/(R769*O769^2))^0.33333*(N769-K769)</f>
        <v>145556.35949222668</v>
      </c>
      <c r="T769" s="51">
        <f>Model!$B$32+(90-Model!$B$6)*SIN(RADIANS(-15*(E769+6)))</f>
        <v>7.7823557528259997</v>
      </c>
      <c r="U769" s="46">
        <f t="shared" si="220"/>
        <v>7.7823557528259997</v>
      </c>
      <c r="V769" s="51">
        <f t="shared" si="221"/>
        <v>7.3849535927032486</v>
      </c>
      <c r="W769" s="46">
        <f t="shared" si="222"/>
        <v>236.45847979978981</v>
      </c>
      <c r="X769" s="46">
        <f>0.3*W769*Model!$B$9</f>
        <v>21419.506989422523</v>
      </c>
      <c r="Y769" s="17">
        <f>(S769-X769)/Model!$B$11</f>
        <v>2.6630237585070077E-3</v>
      </c>
      <c r="Z769" s="46">
        <f t="shared" si="223"/>
        <v>14.715610547106611</v>
      </c>
      <c r="AA769" s="57">
        <f>Y769/Model!$B$12*3600</f>
        <v>17.24182461332715</v>
      </c>
      <c r="AB769" s="51">
        <f t="shared" si="228"/>
        <v>20.587065595527164</v>
      </c>
      <c r="AC769" s="51">
        <f t="shared" si="232"/>
        <v>1779.4129344044729</v>
      </c>
      <c r="AD769" s="13">
        <f>IF(AE769=0, Model!$B$19, 0 )</f>
        <v>0</v>
      </c>
      <c r="AE769" s="51">
        <f>IF(AE768+AB768-AB769&lt;Model!$B$19*Model!$B$18, AE768+AB768-AB769,  0)</f>
        <v>423.04750811058636</v>
      </c>
      <c r="AF769" s="13">
        <f t="shared" si="224"/>
        <v>38.349999999999959</v>
      </c>
      <c r="AG769" s="50">
        <f t="shared" si="225"/>
        <v>0.99</v>
      </c>
    </row>
    <row r="770" spans="2:33" x14ac:dyDescent="0.25">
      <c r="B770" s="15">
        <f t="shared" si="226"/>
        <v>38.399999999999956</v>
      </c>
      <c r="C770" s="15">
        <f>B770+Model!$B$4</f>
        <v>40.399999999999956</v>
      </c>
      <c r="D770" s="15">
        <f t="shared" si="227"/>
        <v>2</v>
      </c>
      <c r="E770" s="15">
        <f t="shared" si="233"/>
        <v>16.399999999999956</v>
      </c>
      <c r="F770" s="16">
        <f>IF(AB770&gt;0, VLOOKUP(B770,Model!$A$40:$B$60, 2), 0)</f>
        <v>300</v>
      </c>
      <c r="G770" s="15">
        <f>IF(AB770&gt;0, VLOOKUP(B770,Model!$A$39:$C$58, 3), 0)</f>
        <v>1</v>
      </c>
      <c r="H770" s="15">
        <f t="shared" ref="H770:H833" si="234">IF(B770=1, 0, G770*97)</f>
        <v>97</v>
      </c>
      <c r="I770" s="45">
        <f>Model!$B$21*EXP((-0.029*9.81*F770)/(8.31*(273+J770)))</f>
        <v>100357.4491247143</v>
      </c>
      <c r="J770" s="15">
        <f>IF(Model!$B$31="Summer",  IF(F770&lt;=2000,  Model!$B$20-Model!$B$35*F770/1000,  IF(F770&lt;Model!$B$36,  Model!$B$33-6.5*F770/1000,  Model!$B$38)),     IF(F770&lt;=2000,  Model!$B$20-Model!$B$35*F770/1000,  IF(F770&lt;Model!$B$36,  Model!$B$33-5.4*F770/1000,   Model!$B$38)))</f>
        <v>-19.088750000000001</v>
      </c>
      <c r="K770" s="15">
        <f t="shared" si="229"/>
        <v>253.91125</v>
      </c>
      <c r="L770" s="45">
        <f>IF(AB769-AA769*(B770-B769)&gt;0, L769-Y769*(B770-B769)*3600-AD770*Model!$B$16, 0)</f>
        <v>531.9675788712226</v>
      </c>
      <c r="M770" s="56">
        <f t="shared" ref="M770:M833" si="235">IF(AB770=0, 0, N770-273)</f>
        <v>8.4330892091066403</v>
      </c>
      <c r="N770" s="56">
        <f>Model!$B$13*I770*K770/(Model!$B$13*I770-L770*287*K770)</f>
        <v>281.43308920910664</v>
      </c>
      <c r="O770" s="56">
        <f t="shared" ref="O770:O833" si="236">(K770+N770)/2</f>
        <v>267.67216960455335</v>
      </c>
      <c r="P770" s="56">
        <f t="shared" ref="P770:P833" si="237">(J770+M770)/2+W769/150</f>
        <v>-3.7514405301147482</v>
      </c>
      <c r="Q770" s="62">
        <f t="shared" si="230"/>
        <v>2.3621724041923288E-2</v>
      </c>
      <c r="R770" s="33">
        <f t="shared" si="231"/>
        <v>1.3045905638873547E-5</v>
      </c>
      <c r="S770" s="45">
        <f>0.37*Model!$B$10*(Q770^2*(N770-K770)*I770/(R770*O770^2))^0.33333*(N770-K770)</f>
        <v>145369.01633946135</v>
      </c>
      <c r="T770" s="50">
        <f>Model!$B$32+(90-Model!$B$6)*SIN(RADIANS(-15*(E770+6)))</f>
        <v>7.365047446669081</v>
      </c>
      <c r="U770" s="45">
        <f t="shared" ref="U770:U833" si="238">IF(OR(T770&lt;0, AB770=0),  0, T770)</f>
        <v>7.365047446669081</v>
      </c>
      <c r="V770" s="50">
        <f t="shared" ref="V770:V833" si="239">IF(T770&lt;0,99999,1/SIN(RADIANS(T770)))</f>
        <v>7.8008829974176397</v>
      </c>
      <c r="W770" s="45">
        <f t="shared" ref="W770:W833" si="240">IF(G770=0,0, 1353*((1+F770/7100)*0.7^V770^0.678)+F770/7100)</f>
        <v>213.83595524253934</v>
      </c>
      <c r="X770" s="45">
        <f>0.3*W770*Model!$B$9</f>
        <v>19370.25367745549</v>
      </c>
      <c r="Y770" s="33">
        <f>(S770-X770)/Model!$B$11</f>
        <v>2.7029660551754985E-3</v>
      </c>
      <c r="Z770" s="45">
        <f t="shared" ref="Z770:Z833" si="241">100*X770/S770</f>
        <v>13.324884604173599</v>
      </c>
      <c r="AA770" s="56">
        <f>Y770/Model!$B$12*3600</f>
        <v>17.500432172351594</v>
      </c>
      <c r="AB770" s="50">
        <f t="shared" si="228"/>
        <v>19.724974364860856</v>
      </c>
      <c r="AC770" s="50">
        <f t="shared" si="232"/>
        <v>1780.2750256351392</v>
      </c>
      <c r="AD770" s="15">
        <f>IF(AE770=0, Model!$B$19, 0 )</f>
        <v>0</v>
      </c>
      <c r="AE770" s="50">
        <f>IF(AE769+AB769-AB770&lt;Model!$B$19*Model!$B$18, AE769+AB769-AB770,  0)</f>
        <v>423.90959934125272</v>
      </c>
      <c r="AF770" s="15">
        <f t="shared" ref="AF770:AF833" si="242">B770</f>
        <v>38.399999999999956</v>
      </c>
      <c r="AG770" s="50">
        <f t="shared" ref="AG770:AG833" si="243">IF(OR(P770&gt;0, AB770&lt;=0),0, IF(P770&lt;-2,0.99,ABS(P770/2)))</f>
        <v>0.99</v>
      </c>
    </row>
    <row r="771" spans="2:33" x14ac:dyDescent="0.25">
      <c r="B771" s="13">
        <f t="shared" ref="B771:B834" si="244">IF(AB770&gt;0, B770+0.05, 1)</f>
        <v>38.449999999999953</v>
      </c>
      <c r="C771" s="13">
        <f>B771+Model!$B$4</f>
        <v>40.449999999999953</v>
      </c>
      <c r="D771" s="13">
        <f t="shared" ref="D771:D834" si="245">INT(C771/24+1)</f>
        <v>2</v>
      </c>
      <c r="E771" s="13">
        <f t="shared" si="233"/>
        <v>16.449999999999953</v>
      </c>
      <c r="F771" s="14">
        <f>IF(AB771&gt;0, VLOOKUP(B771,Model!$A$40:$B$60, 2), 0)</f>
        <v>300</v>
      </c>
      <c r="G771" s="13">
        <f>IF(AB771&gt;0, VLOOKUP(B771,Model!$A$39:$C$58, 3), 0)</f>
        <v>1</v>
      </c>
      <c r="H771" s="13">
        <f t="shared" si="234"/>
        <v>97</v>
      </c>
      <c r="I771" s="46">
        <f>Model!$B$21*EXP((-0.029*9.81*F771)/(8.31*(273+J771)))</f>
        <v>100357.4491247143</v>
      </c>
      <c r="J771" s="13">
        <f>IF(Model!$B$31="Summer",  IF(F771&lt;=2000,  Model!$B$20-Model!$B$35*F771/1000,  IF(F771&lt;Model!$B$36,  Model!$B$33-6.5*F771/1000,  Model!$B$38)),     IF(F771&lt;=2000,  Model!$B$20-Model!$B$35*F771/1000,  IF(F771&lt;Model!$B$36,  Model!$B$33-5.4*F771/1000,   Model!$B$38)))</f>
        <v>-19.088750000000001</v>
      </c>
      <c r="K771" s="13">
        <f t="shared" si="229"/>
        <v>253.91125</v>
      </c>
      <c r="L771" s="46">
        <f>IF(AB770-AA770*(B771-B770)&gt;0, L770-Y770*(B771-B770)*3600-AD771*Model!$B$16, 0)</f>
        <v>531.48104498129101</v>
      </c>
      <c r="M771" s="57">
        <f t="shared" si="235"/>
        <v>8.4051923346268609</v>
      </c>
      <c r="N771" s="57">
        <f>Model!$B$13*I771*K771/(Model!$B$13*I771-L771*287*K771)</f>
        <v>281.40519233462686</v>
      </c>
      <c r="O771" s="57">
        <f t="shared" si="236"/>
        <v>267.6582211673134</v>
      </c>
      <c r="P771" s="57">
        <f t="shared" si="237"/>
        <v>-3.9162057977363078</v>
      </c>
      <c r="Q771" s="63">
        <f t="shared" si="230"/>
        <v>2.3620733702879253E-2</v>
      </c>
      <c r="R771" s="17">
        <f t="shared" si="231"/>
        <v>1.3044455001400591E-5</v>
      </c>
      <c r="S771" s="46">
        <f>0.37*Model!$B$10*(Q771^2*(N771-K771)*I771/(R771*O771^2))^0.33333*(N771-K771)</f>
        <v>145178.95042856509</v>
      </c>
      <c r="T771" s="51">
        <f>Model!$B$32+(90-Model!$B$6)*SIN(RADIANS(-15*(E771+6)))</f>
        <v>6.9452999124654262</v>
      </c>
      <c r="U771" s="46">
        <f t="shared" si="238"/>
        <v>6.9452999124654262</v>
      </c>
      <c r="V771" s="51">
        <f t="shared" si="239"/>
        <v>8.2698137521891439</v>
      </c>
      <c r="W771" s="46">
        <f t="shared" si="240"/>
        <v>190.91597640455319</v>
      </c>
      <c r="X771" s="46">
        <f>0.3*W771*Model!$B$9</f>
        <v>17294.05557564355</v>
      </c>
      <c r="Y771" s="17">
        <f>(S771-X771)/Model!$B$11</f>
        <v>2.7434279706729926E-3</v>
      </c>
      <c r="Z771" s="46">
        <f t="shared" si="241"/>
        <v>11.912233505333848</v>
      </c>
      <c r="AA771" s="57">
        <f>Y771/Model!$B$12*3600</f>
        <v>17.762404018565306</v>
      </c>
      <c r="AB771" s="51">
        <f t="shared" ref="AB771:AB834" si="246">IF(AB770-AA770*(B771-B770)&gt;0, AB770-AA770*(B771-B770), 0)</f>
        <v>18.849952756243326</v>
      </c>
      <c r="AC771" s="51">
        <f t="shared" si="232"/>
        <v>1781.1500472437567</v>
      </c>
      <c r="AD771" s="13">
        <f>IF(AE771=0, Model!$B$19, 0 )</f>
        <v>0</v>
      </c>
      <c r="AE771" s="51">
        <f>IF(AE770+AB770-AB771&lt;Model!$B$19*Model!$B$18, AE770+AB770-AB771,  0)</f>
        <v>424.7846209498702</v>
      </c>
      <c r="AF771" s="13">
        <f t="shared" si="242"/>
        <v>38.449999999999953</v>
      </c>
      <c r="AG771" s="50">
        <f t="shared" si="243"/>
        <v>0.99</v>
      </c>
    </row>
    <row r="772" spans="2:33" x14ac:dyDescent="0.25">
      <c r="B772" s="15">
        <f t="shared" si="244"/>
        <v>38.49999999999995</v>
      </c>
      <c r="C772" s="15">
        <f>B772+Model!$B$4</f>
        <v>40.49999999999995</v>
      </c>
      <c r="D772" s="15">
        <f t="shared" si="245"/>
        <v>2</v>
      </c>
      <c r="E772" s="15">
        <f t="shared" si="233"/>
        <v>16.49999999999995</v>
      </c>
      <c r="F772" s="16">
        <f>IF(AB772&gt;0, VLOOKUP(B772,Model!$A$40:$B$60, 2), 0)</f>
        <v>300</v>
      </c>
      <c r="G772" s="15">
        <f>IF(AB772&gt;0, VLOOKUP(B772,Model!$A$39:$C$58, 3), 0)</f>
        <v>1</v>
      </c>
      <c r="H772" s="15">
        <f t="shared" si="234"/>
        <v>97</v>
      </c>
      <c r="I772" s="45">
        <f>Model!$B$21*EXP((-0.029*9.81*F772)/(8.31*(273+J772)))</f>
        <v>100357.4491247143</v>
      </c>
      <c r="J772" s="15">
        <f>IF(Model!$B$31="Summer",  IF(F772&lt;=2000,  Model!$B$20-Model!$B$35*F772/1000,  IF(F772&lt;Model!$B$36,  Model!$B$33-6.5*F772/1000,  Model!$B$38)),     IF(F772&lt;=2000,  Model!$B$20-Model!$B$35*F772/1000,  IF(F772&lt;Model!$B$36,  Model!$B$33-5.4*F772/1000,   Model!$B$38)))</f>
        <v>-19.088750000000001</v>
      </c>
      <c r="K772" s="15">
        <f t="shared" si="229"/>
        <v>253.91125</v>
      </c>
      <c r="L772" s="45">
        <f>IF(AB771-AA771*(B772-B771)&gt;0, L771-Y771*(B772-B771)*3600-AD772*Model!$B$16, 0)</f>
        <v>530.98722794656987</v>
      </c>
      <c r="M772" s="56">
        <f t="shared" si="235"/>
        <v>8.3768835140300553</v>
      </c>
      <c r="N772" s="56">
        <f>Model!$B$13*I772*K772/(Model!$B$13*I772-L772*287*K772)</f>
        <v>281.37688351403006</v>
      </c>
      <c r="O772" s="56">
        <f t="shared" si="236"/>
        <v>267.64406675701503</v>
      </c>
      <c r="P772" s="56">
        <f t="shared" si="237"/>
        <v>-4.0831600669546182</v>
      </c>
      <c r="Q772" s="62">
        <f t="shared" si="230"/>
        <v>2.3619728739748068E-2</v>
      </c>
      <c r="R772" s="33">
        <f t="shared" si="231"/>
        <v>1.3042982942729562E-5</v>
      </c>
      <c r="S772" s="45">
        <f>0.37*Model!$B$10*(Q772^2*(N772-K772)*I772/(R772*O772^2))^0.33333*(N772-K772)</f>
        <v>144986.12914923971</v>
      </c>
      <c r="T772" s="50">
        <f>Model!$B$32+(90-Model!$B$6)*SIN(RADIANS(-15*(E772+6)))</f>
        <v>6.5231850717942432</v>
      </c>
      <c r="U772" s="45">
        <f t="shared" si="238"/>
        <v>6.5231850717942432</v>
      </c>
      <c r="V772" s="50">
        <f t="shared" si="239"/>
        <v>8.8024093914940522</v>
      </c>
      <c r="W772" s="45">
        <f t="shared" si="240"/>
        <v>167.84963893280806</v>
      </c>
      <c r="X772" s="45">
        <f>0.3*W772*Model!$B$9</f>
        <v>15204.599629234888</v>
      </c>
      <c r="Y772" s="33">
        <f>(S772-X772)/Model!$B$11</f>
        <v>2.7841151886732773E-3</v>
      </c>
      <c r="Z772" s="45">
        <f t="shared" si="241"/>
        <v>10.486933969789771</v>
      </c>
      <c r="AA772" s="56">
        <f>Y772/Model!$B$12*3600</f>
        <v>18.025834592372281</v>
      </c>
      <c r="AB772" s="50">
        <f t="shared" si="246"/>
        <v>17.961832555315112</v>
      </c>
      <c r="AC772" s="50">
        <f t="shared" si="232"/>
        <v>1782.0381674446849</v>
      </c>
      <c r="AD772" s="15">
        <f>IF(AE772=0, Model!$B$19, 0 )</f>
        <v>0</v>
      </c>
      <c r="AE772" s="50">
        <f>IF(AE771+AB771-AB772&lt;Model!$B$19*Model!$B$18, AE771+AB771-AB772,  0)</f>
        <v>425.6727411507984</v>
      </c>
      <c r="AF772" s="15">
        <f t="shared" si="242"/>
        <v>38.49999999999995</v>
      </c>
      <c r="AG772" s="50">
        <f t="shared" si="243"/>
        <v>0.99</v>
      </c>
    </row>
    <row r="773" spans="2:33" x14ac:dyDescent="0.25">
      <c r="B773" s="13">
        <f t="shared" si="244"/>
        <v>38.549999999999947</v>
      </c>
      <c r="C773" s="13">
        <f>B773+Model!$B$4</f>
        <v>40.549999999999947</v>
      </c>
      <c r="D773" s="13">
        <f t="shared" si="245"/>
        <v>2</v>
      </c>
      <c r="E773" s="13">
        <f t="shared" si="233"/>
        <v>16.549999999999947</v>
      </c>
      <c r="F773" s="14">
        <f>IF(AB773&gt;0, VLOOKUP(B773,Model!$A$40:$B$60, 2), 0)</f>
        <v>300</v>
      </c>
      <c r="G773" s="13">
        <f>IF(AB773&gt;0, VLOOKUP(B773,Model!$A$39:$C$58, 3), 0)</f>
        <v>1</v>
      </c>
      <c r="H773" s="13">
        <f t="shared" si="234"/>
        <v>97</v>
      </c>
      <c r="I773" s="46">
        <f>Model!$B$21*EXP((-0.029*9.81*F773)/(8.31*(273+J773)))</f>
        <v>100357.4491247143</v>
      </c>
      <c r="J773" s="13">
        <f>IF(Model!$B$31="Summer",  IF(F773&lt;=2000,  Model!$B$20-Model!$B$35*F773/1000,  IF(F773&lt;Model!$B$36,  Model!$B$33-6.5*F773/1000,  Model!$B$38)),     IF(F773&lt;=2000,  Model!$B$20-Model!$B$35*F773/1000,  IF(F773&lt;Model!$B$36,  Model!$B$33-5.4*F773/1000,   Model!$B$38)))</f>
        <v>-19.088750000000001</v>
      </c>
      <c r="K773" s="13">
        <f t="shared" si="229"/>
        <v>253.91125</v>
      </c>
      <c r="L773" s="46">
        <f>IF(AB772-AA772*(B773-B772)&gt;0, L772-Y772*(B773-B772)*3600-AD773*Model!$B$16, 0)</f>
        <v>530.48608721260871</v>
      </c>
      <c r="M773" s="57">
        <f t="shared" si="235"/>
        <v>8.3481606734802085</v>
      </c>
      <c r="N773" s="57">
        <f>Model!$B$13*I773*K773/(Model!$B$13*I773-L773*287*K773)</f>
        <v>281.34816067348021</v>
      </c>
      <c r="O773" s="57">
        <f t="shared" si="236"/>
        <v>267.62970533674013</v>
      </c>
      <c r="P773" s="57">
        <f t="shared" si="237"/>
        <v>-4.251297070374509</v>
      </c>
      <c r="Q773" s="63">
        <f t="shared" si="230"/>
        <v>2.3618709078908551E-2</v>
      </c>
      <c r="R773" s="17">
        <f t="shared" si="231"/>
        <v>1.3041489355020972E-5</v>
      </c>
      <c r="S773" s="46">
        <f>0.37*Model!$B$10*(Q773^2*(N773-K773)*I773/(R773*O773^2))^0.33333*(N773-K773)</f>
        <v>144790.54069040201</v>
      </c>
      <c r="T773" s="51">
        <f>Model!$B$32+(90-Model!$B$6)*SIN(RADIANS(-15*(E773+6)))</f>
        <v>6.0987752518603973</v>
      </c>
      <c r="U773" s="46">
        <f t="shared" si="238"/>
        <v>6.0987752518603973</v>
      </c>
      <c r="V773" s="51">
        <f t="shared" si="239"/>
        <v>9.4124010766906459</v>
      </c>
      <c r="W773" s="46">
        <f t="shared" si="240"/>
        <v>144.83526183537492</v>
      </c>
      <c r="X773" s="46">
        <f>0.3*W773*Model!$B$9</f>
        <v>13119.850494786157</v>
      </c>
      <c r="Y773" s="17">
        <f>(S773-X773)/Model!$B$11</f>
        <v>2.8246420722002753E-3</v>
      </c>
      <c r="Z773" s="46">
        <f t="shared" si="241"/>
        <v>9.061262173776699</v>
      </c>
      <c r="AA773" s="57">
        <f>Y773/Model!$B$12*3600</f>
        <v>18.288227075978583</v>
      </c>
      <c r="AB773" s="51">
        <f t="shared" si="246"/>
        <v>17.060540825696549</v>
      </c>
      <c r="AC773" s="51">
        <f t="shared" si="232"/>
        <v>1782.9394591743035</v>
      </c>
      <c r="AD773" s="13">
        <f>IF(AE773=0, Model!$B$19, 0 )</f>
        <v>0</v>
      </c>
      <c r="AE773" s="51">
        <f>IF(AE772+AB772-AB773&lt;Model!$B$19*Model!$B$18, AE772+AB772-AB773,  0)</f>
        <v>426.57403288041701</v>
      </c>
      <c r="AF773" s="13">
        <f t="shared" si="242"/>
        <v>38.549999999999947</v>
      </c>
      <c r="AG773" s="50">
        <f t="shared" si="243"/>
        <v>0.99</v>
      </c>
    </row>
    <row r="774" spans="2:33" x14ac:dyDescent="0.25">
      <c r="B774" s="15">
        <f t="shared" si="244"/>
        <v>38.599999999999945</v>
      </c>
      <c r="C774" s="15">
        <f>B774+Model!$B$4</f>
        <v>40.599999999999945</v>
      </c>
      <c r="D774" s="15">
        <f t="shared" si="245"/>
        <v>2</v>
      </c>
      <c r="E774" s="15">
        <f t="shared" si="233"/>
        <v>16.599999999999945</v>
      </c>
      <c r="F774" s="16">
        <f>IF(AB774&gt;0, VLOOKUP(B774,Model!$A$40:$B$60, 2), 0)</f>
        <v>300</v>
      </c>
      <c r="G774" s="15">
        <f>IF(AB774&gt;0, VLOOKUP(B774,Model!$A$39:$C$58, 3), 0)</f>
        <v>1</v>
      </c>
      <c r="H774" s="15">
        <f t="shared" si="234"/>
        <v>97</v>
      </c>
      <c r="I774" s="45">
        <f>Model!$B$21*EXP((-0.029*9.81*F774)/(8.31*(273+J774)))</f>
        <v>100357.4491247143</v>
      </c>
      <c r="J774" s="15">
        <f>IF(Model!$B$31="Summer",  IF(F774&lt;=2000,  Model!$B$20-Model!$B$35*F774/1000,  IF(F774&lt;Model!$B$36,  Model!$B$33-6.5*F774/1000,  Model!$B$38)),     IF(F774&lt;=2000,  Model!$B$20-Model!$B$35*F774/1000,  IF(F774&lt;Model!$B$36,  Model!$B$33-5.4*F774/1000,   Model!$B$38)))</f>
        <v>-19.088750000000001</v>
      </c>
      <c r="K774" s="15">
        <f t="shared" si="229"/>
        <v>253.91125</v>
      </c>
      <c r="L774" s="45">
        <f>IF(AB773-AA773*(B774-B773)&gt;0, L773-Y773*(B774-B773)*3600-AD774*Model!$B$16, 0)</f>
        <v>529.97765163961265</v>
      </c>
      <c r="M774" s="56">
        <f t="shared" si="235"/>
        <v>8.3190257218946613</v>
      </c>
      <c r="N774" s="56">
        <f>Model!$B$13*I774*K774/(Model!$B$13*I774-L774*287*K774)</f>
        <v>281.31902572189466</v>
      </c>
      <c r="O774" s="56">
        <f t="shared" si="236"/>
        <v>267.61513786094736</v>
      </c>
      <c r="P774" s="56">
        <f t="shared" si="237"/>
        <v>-4.4192937268168375</v>
      </c>
      <c r="Q774" s="62">
        <f t="shared" si="230"/>
        <v>2.3617674788127263E-2</v>
      </c>
      <c r="R774" s="33">
        <f t="shared" si="231"/>
        <v>1.3039974337538524E-5</v>
      </c>
      <c r="S774" s="45">
        <f>0.37*Model!$B$10*(Q774^2*(N774-K774)*I774/(R774*O774^2))^0.33333*(N774-K774)</f>
        <v>144592.20040357494</v>
      </c>
      <c r="T774" s="50">
        <f>Model!$B$32+(90-Model!$B$6)*SIN(RADIANS(-15*(E774+6)))</f>
        <v>5.6721431731016683</v>
      </c>
      <c r="U774" s="45">
        <f t="shared" si="238"/>
        <v>5.6721431731016683</v>
      </c>
      <c r="V774" s="50">
        <f t="shared" si="239"/>
        <v>10.117776112015697</v>
      </c>
      <c r="W774" s="45">
        <f t="shared" si="240"/>
        <v>122.1284646855228</v>
      </c>
      <c r="X774" s="45">
        <f>0.3*W774*Model!$B$9</f>
        <v>11062.963380099183</v>
      </c>
      <c r="Y774" s="33">
        <f>(S774-X774)/Model!$B$11</f>
        <v>2.8645122176011104E-3</v>
      </c>
      <c r="Z774" s="45">
        <f t="shared" si="241"/>
        <v>7.6511480904371512</v>
      </c>
      <c r="AA774" s="56">
        <f>Y774/Model!$B$12*3600</f>
        <v>18.546367489526546</v>
      </c>
      <c r="AB774" s="50">
        <f t="shared" si="246"/>
        <v>16.146129471897673</v>
      </c>
      <c r="AC774" s="50">
        <f t="shared" si="232"/>
        <v>1783.8538705281023</v>
      </c>
      <c r="AD774" s="15">
        <f>IF(AE774=0, Model!$B$19, 0 )</f>
        <v>0</v>
      </c>
      <c r="AE774" s="50">
        <f>IF(AE773+AB773-AB774&lt;Model!$B$19*Model!$B$18, AE773+AB773-AB774,  0)</f>
        <v>427.48844423421588</v>
      </c>
      <c r="AF774" s="15">
        <f t="shared" si="242"/>
        <v>38.599999999999945</v>
      </c>
      <c r="AG774" s="50">
        <f t="shared" si="243"/>
        <v>0.99</v>
      </c>
    </row>
    <row r="775" spans="2:33" x14ac:dyDescent="0.25">
      <c r="B775" s="13">
        <f t="shared" si="244"/>
        <v>38.649999999999942</v>
      </c>
      <c r="C775" s="13">
        <f>B775+Model!$B$4</f>
        <v>40.649999999999942</v>
      </c>
      <c r="D775" s="13">
        <f t="shared" si="245"/>
        <v>2</v>
      </c>
      <c r="E775" s="13">
        <f t="shared" si="233"/>
        <v>16.649999999999942</v>
      </c>
      <c r="F775" s="14">
        <f>IF(AB775&gt;0, VLOOKUP(B775,Model!$A$40:$B$60, 2), 0)</f>
        <v>300</v>
      </c>
      <c r="G775" s="13">
        <f>IF(AB775&gt;0, VLOOKUP(B775,Model!$A$39:$C$58, 3), 0)</f>
        <v>1</v>
      </c>
      <c r="H775" s="13">
        <f t="shared" si="234"/>
        <v>97</v>
      </c>
      <c r="I775" s="46">
        <f>Model!$B$21*EXP((-0.029*9.81*F775)/(8.31*(273+J775)))</f>
        <v>100357.4491247143</v>
      </c>
      <c r="J775" s="13">
        <f>IF(Model!$B$31="Summer",  IF(F775&lt;=2000,  Model!$B$20-Model!$B$35*F775/1000,  IF(F775&lt;Model!$B$36,  Model!$B$33-6.5*F775/1000,  Model!$B$38)),     IF(F775&lt;=2000,  Model!$B$20-Model!$B$35*F775/1000,  IF(F775&lt;Model!$B$36,  Model!$B$33-5.4*F775/1000,   Model!$B$38)))</f>
        <v>-19.088750000000001</v>
      </c>
      <c r="K775" s="13">
        <f t="shared" si="229"/>
        <v>253.91125</v>
      </c>
      <c r="L775" s="46">
        <f>IF(AB774-AA774*(B775-B774)&gt;0, L774-Y774*(B775-B774)*3600-AD775*Model!$B$16, 0)</f>
        <v>529.46203944044453</v>
      </c>
      <c r="M775" s="57">
        <f t="shared" si="235"/>
        <v>8.2894856889811876</v>
      </c>
      <c r="N775" s="57">
        <f>Model!$B$13*I775*K775/(Model!$B$13*I775-L775*287*K775)</f>
        <v>281.28948568898119</v>
      </c>
      <c r="O775" s="57">
        <f t="shared" si="236"/>
        <v>267.60036784449062</v>
      </c>
      <c r="P775" s="57">
        <f t="shared" si="237"/>
        <v>-4.5854423909392548</v>
      </c>
      <c r="Q775" s="63">
        <f t="shared" si="230"/>
        <v>2.3616626116958833E-2</v>
      </c>
      <c r="R775" s="17">
        <f t="shared" si="231"/>
        <v>1.3038438255827024E-5</v>
      </c>
      <c r="S775" s="46">
        <f>0.37*Model!$B$10*(Q775^2*(N775-K775)*I775/(R775*O775^2))^0.33333*(N775-K775)</f>
        <v>144391.15850969843</v>
      </c>
      <c r="T775" s="51">
        <f>Model!$B$32+(90-Model!$B$6)*SIN(RADIANS(-15*(E775+6)))</f>
        <v>5.2433619367284123</v>
      </c>
      <c r="U775" s="46">
        <f t="shared" si="238"/>
        <v>5.2433619367284123</v>
      </c>
      <c r="V775" s="51">
        <f t="shared" si="239"/>
        <v>10.94256544864281</v>
      </c>
      <c r="W775" s="46">
        <f t="shared" si="240"/>
        <v>100.05246124026239</v>
      </c>
      <c r="X775" s="46">
        <f>0.3*W775*Model!$B$9</f>
        <v>9063.2164879824759</v>
      </c>
      <c r="Y775" s="17">
        <f>(S775-X775)/Model!$B$11</f>
        <v>2.9030986167910746E-3</v>
      </c>
      <c r="Z775" s="46">
        <f t="shared" si="241"/>
        <v>6.2768500381370096</v>
      </c>
      <c r="AA775" s="57">
        <f>Y775/Model!$B$12*3600</f>
        <v>18.796196250974091</v>
      </c>
      <c r="AB775" s="51">
        <f t="shared" si="246"/>
        <v>15.218811097421398</v>
      </c>
      <c r="AC775" s="51">
        <f t="shared" si="232"/>
        <v>1784.7811889025786</v>
      </c>
      <c r="AD775" s="13">
        <f>IF(AE775=0, Model!$B$19, 0 )</f>
        <v>0</v>
      </c>
      <c r="AE775" s="51">
        <f>IF(AE774+AB774-AB775&lt;Model!$B$19*Model!$B$18, AE774+AB774-AB775,  0)</f>
        <v>428.41576260869215</v>
      </c>
      <c r="AF775" s="13">
        <f t="shared" si="242"/>
        <v>38.649999999999942</v>
      </c>
      <c r="AG775" s="50">
        <f t="shared" si="243"/>
        <v>0.99</v>
      </c>
    </row>
    <row r="776" spans="2:33" x14ac:dyDescent="0.25">
      <c r="B776" s="15">
        <f t="shared" si="244"/>
        <v>38.699999999999939</v>
      </c>
      <c r="C776" s="15">
        <f>B776+Model!$B$4</f>
        <v>40.699999999999939</v>
      </c>
      <c r="D776" s="15">
        <f t="shared" si="245"/>
        <v>2</v>
      </c>
      <c r="E776" s="15">
        <f t="shared" si="233"/>
        <v>16.699999999999939</v>
      </c>
      <c r="F776" s="16">
        <f>IF(AB776&gt;0, VLOOKUP(B776,Model!$A$40:$B$60, 2), 0)</f>
        <v>300</v>
      </c>
      <c r="G776" s="15">
        <f>IF(AB776&gt;0, VLOOKUP(B776,Model!$A$39:$C$58, 3), 0)</f>
        <v>1</v>
      </c>
      <c r="H776" s="15">
        <f t="shared" si="234"/>
        <v>97</v>
      </c>
      <c r="I776" s="45">
        <f>Model!$B$21*EXP((-0.029*9.81*F776)/(8.31*(273+J776)))</f>
        <v>100357.4491247143</v>
      </c>
      <c r="J776" s="15">
        <f>IF(Model!$B$31="Summer",  IF(F776&lt;=2000,  Model!$B$20-Model!$B$35*F776/1000,  IF(F776&lt;Model!$B$36,  Model!$B$33-6.5*F776/1000,  Model!$B$38)),     IF(F776&lt;=2000,  Model!$B$20-Model!$B$35*F776/1000,  IF(F776&lt;Model!$B$36,  Model!$B$33-5.4*F776/1000,   Model!$B$38)))</f>
        <v>-19.088750000000001</v>
      </c>
      <c r="K776" s="15">
        <f t="shared" si="229"/>
        <v>253.91125</v>
      </c>
      <c r="L776" s="45">
        <f>IF(AB775-AA775*(B776-B775)&gt;0, L775-Y775*(B776-B775)*3600-AD776*Model!$B$16, 0)</f>
        <v>528.93948168942211</v>
      </c>
      <c r="M776" s="56">
        <f t="shared" si="235"/>
        <v>8.2595540661541804</v>
      </c>
      <c r="N776" s="56">
        <f>Model!$B$13*I776*K776/(Model!$B$13*I776-L776*287*K776)</f>
        <v>281.25955406615418</v>
      </c>
      <c r="O776" s="56">
        <f t="shared" si="236"/>
        <v>267.58540203307712</v>
      </c>
      <c r="P776" s="56">
        <f t="shared" si="237"/>
        <v>-4.7475815586544945</v>
      </c>
      <c r="Q776" s="62">
        <f t="shared" si="230"/>
        <v>2.3615563544348475E-2</v>
      </c>
      <c r="R776" s="33">
        <f t="shared" si="231"/>
        <v>1.303688181144002E-5</v>
      </c>
      <c r="S776" s="45">
        <f>0.37*Model!$B$10*(Q776^2*(N776-K776)*I776/(R776*O776^2))^0.33333*(N776-K776)</f>
        <v>144187.50917116474</v>
      </c>
      <c r="T776" s="50">
        <f>Model!$B$32+(90-Model!$B$6)*SIN(RADIANS(-15*(E776+6)))</f>
        <v>4.8125050121981978</v>
      </c>
      <c r="U776" s="45">
        <f t="shared" si="238"/>
        <v>4.8125050121981978</v>
      </c>
      <c r="V776" s="50">
        <f t="shared" si="239"/>
        <v>11.919614663116956</v>
      </c>
      <c r="W776" s="45">
        <f t="shared" si="240"/>
        <v>79.006623178652177</v>
      </c>
      <c r="X776" s="45">
        <f>0.3*W776*Model!$B$9</f>
        <v>7156.7867594288591</v>
      </c>
      <c r="Y776" s="33">
        <f>(S776-X776)/Model!$B$11</f>
        <v>2.9396272103772579E-3</v>
      </c>
      <c r="Z776" s="45">
        <f t="shared" si="241"/>
        <v>4.9635275625248854</v>
      </c>
      <c r="AA776" s="56">
        <f>Y776/Model!$B$12*3600</f>
        <v>19.032701690316316</v>
      </c>
      <c r="AB776" s="50">
        <f t="shared" si="246"/>
        <v>14.279001284872747</v>
      </c>
      <c r="AC776" s="50">
        <f t="shared" si="232"/>
        <v>1785.7209987151273</v>
      </c>
      <c r="AD776" s="15">
        <f>IF(AE776=0, Model!$B$19, 0 )</f>
        <v>0</v>
      </c>
      <c r="AE776" s="50">
        <f>IF(AE775+AB775-AB776&lt;Model!$B$19*Model!$B$18, AE775+AB775-AB776,  0)</f>
        <v>429.35557242124082</v>
      </c>
      <c r="AF776" s="15">
        <f t="shared" si="242"/>
        <v>38.699999999999939</v>
      </c>
      <c r="AG776" s="50">
        <f t="shared" si="243"/>
        <v>0.99</v>
      </c>
    </row>
    <row r="777" spans="2:33" x14ac:dyDescent="0.25">
      <c r="B777" s="13">
        <f t="shared" si="244"/>
        <v>38.749999999999936</v>
      </c>
      <c r="C777" s="13">
        <f>B777+Model!$B$4</f>
        <v>40.749999999999936</v>
      </c>
      <c r="D777" s="13">
        <f t="shared" si="245"/>
        <v>2</v>
      </c>
      <c r="E777" s="13">
        <f t="shared" si="233"/>
        <v>16.749999999999936</v>
      </c>
      <c r="F777" s="14">
        <f>IF(AB777&gt;0, VLOOKUP(B777,Model!$A$40:$B$60, 2), 0)</f>
        <v>300</v>
      </c>
      <c r="G777" s="13">
        <f>IF(AB777&gt;0, VLOOKUP(B777,Model!$A$39:$C$58, 3), 0)</f>
        <v>1</v>
      </c>
      <c r="H777" s="13">
        <f t="shared" si="234"/>
        <v>97</v>
      </c>
      <c r="I777" s="46">
        <f>Model!$B$21*EXP((-0.029*9.81*F777)/(8.31*(273+J777)))</f>
        <v>100357.4491247143</v>
      </c>
      <c r="J777" s="13">
        <f>IF(Model!$B$31="Summer",  IF(F777&lt;=2000,  Model!$B$20-Model!$B$35*F777/1000,  IF(F777&lt;Model!$B$36,  Model!$B$33-6.5*F777/1000,  Model!$B$38)),     IF(F777&lt;=2000,  Model!$B$20-Model!$B$35*F777/1000,  IF(F777&lt;Model!$B$36,  Model!$B$33-5.4*F777/1000,   Model!$B$38)))</f>
        <v>-19.088750000000001</v>
      </c>
      <c r="K777" s="13">
        <f t="shared" si="229"/>
        <v>253.91125</v>
      </c>
      <c r="L777" s="46">
        <f>IF(AB776-AA776*(B777-B776)&gt;0, L776-Y776*(B777-B776)*3600-AD777*Model!$B$16, 0)</f>
        <v>528.41034879155427</v>
      </c>
      <c r="M777" s="57">
        <f t="shared" si="235"/>
        <v>8.2292523150163674</v>
      </c>
      <c r="N777" s="57">
        <f>Model!$B$13*I777*K777/(Model!$B$13*I777-L777*287*K777)</f>
        <v>281.22925231501637</v>
      </c>
      <c r="O777" s="57">
        <f t="shared" si="236"/>
        <v>267.57025115750821</v>
      </c>
      <c r="P777" s="57">
        <f t="shared" si="237"/>
        <v>-4.9030380213008025</v>
      </c>
      <c r="Q777" s="63">
        <f t="shared" si="230"/>
        <v>2.3614487832183083E-2</v>
      </c>
      <c r="R777" s="17">
        <f t="shared" si="231"/>
        <v>1.3035306120380853E-5</v>
      </c>
      <c r="S777" s="46">
        <f>0.37*Model!$B$10*(Q777^2*(N777-K777)*I777/(R777*O777^2))^0.33333*(N777-K777)</f>
        <v>143981.40068553336</v>
      </c>
      <c r="T777" s="51">
        <f>Model!$B$32+(90-Model!$B$6)*SIN(RADIANS(-15*(E777+6)))</f>
        <v>4.3796462246269012</v>
      </c>
      <c r="U777" s="46">
        <f t="shared" si="238"/>
        <v>4.3796462246269012</v>
      </c>
      <c r="V777" s="51">
        <f t="shared" si="239"/>
        <v>13.095033428065754</v>
      </c>
      <c r="W777" s="46">
        <f t="shared" si="240"/>
        <v>59.469354725836553</v>
      </c>
      <c r="X777" s="46">
        <f>0.3*W777*Model!$B$9</f>
        <v>5387.0102704078863</v>
      </c>
      <c r="Y777" s="17">
        <f>(S777-X777)/Model!$B$11</f>
        <v>2.9731715202215053E-3</v>
      </c>
      <c r="Z777" s="46">
        <f t="shared" si="241"/>
        <v>3.7414626088917822</v>
      </c>
      <c r="AA777" s="57">
        <f>Y777/Model!$B$12*3600</f>
        <v>19.249885297958581</v>
      </c>
      <c r="AB777" s="51">
        <f t="shared" si="246"/>
        <v>13.327366200356986</v>
      </c>
      <c r="AC777" s="51">
        <f t="shared" si="232"/>
        <v>1786.6726337996431</v>
      </c>
      <c r="AD777" s="13">
        <f>IF(AE777=0, Model!$B$19, 0 )</f>
        <v>0</v>
      </c>
      <c r="AE777" s="51">
        <f>IF(AE776+AB776-AB777&lt;Model!$B$19*Model!$B$18, AE776+AB776-AB777,  0)</f>
        <v>430.30720750575654</v>
      </c>
      <c r="AF777" s="13">
        <f t="shared" si="242"/>
        <v>38.749999999999936</v>
      </c>
      <c r="AG777" s="50">
        <f t="shared" si="243"/>
        <v>0.99</v>
      </c>
    </row>
    <row r="778" spans="2:33" x14ac:dyDescent="0.25">
      <c r="B778" s="15">
        <f t="shared" si="244"/>
        <v>38.799999999999933</v>
      </c>
      <c r="C778" s="15">
        <f>B778+Model!$B$4</f>
        <v>40.799999999999933</v>
      </c>
      <c r="D778" s="15">
        <f t="shared" si="245"/>
        <v>2</v>
      </c>
      <c r="E778" s="15">
        <f t="shared" si="233"/>
        <v>16.799999999999933</v>
      </c>
      <c r="F778" s="16">
        <f>IF(AB778&gt;0, VLOOKUP(B778,Model!$A$40:$B$60, 2), 0)</f>
        <v>300</v>
      </c>
      <c r="G778" s="15">
        <f>IF(AB778&gt;0, VLOOKUP(B778,Model!$A$39:$C$58, 3), 0)</f>
        <v>1</v>
      </c>
      <c r="H778" s="15">
        <f t="shared" si="234"/>
        <v>97</v>
      </c>
      <c r="I778" s="45">
        <f>Model!$B$21*EXP((-0.029*9.81*F778)/(8.31*(273+J778)))</f>
        <v>100357.4491247143</v>
      </c>
      <c r="J778" s="15">
        <f>IF(Model!$B$31="Summer",  IF(F778&lt;=2000,  Model!$B$20-Model!$B$35*F778/1000,  IF(F778&lt;Model!$B$36,  Model!$B$33-6.5*F778/1000,  Model!$B$38)),     IF(F778&lt;=2000,  Model!$B$20-Model!$B$35*F778/1000,  IF(F778&lt;Model!$B$36,  Model!$B$33-5.4*F778/1000,   Model!$B$38)))</f>
        <v>-19.088750000000001</v>
      </c>
      <c r="K778" s="15">
        <f t="shared" si="229"/>
        <v>253.91125</v>
      </c>
      <c r="L778" s="45">
        <f>IF(AB777-AA777*(B778-B777)&gt;0, L777-Y777*(B778-B777)*3600-AD778*Model!$B$16, 0)</f>
        <v>527.87517791791447</v>
      </c>
      <c r="M778" s="56">
        <f t="shared" si="235"/>
        <v>8.1986114289215948</v>
      </c>
      <c r="N778" s="56">
        <f>Model!$B$13*I778*K778/(Model!$B$13*I778-L778*287*K778)</f>
        <v>281.19861142892159</v>
      </c>
      <c r="O778" s="56">
        <f t="shared" si="236"/>
        <v>267.5549307144608</v>
      </c>
      <c r="P778" s="56">
        <f t="shared" si="237"/>
        <v>-5.0486069207002924</v>
      </c>
      <c r="Q778" s="62">
        <f t="shared" si="230"/>
        <v>2.3613400080726717E-2</v>
      </c>
      <c r="R778" s="33">
        <f t="shared" si="231"/>
        <v>1.3033712794303921E-5</v>
      </c>
      <c r="S778" s="45">
        <f>0.37*Model!$B$10*(Q778^2*(N778-K778)*I778/(R778*O778^2))^0.33333*(N778-K778)</f>
        <v>143773.04601965615</v>
      </c>
      <c r="T778" s="50">
        <f>Model!$B$32+(90-Model!$B$6)*SIN(RADIANS(-15*(E778+6)))</f>
        <v>3.9448597421394354</v>
      </c>
      <c r="U778" s="45">
        <f t="shared" si="238"/>
        <v>3.9448597421394354</v>
      </c>
      <c r="V778" s="50">
        <f t="shared" si="239"/>
        <v>14.53564286052222</v>
      </c>
      <c r="W778" s="45">
        <f t="shared" si="240"/>
        <v>41.987877567322911</v>
      </c>
      <c r="X778" s="45">
        <f>0.3*W778*Model!$B$9</f>
        <v>3803.4569019718861</v>
      </c>
      <c r="Y778" s="33">
        <f>(S778-X778)/Model!$B$11</f>
        <v>3.0026727258969056E-3</v>
      </c>
      <c r="Z778" s="45">
        <f t="shared" si="241"/>
        <v>2.6454589419020103</v>
      </c>
      <c r="AA778" s="56">
        <f>Y778/Model!$B$12*3600</f>
        <v>19.44089171031673</v>
      </c>
      <c r="AB778" s="50">
        <f t="shared" si="246"/>
        <v>12.364871935459112</v>
      </c>
      <c r="AC778" s="50">
        <f t="shared" si="232"/>
        <v>1787.6351280645408</v>
      </c>
      <c r="AD778" s="15">
        <f>IF(AE778=0, Model!$B$19, 0 )</f>
        <v>0</v>
      </c>
      <c r="AE778" s="50">
        <f>IF(AE777+AB777-AB778&lt;Model!$B$19*Model!$B$18, AE777+AB777-AB778,  0)</f>
        <v>431.26970177065442</v>
      </c>
      <c r="AF778" s="15">
        <f t="shared" si="242"/>
        <v>38.799999999999933</v>
      </c>
      <c r="AG778" s="50">
        <f t="shared" si="243"/>
        <v>0.99</v>
      </c>
    </row>
    <row r="779" spans="2:33" x14ac:dyDescent="0.25">
      <c r="B779" s="13">
        <f t="shared" si="244"/>
        <v>38.84999999999993</v>
      </c>
      <c r="C779" s="13">
        <f>B779+Model!$B$4</f>
        <v>40.84999999999993</v>
      </c>
      <c r="D779" s="13">
        <f t="shared" si="245"/>
        <v>2</v>
      </c>
      <c r="E779" s="13">
        <f t="shared" si="233"/>
        <v>16.84999999999993</v>
      </c>
      <c r="F779" s="14">
        <f>IF(AB779&gt;0, VLOOKUP(B779,Model!$A$40:$B$60, 2), 0)</f>
        <v>300</v>
      </c>
      <c r="G779" s="13">
        <f>IF(AB779&gt;0, VLOOKUP(B779,Model!$A$39:$C$58, 3), 0)</f>
        <v>1</v>
      </c>
      <c r="H779" s="13">
        <f t="shared" si="234"/>
        <v>97</v>
      </c>
      <c r="I779" s="46">
        <f>Model!$B$21*EXP((-0.029*9.81*F779)/(8.31*(273+J779)))</f>
        <v>100357.4491247143</v>
      </c>
      <c r="J779" s="13">
        <f>IF(Model!$B$31="Summer",  IF(F779&lt;=2000,  Model!$B$20-Model!$B$35*F779/1000,  IF(F779&lt;Model!$B$36,  Model!$B$33-6.5*F779/1000,  Model!$B$38)),     IF(F779&lt;=2000,  Model!$B$20-Model!$B$35*F779/1000,  IF(F779&lt;Model!$B$36,  Model!$B$33-5.4*F779/1000,   Model!$B$38)))</f>
        <v>-19.088750000000001</v>
      </c>
      <c r="K779" s="13">
        <f t="shared" si="229"/>
        <v>253.91125</v>
      </c>
      <c r="L779" s="46">
        <f>IF(AB778-AA778*(B779-B778)&gt;0, L778-Y778*(B779-B778)*3600-AD779*Model!$B$16, 0)</f>
        <v>527.33469682725308</v>
      </c>
      <c r="M779" s="57">
        <f t="shared" si="235"/>
        <v>8.1676732853666181</v>
      </c>
      <c r="N779" s="57">
        <f>Model!$B$13*I779*K779/(Model!$B$13*I779-L779*287*K779)</f>
        <v>281.16767328536662</v>
      </c>
      <c r="O779" s="57">
        <f t="shared" si="236"/>
        <v>267.53946164268331</v>
      </c>
      <c r="P779" s="57">
        <f t="shared" si="237"/>
        <v>-5.1806191735345388</v>
      </c>
      <c r="Q779" s="63">
        <f t="shared" si="230"/>
        <v>2.3612301776630516E-2</v>
      </c>
      <c r="R779" s="17">
        <f t="shared" si="231"/>
        <v>1.3032104010839063E-5</v>
      </c>
      <c r="S779" s="46">
        <f>0.37*Model!$B$10*(Q779^2*(N779-K779)*I779/(R779*O779^2))^0.33333*(N779-K779)</f>
        <v>143562.73190054399</v>
      </c>
      <c r="T779" s="51">
        <f>Model!$B$32+(90-Model!$B$6)*SIN(RADIANS(-15*(E779+6)))</f>
        <v>3.508220063161259</v>
      </c>
      <c r="U779" s="46">
        <f t="shared" si="238"/>
        <v>3.508220063161259</v>
      </c>
      <c r="V779" s="51">
        <f t="shared" si="239"/>
        <v>16.342075333632884</v>
      </c>
      <c r="W779" s="46">
        <f t="shared" si="240"/>
        <v>27.142219583763918</v>
      </c>
      <c r="X779" s="46">
        <f>0.3*W779*Model!$B$9</f>
        <v>2458.66827265033</v>
      </c>
      <c r="Y779" s="17">
        <f>(S779-X779)/Model!$B$11</f>
        <v>3.0270098386333509E-3</v>
      </c>
      <c r="Z779" s="46">
        <f t="shared" si="241"/>
        <v>1.712609003814181</v>
      </c>
      <c r="AA779" s="57">
        <f>Y779/Model!$B$12*3600</f>
        <v>19.598463053064275</v>
      </c>
      <c r="AB779" s="51">
        <f t="shared" si="246"/>
        <v>11.39282734994333</v>
      </c>
      <c r="AC779" s="51">
        <f t="shared" si="232"/>
        <v>1788.6071726500568</v>
      </c>
      <c r="AD779" s="13">
        <f>IF(AE779=0, Model!$B$19, 0 )</f>
        <v>0</v>
      </c>
      <c r="AE779" s="51">
        <f>IF(AE778+AB778-AB779&lt;Model!$B$19*Model!$B$18, AE778+AB778-AB779,  0)</f>
        <v>432.24174635617021</v>
      </c>
      <c r="AF779" s="13">
        <f t="shared" si="242"/>
        <v>38.84999999999993</v>
      </c>
      <c r="AG779" s="50">
        <f t="shared" si="243"/>
        <v>0.99</v>
      </c>
    </row>
    <row r="780" spans="2:33" x14ac:dyDescent="0.25">
      <c r="B780" s="15">
        <f t="shared" si="244"/>
        <v>38.899999999999928</v>
      </c>
      <c r="C780" s="15">
        <f>B780+Model!$B$4</f>
        <v>40.899999999999928</v>
      </c>
      <c r="D780" s="15">
        <f t="shared" si="245"/>
        <v>2</v>
      </c>
      <c r="E780" s="15">
        <f t="shared" si="233"/>
        <v>16.899999999999928</v>
      </c>
      <c r="F780" s="16">
        <f>IF(AB780&gt;0, VLOOKUP(B780,Model!$A$40:$B$60, 2), 0)</f>
        <v>300</v>
      </c>
      <c r="G780" s="15">
        <f>IF(AB780&gt;0, VLOOKUP(B780,Model!$A$39:$C$58, 3), 0)</f>
        <v>1</v>
      </c>
      <c r="H780" s="15">
        <f t="shared" si="234"/>
        <v>97</v>
      </c>
      <c r="I780" s="45">
        <f>Model!$B$21*EXP((-0.029*9.81*F780)/(8.31*(273+J780)))</f>
        <v>100357.4491247143</v>
      </c>
      <c r="J780" s="15">
        <f>IF(Model!$B$31="Summer",  IF(F780&lt;=2000,  Model!$B$20-Model!$B$35*F780/1000,  IF(F780&lt;Model!$B$36,  Model!$B$33-6.5*F780/1000,  Model!$B$38)),     IF(F780&lt;=2000,  Model!$B$20-Model!$B$35*F780/1000,  IF(F780&lt;Model!$B$36,  Model!$B$33-5.4*F780/1000,   Model!$B$38)))</f>
        <v>-19.088750000000001</v>
      </c>
      <c r="K780" s="15">
        <f t="shared" si="229"/>
        <v>253.91125</v>
      </c>
      <c r="L780" s="45">
        <f>IF(AB779-AA779*(B780-B779)&gt;0, L779-Y779*(B780-B779)*3600-AD780*Model!$B$16, 0)</f>
        <v>526.78983505629913</v>
      </c>
      <c r="M780" s="56">
        <f t="shared" si="235"/>
        <v>8.13649127352204</v>
      </c>
      <c r="N780" s="56">
        <f>Model!$B$13*I780*K780/(Model!$B$13*I780-L780*287*K780)</f>
        <v>281.13649127352204</v>
      </c>
      <c r="O780" s="56">
        <f t="shared" si="236"/>
        <v>267.52387063676099</v>
      </c>
      <c r="P780" s="56">
        <f t="shared" si="237"/>
        <v>-5.2951812326805543</v>
      </c>
      <c r="Q780" s="62">
        <f t="shared" si="230"/>
        <v>2.361119481521003E-2</v>
      </c>
      <c r="R780" s="33">
        <f t="shared" si="231"/>
        <v>1.3030482546223142E-5</v>
      </c>
      <c r="S780" s="45">
        <f>0.37*Model!$B$10*(Q780^2*(N780-K780)*I780/(R780*O780^2))^0.33333*(N780-K780)</f>
        <v>143350.82296181671</v>
      </c>
      <c r="T780" s="50">
        <f>Model!$B$32+(90-Model!$B$6)*SIN(RADIANS(-15*(E780+6)))</f>
        <v>3.0698020036535976</v>
      </c>
      <c r="U780" s="45">
        <f t="shared" si="238"/>
        <v>3.0698020036535976</v>
      </c>
      <c r="V780" s="50">
        <f t="shared" si="239"/>
        <v>18.673256781632038</v>
      </c>
      <c r="W780" s="45">
        <f t="shared" si="240"/>
        <v>15.464223199186449</v>
      </c>
      <c r="X780" s="45">
        <f>0.3*W780*Model!$B$9</f>
        <v>1400.8211385839186</v>
      </c>
      <c r="Y780" s="33">
        <f>(S780-X780)/Model!$B$11</f>
        <v>3.0451571773727941E-3</v>
      </c>
      <c r="Z780" s="45">
        <f t="shared" si="241"/>
        <v>0.97719783510210112</v>
      </c>
      <c r="AA780" s="56">
        <f>Y780/Model!$B$12*3600</f>
        <v>19.715958524422568</v>
      </c>
      <c r="AB780" s="50">
        <f t="shared" si="246"/>
        <v>10.412904197290171</v>
      </c>
      <c r="AC780" s="50">
        <f t="shared" si="232"/>
        <v>1789.5870958027099</v>
      </c>
      <c r="AD780" s="15">
        <f>IF(AE780=0, Model!$B$19, 0 )</f>
        <v>0</v>
      </c>
      <c r="AE780" s="50">
        <f>IF(AE779+AB779-AB780&lt;Model!$B$19*Model!$B$18, AE779+AB779-AB780,  0)</f>
        <v>433.22166950882337</v>
      </c>
      <c r="AF780" s="15">
        <f t="shared" si="242"/>
        <v>38.899999999999928</v>
      </c>
      <c r="AG780" s="50">
        <f t="shared" si="243"/>
        <v>0.99</v>
      </c>
    </row>
    <row r="781" spans="2:33" x14ac:dyDescent="0.25">
      <c r="B781" s="13">
        <f t="shared" si="244"/>
        <v>38.949999999999925</v>
      </c>
      <c r="C781" s="13">
        <f>B781+Model!$B$4</f>
        <v>40.949999999999925</v>
      </c>
      <c r="D781" s="13">
        <f t="shared" si="245"/>
        <v>2</v>
      </c>
      <c r="E781" s="13">
        <f t="shared" si="233"/>
        <v>16.949999999999925</v>
      </c>
      <c r="F781" s="14">
        <f>IF(AB781&gt;0, VLOOKUP(B781,Model!$A$40:$B$60, 2), 0)</f>
        <v>300</v>
      </c>
      <c r="G781" s="13">
        <f>IF(AB781&gt;0, VLOOKUP(B781,Model!$A$39:$C$58, 3), 0)</f>
        <v>1</v>
      </c>
      <c r="H781" s="13">
        <f t="shared" si="234"/>
        <v>97</v>
      </c>
      <c r="I781" s="46">
        <f>Model!$B$21*EXP((-0.029*9.81*F781)/(8.31*(273+J781)))</f>
        <v>100357.4491247143</v>
      </c>
      <c r="J781" s="13">
        <f>IF(Model!$B$31="Summer",  IF(F781&lt;=2000,  Model!$B$20-Model!$B$35*F781/1000,  IF(F781&lt;Model!$B$36,  Model!$B$33-6.5*F781/1000,  Model!$B$38)),     IF(F781&lt;=2000,  Model!$B$20-Model!$B$35*F781/1000,  IF(F781&lt;Model!$B$36,  Model!$B$33-5.4*F781/1000,   Model!$B$38)))</f>
        <v>-19.088750000000001</v>
      </c>
      <c r="K781" s="13">
        <f t="shared" si="229"/>
        <v>253.91125</v>
      </c>
      <c r="L781" s="46">
        <f>IF(AB780-AA780*(B781-B780)&gt;0, L780-Y780*(B781-B780)*3600-AD781*Model!$B$16, 0)</f>
        <v>526.241706764372</v>
      </c>
      <c r="M781" s="57">
        <f t="shared" si="235"/>
        <v>8.1051292990706543</v>
      </c>
      <c r="N781" s="57">
        <f>Model!$B$13*I781*K781/(Model!$B$13*I781-L781*287*K781)</f>
        <v>281.10512929907065</v>
      </c>
      <c r="O781" s="57">
        <f t="shared" si="236"/>
        <v>267.50818964953532</v>
      </c>
      <c r="P781" s="57">
        <f t="shared" si="237"/>
        <v>-5.3887155291367641</v>
      </c>
      <c r="Q781" s="63">
        <f t="shared" si="230"/>
        <v>2.3610081465117009E-2</v>
      </c>
      <c r="R781" s="17">
        <f t="shared" si="231"/>
        <v>1.3028851723551672E-5</v>
      </c>
      <c r="S781" s="46">
        <f>0.37*Model!$B$10*(Q781^2*(N781-K781)*I781/(R781*O781^2))^0.33333*(N781-K781)</f>
        <v>143137.75485774968</v>
      </c>
      <c r="T781" s="51">
        <f>Model!$B$32+(90-Model!$B$6)*SIN(RADIANS(-15*(E781+6)))</f>
        <v>2.629680684293934</v>
      </c>
      <c r="U781" s="46">
        <f t="shared" si="238"/>
        <v>2.629680684293934</v>
      </c>
      <c r="V781" s="51">
        <f t="shared" si="239"/>
        <v>21.795764162967313</v>
      </c>
      <c r="W781" s="46">
        <f t="shared" si="240"/>
        <v>7.2900017885686115</v>
      </c>
      <c r="X781" s="46">
        <f>0.3*W781*Model!$B$9</f>
        <v>660.36220987024581</v>
      </c>
      <c r="Y781" s="17">
        <f>(S781-X781)/Model!$B$11</f>
        <v>3.0564709352757574E-3</v>
      </c>
      <c r="Z781" s="46">
        <f t="shared" si="241"/>
        <v>0.46134732972898307</v>
      </c>
      <c r="AA781" s="57">
        <f>Y781/Model!$B$12*3600</f>
        <v>19.789209778324224</v>
      </c>
      <c r="AB781" s="51">
        <f t="shared" si="246"/>
        <v>9.427106271069098</v>
      </c>
      <c r="AC781" s="51">
        <f t="shared" si="232"/>
        <v>1790.5728937289309</v>
      </c>
      <c r="AD781" s="13">
        <f>IF(AE781=0, Model!$B$19, 0 )</f>
        <v>0</v>
      </c>
      <c r="AE781" s="51">
        <f>IF(AE780+AB780-AB781&lt;Model!$B$19*Model!$B$18, AE780+AB780-AB781,  0)</f>
        <v>434.20746743504446</v>
      </c>
      <c r="AF781" s="13">
        <f t="shared" si="242"/>
        <v>38.949999999999925</v>
      </c>
      <c r="AG781" s="50">
        <f t="shared" si="243"/>
        <v>0.99</v>
      </c>
    </row>
    <row r="782" spans="2:33" x14ac:dyDescent="0.25">
      <c r="B782" s="15">
        <f t="shared" si="244"/>
        <v>38.999999999999922</v>
      </c>
      <c r="C782" s="15">
        <f>B782+Model!$B$4</f>
        <v>40.999999999999922</v>
      </c>
      <c r="D782" s="15">
        <f t="shared" si="245"/>
        <v>2</v>
      </c>
      <c r="E782" s="15">
        <f t="shared" si="233"/>
        <v>16.999999999999922</v>
      </c>
      <c r="F782" s="16">
        <f>IF(AB782&gt;0, VLOOKUP(B782,Model!$A$40:$B$60, 2), 0)</f>
        <v>300</v>
      </c>
      <c r="G782" s="15">
        <f>IF(AB782&gt;0, VLOOKUP(B782,Model!$A$39:$C$58, 3), 0)</f>
        <v>1</v>
      </c>
      <c r="H782" s="15">
        <f t="shared" si="234"/>
        <v>97</v>
      </c>
      <c r="I782" s="45">
        <f>Model!$B$21*EXP((-0.029*9.81*F782)/(8.31*(273+J782)))</f>
        <v>100357.4491247143</v>
      </c>
      <c r="J782" s="15">
        <f>IF(Model!$B$31="Summer",  IF(F782&lt;=2000,  Model!$B$20-Model!$B$35*F782/1000,  IF(F782&lt;Model!$B$36,  Model!$B$33-6.5*F782/1000,  Model!$B$38)),     IF(F782&lt;=2000,  Model!$B$20-Model!$B$35*F782/1000,  IF(F782&lt;Model!$B$36,  Model!$B$33-5.4*F782/1000,   Model!$B$38)))</f>
        <v>-19.088750000000001</v>
      </c>
      <c r="K782" s="15">
        <f t="shared" si="229"/>
        <v>253.91125</v>
      </c>
      <c r="L782" s="45">
        <f>IF(AB781-AA781*(B782-B781)&gt;0, L781-Y781*(B782-B781)*3600-AD782*Model!$B$16, 0)</f>
        <v>525.69154199602235</v>
      </c>
      <c r="M782" s="56">
        <f t="shared" si="235"/>
        <v>8.0736578399751124</v>
      </c>
      <c r="N782" s="56">
        <f>Model!$B$13*I782*K782/(Model!$B$13*I782-L782*287*K782)</f>
        <v>281.07365783997511</v>
      </c>
      <c r="O782" s="56">
        <f t="shared" si="236"/>
        <v>267.49245391998755</v>
      </c>
      <c r="P782" s="56">
        <f t="shared" si="237"/>
        <v>-5.4589460680886539</v>
      </c>
      <c r="Q782" s="62">
        <f t="shared" si="230"/>
        <v>2.3608964228319117E-2</v>
      </c>
      <c r="R782" s="33">
        <f t="shared" si="231"/>
        <v>1.3027215207678703E-5</v>
      </c>
      <c r="S782" s="45">
        <f>0.37*Model!$B$10*(Q782^2*(N782-K782)*I782/(R782*O782^2))^0.33333*(N782-K782)</f>
        <v>142924.00736228045</v>
      </c>
      <c r="T782" s="50">
        <f>Model!$B$32+(90-Model!$B$6)*SIN(RADIANS(-15*(E782+6)))</f>
        <v>2.1879315176046212</v>
      </c>
      <c r="U782" s="45">
        <f t="shared" si="238"/>
        <v>2.1879315176046212</v>
      </c>
      <c r="V782" s="50">
        <f t="shared" si="239"/>
        <v>26.193556045421161</v>
      </c>
      <c r="W782" s="45">
        <f t="shared" si="240"/>
        <v>2.5445080159881548</v>
      </c>
      <c r="X782" s="45">
        <f>0.3*W782*Model!$B$9</f>
        <v>230.49335037274636</v>
      </c>
      <c r="Y782" s="33">
        <f>(S782-X782)/Model!$B$11</f>
        <v>3.061107240414195E-3</v>
      </c>
      <c r="Z782" s="45">
        <f t="shared" si="241"/>
        <v>0.16126986265400267</v>
      </c>
      <c r="AA782" s="56">
        <f>Y782/Model!$B$12*3600</f>
        <v>19.819227670502407</v>
      </c>
      <c r="AB782" s="50">
        <f t="shared" si="246"/>
        <v>8.4376457821529431</v>
      </c>
      <c r="AC782" s="50">
        <f t="shared" si="232"/>
        <v>1791.5623542178471</v>
      </c>
      <c r="AD782" s="15">
        <f>IF(AE782=0, Model!$B$19, 0 )</f>
        <v>0</v>
      </c>
      <c r="AE782" s="50">
        <f>IF(AE781+AB781-AB782&lt;Model!$B$19*Model!$B$18, AE781+AB781-AB782,  0)</f>
        <v>435.19692792396057</v>
      </c>
      <c r="AF782" s="15">
        <f t="shared" si="242"/>
        <v>38.999999999999922</v>
      </c>
      <c r="AG782" s="50">
        <f t="shared" si="243"/>
        <v>0.99</v>
      </c>
    </row>
    <row r="783" spans="2:33" x14ac:dyDescent="0.25">
      <c r="B783" s="13">
        <f t="shared" si="244"/>
        <v>39.049999999999919</v>
      </c>
      <c r="C783" s="13">
        <f>B783+Model!$B$4</f>
        <v>41.049999999999919</v>
      </c>
      <c r="D783" s="13">
        <f t="shared" si="245"/>
        <v>2</v>
      </c>
      <c r="E783" s="13">
        <f t="shared" si="233"/>
        <v>17.049999999999919</v>
      </c>
      <c r="F783" s="14">
        <f>IF(AB783&gt;0, VLOOKUP(B783,Model!$A$40:$B$60, 2), 0)</f>
        <v>300</v>
      </c>
      <c r="G783" s="13">
        <f>IF(AB783&gt;0, VLOOKUP(B783,Model!$A$39:$C$58, 3), 0)</f>
        <v>1</v>
      </c>
      <c r="H783" s="13">
        <f t="shared" si="234"/>
        <v>97</v>
      </c>
      <c r="I783" s="46">
        <f>Model!$B$21*EXP((-0.029*9.81*F783)/(8.31*(273+J783)))</f>
        <v>100357.4491247143</v>
      </c>
      <c r="J783" s="13">
        <f>IF(Model!$B$31="Summer",  IF(F783&lt;=2000,  Model!$B$20-Model!$B$35*F783/1000,  IF(F783&lt;Model!$B$36,  Model!$B$33-6.5*F783/1000,  Model!$B$38)),     IF(F783&lt;=2000,  Model!$B$20-Model!$B$35*F783/1000,  IF(F783&lt;Model!$B$36,  Model!$B$33-5.4*F783/1000,   Model!$B$38)))</f>
        <v>-19.088750000000001</v>
      </c>
      <c r="K783" s="13">
        <f t="shared" si="229"/>
        <v>253.91125</v>
      </c>
      <c r="L783" s="46">
        <f>IF(AB782-AA782*(B783-B782)&gt;0, L782-Y782*(B783-B782)*3600-AD783*Model!$B$16, 0)</f>
        <v>525.14054269274777</v>
      </c>
      <c r="M783" s="57">
        <f t="shared" si="235"/>
        <v>8.0421457044953968</v>
      </c>
      <c r="N783" s="57">
        <f>Model!$B$13*I783*K783/(Model!$B$13*I783-L783*287*K783)</f>
        <v>281.0421457044954</v>
      </c>
      <c r="O783" s="57">
        <f t="shared" si="236"/>
        <v>267.4766978522477</v>
      </c>
      <c r="P783" s="57">
        <f t="shared" si="237"/>
        <v>-5.5063387609790482</v>
      </c>
      <c r="Q783" s="63">
        <f t="shared" si="230"/>
        <v>2.3607845547509589E-2</v>
      </c>
      <c r="R783" s="17">
        <f t="shared" si="231"/>
        <v>1.3025576576633759E-5</v>
      </c>
      <c r="S783" s="46">
        <f>0.37*Model!$B$10*(Q783^2*(N783-K783)*I783/(R783*O783^2))^0.33333*(N783-K783)</f>
        <v>142710.04834141329</v>
      </c>
      <c r="T783" s="51">
        <f>Model!$B$32+(90-Model!$B$6)*SIN(RADIANS(-15*(E783+6)))</f>
        <v>1.7446301950311511</v>
      </c>
      <c r="U783" s="46">
        <f t="shared" si="238"/>
        <v>1.7446301950311511</v>
      </c>
      <c r="V783" s="51">
        <f t="shared" si="239"/>
        <v>32.846292869929833</v>
      </c>
      <c r="W783" s="46">
        <f t="shared" si="240"/>
        <v>0.54302268713953161</v>
      </c>
      <c r="X783" s="46">
        <f>0.3*W783*Model!$B$9</f>
        <v>49.189516283993875</v>
      </c>
      <c r="Y783" s="17">
        <f>(S783-X783)/Model!$B$11</f>
        <v>3.06040671082547E-3</v>
      </c>
      <c r="Z783" s="46">
        <f t="shared" si="241"/>
        <v>3.4468151931611027E-2</v>
      </c>
      <c r="AA783" s="57">
        <f>Y783/Model!$B$12*3600</f>
        <v>19.814692071348759</v>
      </c>
      <c r="AB783" s="51">
        <f t="shared" si="246"/>
        <v>7.4466843986278795</v>
      </c>
      <c r="AC783" s="51">
        <f t="shared" si="232"/>
        <v>1792.5533156013721</v>
      </c>
      <c r="AD783" s="13">
        <f>IF(AE783=0, Model!$B$19, 0 )</f>
        <v>0</v>
      </c>
      <c r="AE783" s="51">
        <f>IF(AE782+AB782-AB783&lt;Model!$B$19*Model!$B$18, AE782+AB782-AB783,  0)</f>
        <v>436.18788930748565</v>
      </c>
      <c r="AF783" s="13">
        <f t="shared" si="242"/>
        <v>39.049999999999919</v>
      </c>
      <c r="AG783" s="50">
        <f t="shared" si="243"/>
        <v>0.99</v>
      </c>
    </row>
    <row r="784" spans="2:33" x14ac:dyDescent="0.25">
      <c r="B784" s="15">
        <f t="shared" si="244"/>
        <v>39.099999999999916</v>
      </c>
      <c r="C784" s="15">
        <f>B784+Model!$B$4</f>
        <v>41.099999999999916</v>
      </c>
      <c r="D784" s="15">
        <f t="shared" si="245"/>
        <v>2</v>
      </c>
      <c r="E784" s="15">
        <f t="shared" si="233"/>
        <v>17.099999999999916</v>
      </c>
      <c r="F784" s="16">
        <f>IF(AB784&gt;0, VLOOKUP(B784,Model!$A$40:$B$60, 2), 0)</f>
        <v>300</v>
      </c>
      <c r="G784" s="15">
        <f>IF(AB784&gt;0, VLOOKUP(B784,Model!$A$39:$C$58, 3), 0)</f>
        <v>1</v>
      </c>
      <c r="H784" s="15">
        <f t="shared" si="234"/>
        <v>97</v>
      </c>
      <c r="I784" s="45">
        <f>Model!$B$21*EXP((-0.029*9.81*F784)/(8.31*(273+J784)))</f>
        <v>100357.4491247143</v>
      </c>
      <c r="J784" s="15">
        <f>IF(Model!$B$31="Summer",  IF(F784&lt;=2000,  Model!$B$20-Model!$B$35*F784/1000,  IF(F784&lt;Model!$B$36,  Model!$B$33-6.5*F784/1000,  Model!$B$38)),     IF(F784&lt;=2000,  Model!$B$20-Model!$B$35*F784/1000,  IF(F784&lt;Model!$B$36,  Model!$B$33-5.4*F784/1000,   Model!$B$38)))</f>
        <v>-19.088750000000001</v>
      </c>
      <c r="K784" s="15">
        <f t="shared" si="229"/>
        <v>253.91125</v>
      </c>
      <c r="L784" s="45">
        <f>IF(AB783-AA783*(B784-B783)&gt;0, L783-Y783*(B784-B783)*3600-AD784*Model!$B$16, 0)</f>
        <v>524.58966948479917</v>
      </c>
      <c r="M784" s="56">
        <f t="shared" si="235"/>
        <v>8.0106478431694654</v>
      </c>
      <c r="N784" s="56">
        <f>Model!$B$13*I784*K784/(Model!$B$13*I784-L784*287*K784)</f>
        <v>281.01064784316947</v>
      </c>
      <c r="O784" s="56">
        <f t="shared" si="236"/>
        <v>267.46094892158476</v>
      </c>
      <c r="P784" s="56">
        <f t="shared" si="237"/>
        <v>-5.5354309271676705</v>
      </c>
      <c r="Q784" s="62">
        <f t="shared" si="230"/>
        <v>2.3606727373432519E-2</v>
      </c>
      <c r="R784" s="33">
        <f t="shared" si="231"/>
        <v>1.3023938687844814E-5</v>
      </c>
      <c r="S784" s="45">
        <f>0.37*Model!$B$10*(Q784^2*(N784-K784)*I784/(R784*O784^2))^0.33333*(N784-K784)</f>
        <v>142496.25104956763</v>
      </c>
      <c r="T784" s="50">
        <f>Model!$B$32+(90-Model!$B$6)*SIN(RADIANS(-15*(E784+6)))</f>
        <v>1.2998526739731151</v>
      </c>
      <c r="U784" s="45">
        <f t="shared" si="238"/>
        <v>1.2998526739731151</v>
      </c>
      <c r="V784" s="50">
        <f t="shared" si="239"/>
        <v>44.082453228815943</v>
      </c>
      <c r="W784" s="45">
        <f t="shared" si="240"/>
        <v>7.53343488999757E-2</v>
      </c>
      <c r="X784" s="45">
        <f>0.3*W784*Model!$B$9</f>
        <v>6.8241351047037346</v>
      </c>
      <c r="Y784" s="33">
        <f>(S784-X784)/Model!$B$11</f>
        <v>3.0567290982401137E-3</v>
      </c>
      <c r="Z784" s="45">
        <f t="shared" si="241"/>
        <v>4.7889927309946873E-3</v>
      </c>
      <c r="AA784" s="56">
        <f>Y784/Model!$B$12*3600</f>
        <v>19.790881261929609</v>
      </c>
      <c r="AB784" s="50">
        <f t="shared" si="246"/>
        <v>6.4559497950604978</v>
      </c>
      <c r="AC784" s="50">
        <f t="shared" si="232"/>
        <v>1793.5440502049396</v>
      </c>
      <c r="AD784" s="15">
        <f>IF(AE784=0, Model!$B$19, 0 )</f>
        <v>0</v>
      </c>
      <c r="AE784" s="50">
        <f>IF(AE783+AB783-AB784&lt;Model!$B$19*Model!$B$18, AE783+AB783-AB784,  0)</f>
        <v>437.17862391105302</v>
      </c>
      <c r="AF784" s="15">
        <f t="shared" si="242"/>
        <v>39.099999999999916</v>
      </c>
      <c r="AG784" s="50">
        <f t="shared" si="243"/>
        <v>0.99</v>
      </c>
    </row>
    <row r="785" spans="2:33" x14ac:dyDescent="0.25">
      <c r="B785" s="13">
        <f t="shared" si="244"/>
        <v>39.149999999999913</v>
      </c>
      <c r="C785" s="13">
        <f>B785+Model!$B$4</f>
        <v>41.149999999999913</v>
      </c>
      <c r="D785" s="13">
        <f t="shared" si="245"/>
        <v>2</v>
      </c>
      <c r="E785" s="13">
        <f t="shared" si="233"/>
        <v>17.149999999999913</v>
      </c>
      <c r="F785" s="14">
        <f>IF(AB785&gt;0, VLOOKUP(B785,Model!$A$40:$B$60, 2), 0)</f>
        <v>300</v>
      </c>
      <c r="G785" s="13">
        <f>IF(AB785&gt;0, VLOOKUP(B785,Model!$A$39:$C$58, 3), 0)</f>
        <v>1</v>
      </c>
      <c r="H785" s="13">
        <f t="shared" si="234"/>
        <v>97</v>
      </c>
      <c r="I785" s="46">
        <f>Model!$B$21*EXP((-0.029*9.81*F785)/(8.31*(273+J785)))</f>
        <v>100357.4491247143</v>
      </c>
      <c r="J785" s="13">
        <f>IF(Model!$B$31="Summer",  IF(F785&lt;=2000,  Model!$B$20-Model!$B$35*F785/1000,  IF(F785&lt;Model!$B$36,  Model!$B$33-6.5*F785/1000,  Model!$B$38)),     IF(F785&lt;=2000,  Model!$B$20-Model!$B$35*F785/1000,  IF(F785&lt;Model!$B$36,  Model!$B$33-5.4*F785/1000,   Model!$B$38)))</f>
        <v>-19.088750000000001</v>
      </c>
      <c r="K785" s="13">
        <f t="shared" si="229"/>
        <v>253.91125</v>
      </c>
      <c r="L785" s="46">
        <f>IF(AB784-AA784*(B785-B784)&gt;0, L784-Y784*(B785-B784)*3600-AD785*Model!$B$16, 0)</f>
        <v>524.03945824711593</v>
      </c>
      <c r="M785" s="57">
        <f t="shared" si="235"/>
        <v>7.9791948787688511</v>
      </c>
      <c r="N785" s="57">
        <f>Model!$B$13*I785*K785/(Model!$B$13*I785-L785*287*K785)</f>
        <v>280.97919487876885</v>
      </c>
      <c r="O785" s="57">
        <f t="shared" si="236"/>
        <v>267.44522243938445</v>
      </c>
      <c r="P785" s="57">
        <f t="shared" si="237"/>
        <v>-5.5542753316229083</v>
      </c>
      <c r="Q785" s="63">
        <f t="shared" si="230"/>
        <v>2.3605610793196296E-2</v>
      </c>
      <c r="R785" s="17">
        <f t="shared" si="231"/>
        <v>1.3022303133695982E-5</v>
      </c>
      <c r="S785" s="46">
        <f>0.37*Model!$B$10*(Q785^2*(N785-K785)*I785/(R785*O785^2))^0.33333*(N785-K785)</f>
        <v>142282.82323514519</v>
      </c>
      <c r="T785" s="51">
        <f>Model!$B$32+(90-Model!$B$6)*SIN(RADIANS(-15*(E785+6)))</f>
        <v>0.85367516476899397</v>
      </c>
      <c r="U785" s="46">
        <f t="shared" si="238"/>
        <v>0.85367516476899397</v>
      </c>
      <c r="V785" s="51">
        <f t="shared" si="239"/>
        <v>67.119089102404459</v>
      </c>
      <c r="W785" s="46">
        <f t="shared" si="240"/>
        <v>4.2379468053752575E-2</v>
      </c>
      <c r="X785" s="46">
        <f>0.3*W785*Model!$B$9</f>
        <v>3.8389289864079075</v>
      </c>
      <c r="Y785" s="17">
        <f>(S785-X785)/Model!$B$11</f>
        <v>3.0522146155992445E-3</v>
      </c>
      <c r="Z785" s="46">
        <f t="shared" si="241"/>
        <v>2.6980972819631655E-3</v>
      </c>
      <c r="AA785" s="57">
        <f>Y785/Model!$B$12*3600</f>
        <v>19.761652113047578</v>
      </c>
      <c r="AB785" s="51">
        <f t="shared" si="246"/>
        <v>5.4664057319640733</v>
      </c>
      <c r="AC785" s="51">
        <f t="shared" si="232"/>
        <v>1794.5335942680358</v>
      </c>
      <c r="AD785" s="13">
        <f>IF(AE785=0, Model!$B$19, 0 )</f>
        <v>0</v>
      </c>
      <c r="AE785" s="51">
        <f>IF(AE784+AB784-AB785&lt;Model!$B$19*Model!$B$18, AE784+AB784-AB785,  0)</f>
        <v>438.16816797414947</v>
      </c>
      <c r="AF785" s="13">
        <f t="shared" si="242"/>
        <v>39.149999999999913</v>
      </c>
      <c r="AG785" s="50">
        <f t="shared" si="243"/>
        <v>0.99</v>
      </c>
    </row>
    <row r="786" spans="2:33" x14ac:dyDescent="0.25">
      <c r="B786" s="15">
        <f t="shared" si="244"/>
        <v>39.19999999999991</v>
      </c>
      <c r="C786" s="15">
        <f>B786+Model!$B$4</f>
        <v>41.19999999999991</v>
      </c>
      <c r="D786" s="15">
        <f t="shared" si="245"/>
        <v>2</v>
      </c>
      <c r="E786" s="15">
        <f t="shared" si="233"/>
        <v>17.19999999999991</v>
      </c>
      <c r="F786" s="16">
        <f>IF(AB786&gt;0, VLOOKUP(B786,Model!$A$40:$B$60, 2), 0)</f>
        <v>300</v>
      </c>
      <c r="G786" s="15">
        <f>IF(AB786&gt;0, VLOOKUP(B786,Model!$A$39:$C$58, 3), 0)</f>
        <v>1</v>
      </c>
      <c r="H786" s="15">
        <f t="shared" si="234"/>
        <v>97</v>
      </c>
      <c r="I786" s="45">
        <f>Model!$B$21*EXP((-0.029*9.81*F786)/(8.31*(273+J786)))</f>
        <v>100357.4491247143</v>
      </c>
      <c r="J786" s="15">
        <f>IF(Model!$B$31="Summer",  IF(F786&lt;=2000,  Model!$B$20-Model!$B$35*F786/1000,  IF(F786&lt;Model!$B$36,  Model!$B$33-6.5*F786/1000,  Model!$B$38)),     IF(F786&lt;=2000,  Model!$B$20-Model!$B$35*F786/1000,  IF(F786&lt;Model!$B$36,  Model!$B$33-5.4*F786/1000,   Model!$B$38)))</f>
        <v>-19.088750000000001</v>
      </c>
      <c r="K786" s="15">
        <f t="shared" si="229"/>
        <v>253.91125</v>
      </c>
      <c r="L786" s="45">
        <f>IF(AB785-AA785*(B786-B785)&gt;0, L785-Y785*(B786-B785)*3600-AD786*Model!$B$16, 0)</f>
        <v>523.49005961630814</v>
      </c>
      <c r="M786" s="56">
        <f t="shared" si="235"/>
        <v>7.9477953918058688</v>
      </c>
      <c r="N786" s="56">
        <f>Model!$B$13*I786*K786/(Model!$B$13*I786-L786*287*K786)</f>
        <v>280.94779539180587</v>
      </c>
      <c r="O786" s="56">
        <f t="shared" si="236"/>
        <v>267.42952269590296</v>
      </c>
      <c r="P786" s="56">
        <f t="shared" si="237"/>
        <v>-5.5701947743100408</v>
      </c>
      <c r="Q786" s="62">
        <f t="shared" si="230"/>
        <v>2.360449611140911E-2</v>
      </c>
      <c r="R786" s="33">
        <f t="shared" si="231"/>
        <v>1.3020670360373906E-5</v>
      </c>
      <c r="S786" s="45">
        <f>0.37*Model!$B$10*(Q786^2*(N786-K786)*I786/(R786*O786^2))^0.33333*(N786-K786)</f>
        <v>142069.82289206513</v>
      </c>
      <c r="T786" s="50">
        <f>Model!$B$32+(90-Model!$B$6)*SIN(RADIANS(-15*(E786+6)))</f>
        <v>0.40617411763806199</v>
      </c>
      <c r="U786" s="45">
        <f t="shared" si="238"/>
        <v>0.40617411763806199</v>
      </c>
      <c r="V786" s="50">
        <f t="shared" si="239"/>
        <v>141.06329509354904</v>
      </c>
      <c r="W786" s="45">
        <f t="shared" si="240"/>
        <v>4.2253521128919828E-2</v>
      </c>
      <c r="X786" s="45">
        <f>0.3*W786*Model!$B$9</f>
        <v>3.827520129178362</v>
      </c>
      <c r="Y786" s="33">
        <f>(S786-X786)/Model!$B$11</f>
        <v>3.0476455083543056E-3</v>
      </c>
      <c r="Z786" s="45">
        <f t="shared" si="241"/>
        <v>2.6941119875163416E-3</v>
      </c>
      <c r="AA786" s="56">
        <f>Y786/Model!$B$12*3600</f>
        <v>19.732069295581134</v>
      </c>
      <c r="AB786" s="50">
        <f t="shared" si="246"/>
        <v>4.4783231263117509</v>
      </c>
      <c r="AC786" s="50">
        <f t="shared" si="232"/>
        <v>1795.5216768736882</v>
      </c>
      <c r="AD786" s="15">
        <f>IF(AE786=0, Model!$B$19, 0 )</f>
        <v>0</v>
      </c>
      <c r="AE786" s="50">
        <f>IF(AE785+AB785-AB786&lt;Model!$B$19*Model!$B$18, AE785+AB785-AB786,  0)</f>
        <v>439.15625057980179</v>
      </c>
      <c r="AF786" s="15">
        <f t="shared" si="242"/>
        <v>39.19999999999991</v>
      </c>
      <c r="AG786" s="50">
        <f t="shared" si="243"/>
        <v>0.99</v>
      </c>
    </row>
    <row r="787" spans="2:33" x14ac:dyDescent="0.25">
      <c r="B787" s="13">
        <f t="shared" si="244"/>
        <v>39.249999999999908</v>
      </c>
      <c r="C787" s="13">
        <f>B787+Model!$B$4</f>
        <v>41.249999999999908</v>
      </c>
      <c r="D787" s="13">
        <f t="shared" si="245"/>
        <v>2</v>
      </c>
      <c r="E787" s="13">
        <f t="shared" si="233"/>
        <v>17.249999999999908</v>
      </c>
      <c r="F787" s="14">
        <f>IF(AB787&gt;0, VLOOKUP(B787,Model!$A$40:$B$60, 2), 0)</f>
        <v>300</v>
      </c>
      <c r="G787" s="13">
        <f>IF(AB787&gt;0, VLOOKUP(B787,Model!$A$39:$C$58, 3), 0)</f>
        <v>1</v>
      </c>
      <c r="H787" s="13">
        <f t="shared" si="234"/>
        <v>97</v>
      </c>
      <c r="I787" s="46">
        <f>Model!$B$21*EXP((-0.029*9.81*F787)/(8.31*(273+J787)))</f>
        <v>100357.4491247143</v>
      </c>
      <c r="J787" s="13">
        <f>IF(Model!$B$31="Summer",  IF(F787&lt;=2000,  Model!$B$20-Model!$B$35*F787/1000,  IF(F787&lt;Model!$B$36,  Model!$B$33-6.5*F787/1000,  Model!$B$38)),     IF(F787&lt;=2000,  Model!$B$20-Model!$B$35*F787/1000,  IF(F787&lt;Model!$B$36,  Model!$B$33-5.4*F787/1000,   Model!$B$38)))</f>
        <v>-19.088750000000001</v>
      </c>
      <c r="K787" s="13">
        <f t="shared" si="229"/>
        <v>253.91125</v>
      </c>
      <c r="L787" s="46">
        <f>IF(AB786-AA786*(B787-B786)&gt;0, L786-Y786*(B787-B786)*3600-AD787*Model!$B$16, 0)</f>
        <v>522.94148342480435</v>
      </c>
      <c r="M787" s="57">
        <f t="shared" si="235"/>
        <v>7.9164499105453956</v>
      </c>
      <c r="N787" s="57">
        <f>Model!$B$13*I787*K787/(Model!$B$13*I787-L787*287*K787)</f>
        <v>280.9164499105454</v>
      </c>
      <c r="O787" s="57">
        <f t="shared" si="236"/>
        <v>267.41384995527267</v>
      </c>
      <c r="P787" s="57">
        <f t="shared" si="237"/>
        <v>-5.5858683545864434</v>
      </c>
      <c r="Q787" s="63">
        <f t="shared" si="230"/>
        <v>2.360338334682436E-2</v>
      </c>
      <c r="R787" s="17">
        <f t="shared" si="231"/>
        <v>1.3019040395348357E-5</v>
      </c>
      <c r="S787" s="46">
        <f>0.37*Model!$B$10*(Q787^2*(N787-K787)*I787/(R787*O787^2))^0.33333*(N787-K787)</f>
        <v>141857.25334551733</v>
      </c>
      <c r="T787" s="51">
        <f>Model!$B$32+(90-Model!$B$6)*SIN(RADIANS(-15*(E787+6)))</f>
        <v>-4.2573790419025315E-2</v>
      </c>
      <c r="U787" s="46">
        <f t="shared" si="238"/>
        <v>0</v>
      </c>
      <c r="V787" s="51">
        <f t="shared" si="239"/>
        <v>99999</v>
      </c>
      <c r="W787" s="46">
        <f t="shared" si="240"/>
        <v>4.2253521126760563E-2</v>
      </c>
      <c r="X787" s="46">
        <f>0.3*W787*Model!$B$9</f>
        <v>3.8275201289827652</v>
      </c>
      <c r="Y787" s="17">
        <f>(S787-X787)/Model!$B$11</f>
        <v>3.0430853979489078E-3</v>
      </c>
      <c r="Z787" s="46">
        <f t="shared" si="241"/>
        <v>2.6981490468169383E-3</v>
      </c>
      <c r="AA787" s="57">
        <f>Y787/Model!$B$12*3600</f>
        <v>19.702544728413415</v>
      </c>
      <c r="AB787" s="51">
        <f t="shared" si="246"/>
        <v>3.4917196615327502</v>
      </c>
      <c r="AC787" s="51">
        <f t="shared" si="232"/>
        <v>1796.5082803384673</v>
      </c>
      <c r="AD787" s="13">
        <f>IF(AE787=0, Model!$B$19, 0 )</f>
        <v>0</v>
      </c>
      <c r="AE787" s="51">
        <f>IF(AE786+AB786-AB787&lt;Model!$B$19*Model!$B$18, AE786+AB786-AB787,  0)</f>
        <v>440.14285404458082</v>
      </c>
      <c r="AF787" s="13">
        <f t="shared" si="242"/>
        <v>39.249999999999908</v>
      </c>
      <c r="AG787" s="50">
        <f t="shared" si="243"/>
        <v>0.99</v>
      </c>
    </row>
    <row r="788" spans="2:33" x14ac:dyDescent="0.25">
      <c r="B788" s="15">
        <f t="shared" si="244"/>
        <v>39.299999999999905</v>
      </c>
      <c r="C788" s="15">
        <f>B788+Model!$B$4</f>
        <v>41.299999999999905</v>
      </c>
      <c r="D788" s="15">
        <f t="shared" si="245"/>
        <v>2</v>
      </c>
      <c r="E788" s="15">
        <f t="shared" si="233"/>
        <v>17.299999999999905</v>
      </c>
      <c r="F788" s="16">
        <f>IF(AB788&gt;0, VLOOKUP(B788,Model!$A$40:$B$60, 2), 0)</f>
        <v>300</v>
      </c>
      <c r="G788" s="15">
        <f>IF(AB788&gt;0, VLOOKUP(B788,Model!$A$39:$C$58, 3), 0)</f>
        <v>1</v>
      </c>
      <c r="H788" s="15">
        <f t="shared" si="234"/>
        <v>97</v>
      </c>
      <c r="I788" s="45">
        <f>Model!$B$21*EXP((-0.029*9.81*F788)/(8.31*(273+J788)))</f>
        <v>100357.4491247143</v>
      </c>
      <c r="J788" s="15">
        <f>IF(Model!$B$31="Summer",  IF(F788&lt;=2000,  Model!$B$20-Model!$B$35*F788/1000,  IF(F788&lt;Model!$B$36,  Model!$B$33-6.5*F788/1000,  Model!$B$38)),     IF(F788&lt;=2000,  Model!$B$20-Model!$B$35*F788/1000,  IF(F788&lt;Model!$B$36,  Model!$B$33-5.4*F788/1000,   Model!$B$38)))</f>
        <v>-19.088750000000001</v>
      </c>
      <c r="K788" s="15">
        <f t="shared" si="229"/>
        <v>253.91125</v>
      </c>
      <c r="L788" s="45">
        <f>IF(AB787-AA787*(B788-B787)&gt;0, L787-Y787*(B788-B787)*3600-AD788*Model!$B$16, 0)</f>
        <v>522.39372805317362</v>
      </c>
      <c r="M788" s="56">
        <f t="shared" si="235"/>
        <v>7.8851583086825485</v>
      </c>
      <c r="N788" s="56">
        <f>Model!$B$13*I788*K788/(Model!$B$13*I788-L788*287*K788)</f>
        <v>280.88515830868255</v>
      </c>
      <c r="O788" s="56">
        <f t="shared" si="236"/>
        <v>267.39820415434127</v>
      </c>
      <c r="P788" s="56">
        <f t="shared" si="237"/>
        <v>-5.6015141555178811</v>
      </c>
      <c r="Q788" s="62">
        <f t="shared" si="230"/>
        <v>2.3602272494958231E-2</v>
      </c>
      <c r="R788" s="33">
        <f t="shared" si="231"/>
        <v>1.3017413232051492E-5</v>
      </c>
      <c r="S788" s="45">
        <f>0.37*Model!$B$10*(Q788^2*(N788-K788)*I788/(R788*O788^2))^0.33333*(N788-K788)</f>
        <v>141645.11347935686</v>
      </c>
      <c r="T788" s="50">
        <f>Model!$B$32+(90-Model!$B$6)*SIN(RADIANS(-15*(E788+6)))</f>
        <v>-0.49249166875829342</v>
      </c>
      <c r="U788" s="45">
        <f t="shared" si="238"/>
        <v>0</v>
      </c>
      <c r="V788" s="50">
        <f t="shared" si="239"/>
        <v>99999</v>
      </c>
      <c r="W788" s="45">
        <f t="shared" si="240"/>
        <v>4.2253521126760563E-2</v>
      </c>
      <c r="X788" s="45">
        <f>0.3*W788*Model!$B$9</f>
        <v>3.8275201289827652</v>
      </c>
      <c r="Y788" s="33">
        <f>(S788-X788)/Model!$B$11</f>
        <v>3.0385345051856245E-3</v>
      </c>
      <c r="Z788" s="45">
        <f t="shared" si="241"/>
        <v>2.7021900261604026E-3</v>
      </c>
      <c r="AA788" s="56">
        <f>Y788/Model!$B$12*3600</f>
        <v>19.673079841137088</v>
      </c>
      <c r="AB788" s="50">
        <f t="shared" si="246"/>
        <v>2.5065924251121352</v>
      </c>
      <c r="AC788" s="50">
        <f t="shared" si="232"/>
        <v>1797.4934075748879</v>
      </c>
      <c r="AD788" s="15">
        <f>IF(AE788=0, Model!$B$19, 0 )</f>
        <v>0</v>
      </c>
      <c r="AE788" s="50">
        <f>IF(AE787+AB787-AB788&lt;Model!$B$19*Model!$B$18, AE787+AB787-AB788,  0)</f>
        <v>441.12798128100138</v>
      </c>
      <c r="AF788" s="15">
        <f t="shared" si="242"/>
        <v>39.299999999999905</v>
      </c>
      <c r="AG788" s="50">
        <f t="shared" si="243"/>
        <v>0.99</v>
      </c>
    </row>
    <row r="789" spans="2:33" x14ac:dyDescent="0.25">
      <c r="B789" s="13">
        <f t="shared" si="244"/>
        <v>39.349999999999902</v>
      </c>
      <c r="C789" s="13">
        <f>B789+Model!$B$4</f>
        <v>41.349999999999902</v>
      </c>
      <c r="D789" s="13">
        <f t="shared" si="245"/>
        <v>2</v>
      </c>
      <c r="E789" s="13">
        <f t="shared" si="233"/>
        <v>17.349999999999902</v>
      </c>
      <c r="F789" s="14">
        <f>IF(AB789&gt;0, VLOOKUP(B789,Model!$A$40:$B$60, 2), 0)</f>
        <v>300</v>
      </c>
      <c r="G789" s="13">
        <f>IF(AB789&gt;0, VLOOKUP(B789,Model!$A$39:$C$58, 3), 0)</f>
        <v>1</v>
      </c>
      <c r="H789" s="13">
        <f t="shared" si="234"/>
        <v>97</v>
      </c>
      <c r="I789" s="46">
        <f>Model!$B$21*EXP((-0.029*9.81*F789)/(8.31*(273+J789)))</f>
        <v>100357.4491247143</v>
      </c>
      <c r="J789" s="13">
        <f>IF(Model!$B$31="Summer",  IF(F789&lt;=2000,  Model!$B$20-Model!$B$35*F789/1000,  IF(F789&lt;Model!$B$36,  Model!$B$33-6.5*F789/1000,  Model!$B$38)),     IF(F789&lt;=2000,  Model!$B$20-Model!$B$35*F789/1000,  IF(F789&lt;Model!$B$36,  Model!$B$33-5.4*F789/1000,   Model!$B$38)))</f>
        <v>-19.088750000000001</v>
      </c>
      <c r="K789" s="13">
        <f t="shared" si="229"/>
        <v>253.91125</v>
      </c>
      <c r="L789" s="46">
        <f>IF(AB788-AA788*(B789-B788)&gt;0, L788-Y788*(B789-B788)*3600-AD789*Model!$B$16, 0)</f>
        <v>521.84679184224024</v>
      </c>
      <c r="M789" s="57">
        <f t="shared" si="235"/>
        <v>7.8539204577943451</v>
      </c>
      <c r="N789" s="57">
        <f>Model!$B$13*I789*K789/(Model!$B$13*I789-L789*287*K789)</f>
        <v>280.85392045779435</v>
      </c>
      <c r="O789" s="57">
        <f t="shared" si="236"/>
        <v>267.38258522889714</v>
      </c>
      <c r="P789" s="57">
        <f t="shared" si="237"/>
        <v>-5.6171330809619828</v>
      </c>
      <c r="Q789" s="63">
        <f t="shared" si="230"/>
        <v>2.3601163551251698E-2</v>
      </c>
      <c r="R789" s="17">
        <f t="shared" si="231"/>
        <v>1.3015788863805301E-5</v>
      </c>
      <c r="S789" s="46">
        <f>0.37*Model!$B$10*(Q789^2*(N789-K789)*I789/(R789*O789^2))^0.33333*(N789-K789)</f>
        <v>141433.40216408522</v>
      </c>
      <c r="T789" s="51">
        <f>Model!$B$32+(90-Model!$B$6)*SIN(RADIANS(-15*(E789+6)))</f>
        <v>-0.9435024262675622</v>
      </c>
      <c r="U789" s="46">
        <f t="shared" si="238"/>
        <v>0</v>
      </c>
      <c r="V789" s="51">
        <f t="shared" si="239"/>
        <v>99999</v>
      </c>
      <c r="W789" s="46">
        <f t="shared" si="240"/>
        <v>4.2253521126760563E-2</v>
      </c>
      <c r="X789" s="46">
        <f>0.3*W789*Model!$B$9</f>
        <v>3.8275201289827652</v>
      </c>
      <c r="Y789" s="17">
        <f>(S789-X789)/Model!$B$11</f>
        <v>3.0339928058340927E-3</v>
      </c>
      <c r="Z789" s="46">
        <f t="shared" si="241"/>
        <v>2.7062349278300143E-3</v>
      </c>
      <c r="AA789" s="57">
        <f>Y789/Model!$B$12*3600</f>
        <v>19.643674476871965</v>
      </c>
      <c r="AB789" s="51">
        <f t="shared" si="246"/>
        <v>1.5229384330553368</v>
      </c>
      <c r="AC789" s="51">
        <f t="shared" si="232"/>
        <v>1798.4770615669447</v>
      </c>
      <c r="AD789" s="13">
        <f>IF(AE789=0, Model!$B$19, 0 )</f>
        <v>0</v>
      </c>
      <c r="AE789" s="51">
        <f>IF(AE788+AB788-AB789&lt;Model!$B$19*Model!$B$18, AE788+AB788-AB789,  0)</f>
        <v>442.1116352730582</v>
      </c>
      <c r="AF789" s="13">
        <f t="shared" si="242"/>
        <v>39.349999999999902</v>
      </c>
      <c r="AG789" s="50">
        <f t="shared" si="243"/>
        <v>0.99</v>
      </c>
    </row>
    <row r="790" spans="2:33" x14ac:dyDescent="0.25">
      <c r="B790" s="15">
        <f t="shared" si="244"/>
        <v>39.399999999999899</v>
      </c>
      <c r="C790" s="15">
        <f>B790+Model!$B$4</f>
        <v>41.399999999999899</v>
      </c>
      <c r="D790" s="15">
        <f t="shared" si="245"/>
        <v>2</v>
      </c>
      <c r="E790" s="15">
        <f t="shared" si="233"/>
        <v>17.399999999999899</v>
      </c>
      <c r="F790" s="16">
        <f>IF(AB790&gt;0, VLOOKUP(B790,Model!$A$40:$B$60, 2), 0)</f>
        <v>300</v>
      </c>
      <c r="G790" s="15">
        <f>IF(AB790&gt;0, VLOOKUP(B790,Model!$A$39:$C$58, 3), 0)</f>
        <v>1</v>
      </c>
      <c r="H790" s="15">
        <f t="shared" si="234"/>
        <v>97</v>
      </c>
      <c r="I790" s="45">
        <f>Model!$B$21*EXP((-0.029*9.81*F790)/(8.31*(273+J790)))</f>
        <v>100357.4491247143</v>
      </c>
      <c r="J790" s="15">
        <f>IF(Model!$B$31="Summer",  IF(F790&lt;=2000,  Model!$B$20-Model!$B$35*F790/1000,  IF(F790&lt;Model!$B$36,  Model!$B$33-6.5*F790/1000,  Model!$B$38)),     IF(F790&lt;=2000,  Model!$B$20-Model!$B$35*F790/1000,  IF(F790&lt;Model!$B$36,  Model!$B$33-5.4*F790/1000,   Model!$B$38)))</f>
        <v>-19.088750000000001</v>
      </c>
      <c r="K790" s="15">
        <f t="shared" si="229"/>
        <v>253.91125</v>
      </c>
      <c r="L790" s="45">
        <f>IF(AB789-AA789*(B790-B789)&gt;0, L789-Y789*(B790-B789)*3600-AD790*Model!$B$16, 0)</f>
        <v>521.30067313719007</v>
      </c>
      <c r="M790" s="56">
        <f t="shared" si="235"/>
        <v>7.8227362298597427</v>
      </c>
      <c r="N790" s="56">
        <f>Model!$B$13*I790*K790/(Model!$B$13*I790-L790*287*K790)</f>
        <v>280.82273622985974</v>
      </c>
      <c r="O790" s="56">
        <f t="shared" si="236"/>
        <v>267.36699311492987</v>
      </c>
      <c r="P790" s="56">
        <f t="shared" si="237"/>
        <v>-5.632725194929284</v>
      </c>
      <c r="Q790" s="62">
        <f t="shared" si="230"/>
        <v>2.3600056511160022E-2</v>
      </c>
      <c r="R790" s="33">
        <f t="shared" si="231"/>
        <v>1.3014167283952704E-5</v>
      </c>
      <c r="S790" s="45">
        <f>0.37*Model!$B$10*(Q790^2*(N790-K790)*I790/(R790*O790^2))^0.33333*(N790-K790)</f>
        <v>141222.11827394241</v>
      </c>
      <c r="T790" s="50">
        <f>Model!$B$32+(90-Model!$B$6)*SIN(RADIANS(-15*(E790+6)))</f>
        <v>-1.3955287845753128</v>
      </c>
      <c r="U790" s="45">
        <f t="shared" si="238"/>
        <v>0</v>
      </c>
      <c r="V790" s="50">
        <f t="shared" si="239"/>
        <v>99999</v>
      </c>
      <c r="W790" s="45">
        <f t="shared" si="240"/>
        <v>4.2253521126760563E-2</v>
      </c>
      <c r="X790" s="45">
        <f>0.3*W790*Model!$B$9</f>
        <v>3.8275201289827652</v>
      </c>
      <c r="Y790" s="33">
        <f>(S790-X790)/Model!$B$11</f>
        <v>3.0294602757441474E-3</v>
      </c>
      <c r="Z790" s="45">
        <f t="shared" si="241"/>
        <v>2.7102837542474392E-3</v>
      </c>
      <c r="AA790" s="56">
        <f>Y790/Model!$B$12*3600</f>
        <v>19.614328479257104</v>
      </c>
      <c r="AB790" s="50">
        <f t="shared" si="246"/>
        <v>0.54075470921179436</v>
      </c>
      <c r="AC790" s="50">
        <f t="shared" si="232"/>
        <v>1799.4592452907882</v>
      </c>
      <c r="AD790" s="15">
        <f>IF(AE790=0, Model!$B$19, 0 )</f>
        <v>0</v>
      </c>
      <c r="AE790" s="50">
        <f>IF(AE789+AB789-AB790&lt;Model!$B$19*Model!$B$18, AE789+AB789-AB790,  0)</f>
        <v>443.09381899690175</v>
      </c>
      <c r="AF790" s="15">
        <f t="shared" si="242"/>
        <v>39.399999999999899</v>
      </c>
      <c r="AG790" s="50">
        <f t="shared" si="243"/>
        <v>0.99</v>
      </c>
    </row>
    <row r="791" spans="2:33" x14ac:dyDescent="0.25">
      <c r="B791" s="13">
        <f t="shared" si="244"/>
        <v>39.449999999999896</v>
      </c>
      <c r="C791" s="13">
        <f>B791+Model!$B$4</f>
        <v>41.449999999999896</v>
      </c>
      <c r="D791" s="13">
        <f t="shared" si="245"/>
        <v>2</v>
      </c>
      <c r="E791" s="13">
        <f t="shared" si="233"/>
        <v>17.449999999999896</v>
      </c>
      <c r="F791" s="14">
        <f>IF(AB791&gt;0, VLOOKUP(B791,Model!$A$40:$B$60, 2), 0)</f>
        <v>0</v>
      </c>
      <c r="G791" s="13">
        <f>IF(AB791&gt;0, VLOOKUP(B791,Model!$A$39:$C$58, 3), 0)</f>
        <v>0</v>
      </c>
      <c r="H791" s="13">
        <f t="shared" si="234"/>
        <v>0</v>
      </c>
      <c r="I791" s="46">
        <f>Model!$B$21*EXP((-0.029*9.81*F791)/(8.31*(273+J791)))</f>
        <v>104500</v>
      </c>
      <c r="J791" s="13">
        <f>IF(Model!$B$31="Summer",  IF(F791&lt;=2000,  Model!$B$20-Model!$B$35*F791/1000,  IF(F791&lt;Model!$B$36,  Model!$B$33-6.5*F791/1000,  Model!$B$38)),     IF(F791&lt;=2000,  Model!$B$20-Model!$B$35*F791/1000,  IF(F791&lt;Model!$B$36,  Model!$B$33-5.4*F791/1000,   Model!$B$38)))</f>
        <v>-20</v>
      </c>
      <c r="K791" s="13">
        <f t="shared" si="229"/>
        <v>253</v>
      </c>
      <c r="L791" s="46">
        <f>IF(AB790-AA790*(B791-B790)&gt;0, L790-Y790*(B791-B790)*3600-AD791*Model!$B$16, 0)</f>
        <v>0</v>
      </c>
      <c r="M791" s="57">
        <f t="shared" si="235"/>
        <v>0</v>
      </c>
      <c r="N791" s="57">
        <f>Model!$B$13*I791*K791/(Model!$B$13*I791-L791*287*K791)</f>
        <v>253</v>
      </c>
      <c r="O791" s="57">
        <f t="shared" si="236"/>
        <v>253</v>
      </c>
      <c r="P791" s="57">
        <f t="shared" si="237"/>
        <v>-9.9997183098591549</v>
      </c>
      <c r="Q791" s="63">
        <f t="shared" si="230"/>
        <v>2.2579999999999999E-2</v>
      </c>
      <c r="R791" s="17">
        <f t="shared" si="231"/>
        <v>1.152E-5</v>
      </c>
      <c r="S791" s="46">
        <f>0.37*Model!$B$10*(Q791^2*(N791-K791)*I791/(R791*O791^2))^0.33333*(N791-K791)</f>
        <v>0</v>
      </c>
      <c r="T791" s="51">
        <f>Model!$B$32+(90-Model!$B$6)*SIN(RADIANS(-15*(E791+6)))</f>
        <v>-1.8484932912921188</v>
      </c>
      <c r="U791" s="46">
        <f t="shared" si="238"/>
        <v>0</v>
      </c>
      <c r="V791" s="51">
        <f t="shared" si="239"/>
        <v>99999</v>
      </c>
      <c r="W791" s="46">
        <f t="shared" si="240"/>
        <v>0</v>
      </c>
      <c r="X791" s="46">
        <f>0.3*W791*Model!$B$9</f>
        <v>0</v>
      </c>
      <c r="Y791" s="17">
        <f>(S791-X791)/Model!$B$11</f>
        <v>0</v>
      </c>
      <c r="Z791" s="46" t="e">
        <f t="shared" si="241"/>
        <v>#DIV/0!</v>
      </c>
      <c r="AA791" s="57">
        <f>Y791/Model!$B$12*3600</f>
        <v>0</v>
      </c>
      <c r="AB791" s="51">
        <f t="shared" si="246"/>
        <v>0</v>
      </c>
      <c r="AC791" s="51">
        <f t="shared" si="232"/>
        <v>1800</v>
      </c>
      <c r="AD791" s="13">
        <f>IF(AE791=0, Model!$B$19, 0 )</f>
        <v>0</v>
      </c>
      <c r="AE791" s="51">
        <f>IF(AE790+AB790-AB791&lt;Model!$B$19*Model!$B$18, AE790+AB790-AB791,  0)</f>
        <v>443.63457370611354</v>
      </c>
      <c r="AF791" s="13">
        <f t="shared" si="242"/>
        <v>39.449999999999896</v>
      </c>
      <c r="AG791" s="50">
        <f t="shared" si="243"/>
        <v>0</v>
      </c>
    </row>
    <row r="792" spans="2:33" x14ac:dyDescent="0.25">
      <c r="B792" s="15">
        <f t="shared" si="244"/>
        <v>1</v>
      </c>
      <c r="C792" s="15">
        <f>B792+Model!$B$4</f>
        <v>3</v>
      </c>
      <c r="D792" s="15">
        <f t="shared" si="245"/>
        <v>1</v>
      </c>
      <c r="E792" s="15">
        <f t="shared" si="233"/>
        <v>3</v>
      </c>
      <c r="F792" s="16">
        <f>IF(AB792&gt;0, VLOOKUP(B792,Model!$A$40:$B$60, 2), 0)</f>
        <v>0</v>
      </c>
      <c r="G792" s="15">
        <f>IF(AB792&gt;0, VLOOKUP(B792,Model!$A$39:$C$58, 3), 0)</f>
        <v>0</v>
      </c>
      <c r="H792" s="15">
        <f t="shared" si="234"/>
        <v>0</v>
      </c>
      <c r="I792" s="45">
        <f>Model!$B$21*EXP((-0.029*9.81*F792)/(8.31*(273+J792)))</f>
        <v>104500</v>
      </c>
      <c r="J792" s="15">
        <f>IF(Model!$B$31="Summer",  IF(F792&lt;=2000,  Model!$B$20-Model!$B$35*F792/1000,  IF(F792&lt;Model!$B$36,  Model!$B$33-6.5*F792/1000,  Model!$B$38)),     IF(F792&lt;=2000,  Model!$B$20-Model!$B$35*F792/1000,  IF(F792&lt;Model!$B$36,  Model!$B$33-5.4*F792/1000,   Model!$B$38)))</f>
        <v>-20</v>
      </c>
      <c r="K792" s="15">
        <f t="shared" si="229"/>
        <v>253</v>
      </c>
      <c r="L792" s="45">
        <f>IF(AB791-AA791*(B792-B791)&gt;0, L791-Y791*(B792-B791)*3600-AD792*Model!$B$16, 0)</f>
        <v>0</v>
      </c>
      <c r="M792" s="56">
        <f t="shared" si="235"/>
        <v>0</v>
      </c>
      <c r="N792" s="56">
        <f>Model!$B$13*I792*K792/(Model!$B$13*I792-L792*287*K792)</f>
        <v>253</v>
      </c>
      <c r="O792" s="56">
        <f t="shared" si="236"/>
        <v>253</v>
      </c>
      <c r="P792" s="56">
        <f t="shared" si="237"/>
        <v>-10</v>
      </c>
      <c r="Q792" s="62">
        <f t="shared" si="230"/>
        <v>2.2579999999999999E-2</v>
      </c>
      <c r="R792" s="33">
        <f t="shared" si="231"/>
        <v>1.152E-5</v>
      </c>
      <c r="S792" s="45">
        <f>0.37*Model!$B$10*(Q792^2*(N792-K792)*I792/(R792*O792^2))^0.33333*(N792-K792)</f>
        <v>0</v>
      </c>
      <c r="T792" s="50">
        <f>Model!$B$32+(90-Model!$B$6)*SIN(RADIANS(-15*(E792+6)))</f>
        <v>-31.619472402513487</v>
      </c>
      <c r="U792" s="45">
        <f t="shared" si="238"/>
        <v>0</v>
      </c>
      <c r="V792" s="50">
        <f t="shared" si="239"/>
        <v>99999</v>
      </c>
      <c r="W792" s="45">
        <f t="shared" si="240"/>
        <v>0</v>
      </c>
      <c r="X792" s="45">
        <f>0.3*W792*Model!$B$9</f>
        <v>0</v>
      </c>
      <c r="Y792" s="33">
        <f>(S792-X792)/Model!$B$11</f>
        <v>0</v>
      </c>
      <c r="Z792" s="45" t="e">
        <f t="shared" si="241"/>
        <v>#DIV/0!</v>
      </c>
      <c r="AA792" s="56">
        <f>Y792/Model!$B$12*3600</f>
        <v>0</v>
      </c>
      <c r="AB792" s="50">
        <f t="shared" si="246"/>
        <v>0</v>
      </c>
      <c r="AC792" s="50">
        <f t="shared" si="232"/>
        <v>1800</v>
      </c>
      <c r="AD792" s="15">
        <f>IF(AE792=0, Model!$B$19, 0 )</f>
        <v>0</v>
      </c>
      <c r="AE792" s="50">
        <f>IF(AE791+AB791-AB792&lt;Model!$B$19*Model!$B$18, AE791+AB791-AB792,  0)</f>
        <v>443.63457370611354</v>
      </c>
      <c r="AF792" s="15">
        <f t="shared" si="242"/>
        <v>1</v>
      </c>
      <c r="AG792" s="50">
        <f t="shared" si="243"/>
        <v>0</v>
      </c>
    </row>
    <row r="793" spans="2:33" x14ac:dyDescent="0.25">
      <c r="B793" s="13">
        <f t="shared" si="244"/>
        <v>1</v>
      </c>
      <c r="C793" s="13">
        <f>B793+Model!$B$4</f>
        <v>3</v>
      </c>
      <c r="D793" s="13">
        <f t="shared" si="245"/>
        <v>1</v>
      </c>
      <c r="E793" s="13">
        <f t="shared" si="233"/>
        <v>3</v>
      </c>
      <c r="F793" s="14">
        <f>IF(AB793&gt;0, VLOOKUP(B793,Model!$A$40:$B$60, 2), 0)</f>
        <v>0</v>
      </c>
      <c r="G793" s="13">
        <f>IF(AB793&gt;0, VLOOKUP(B793,Model!$A$39:$C$58, 3), 0)</f>
        <v>0</v>
      </c>
      <c r="H793" s="13">
        <f t="shared" si="234"/>
        <v>0</v>
      </c>
      <c r="I793" s="46">
        <f>Model!$B$21*EXP((-0.029*9.81*F793)/(8.31*(273+J793)))</f>
        <v>104500</v>
      </c>
      <c r="J793" s="13">
        <f>IF(Model!$B$31="Summer",  IF(F793&lt;=2000,  Model!$B$20-Model!$B$35*F793/1000,  IF(F793&lt;Model!$B$36,  Model!$B$33-6.5*F793/1000,  Model!$B$38)),     IF(F793&lt;=2000,  Model!$B$20-Model!$B$35*F793/1000,  IF(F793&lt;Model!$B$36,  Model!$B$33-5.4*F793/1000,   Model!$B$38)))</f>
        <v>-20</v>
      </c>
      <c r="K793" s="13">
        <f t="shared" si="229"/>
        <v>253</v>
      </c>
      <c r="L793" s="46">
        <f>IF(AB792-AA792*(B793-B792)&gt;0, L792-Y792*(B793-B792)*3600-AD793*Model!$B$16, 0)</f>
        <v>0</v>
      </c>
      <c r="M793" s="57">
        <f t="shared" si="235"/>
        <v>0</v>
      </c>
      <c r="N793" s="57">
        <f>Model!$B$13*I793*K793/(Model!$B$13*I793-L793*287*K793)</f>
        <v>253</v>
      </c>
      <c r="O793" s="57">
        <f t="shared" si="236"/>
        <v>253</v>
      </c>
      <c r="P793" s="57">
        <f t="shared" si="237"/>
        <v>-10</v>
      </c>
      <c r="Q793" s="63">
        <f t="shared" si="230"/>
        <v>2.2579999999999999E-2</v>
      </c>
      <c r="R793" s="17">
        <f t="shared" si="231"/>
        <v>1.152E-5</v>
      </c>
      <c r="S793" s="46">
        <f>0.37*Model!$B$10*(Q793^2*(N793-K793)*I793/(R793*O793^2))^0.33333*(N793-K793)</f>
        <v>0</v>
      </c>
      <c r="T793" s="51">
        <f>Model!$B$32+(90-Model!$B$6)*SIN(RADIANS(-15*(E793+6)))</f>
        <v>-31.619472402513487</v>
      </c>
      <c r="U793" s="46">
        <f t="shared" si="238"/>
        <v>0</v>
      </c>
      <c r="V793" s="51">
        <f t="shared" si="239"/>
        <v>99999</v>
      </c>
      <c r="W793" s="46">
        <f t="shared" si="240"/>
        <v>0</v>
      </c>
      <c r="X793" s="46">
        <f>0.3*W793*Model!$B$9</f>
        <v>0</v>
      </c>
      <c r="Y793" s="17">
        <f>(S793-X793)/Model!$B$11</f>
        <v>0</v>
      </c>
      <c r="Z793" s="46" t="e">
        <f t="shared" si="241"/>
        <v>#DIV/0!</v>
      </c>
      <c r="AA793" s="57">
        <f>Y793/Model!$B$12*3600</f>
        <v>0</v>
      </c>
      <c r="AB793" s="51">
        <f t="shared" si="246"/>
        <v>0</v>
      </c>
      <c r="AC793" s="51">
        <f t="shared" si="232"/>
        <v>1800</v>
      </c>
      <c r="AD793" s="13">
        <f>IF(AE793=0, Model!$B$19, 0 )</f>
        <v>0</v>
      </c>
      <c r="AE793" s="51">
        <f>IF(AE792+AB792-AB793&lt;Model!$B$19*Model!$B$18, AE792+AB792-AB793,  0)</f>
        <v>443.63457370611354</v>
      </c>
      <c r="AF793" s="13">
        <f t="shared" si="242"/>
        <v>1</v>
      </c>
      <c r="AG793" s="50">
        <f t="shared" si="243"/>
        <v>0</v>
      </c>
    </row>
    <row r="794" spans="2:33" x14ac:dyDescent="0.25">
      <c r="B794" s="15">
        <f t="shared" si="244"/>
        <v>1</v>
      </c>
      <c r="C794" s="15">
        <f>B794+Model!$B$4</f>
        <v>3</v>
      </c>
      <c r="D794" s="15">
        <f t="shared" si="245"/>
        <v>1</v>
      </c>
      <c r="E794" s="15">
        <f t="shared" si="233"/>
        <v>3</v>
      </c>
      <c r="F794" s="16">
        <f>IF(AB794&gt;0, VLOOKUP(B794,Model!$A$40:$B$60, 2), 0)</f>
        <v>0</v>
      </c>
      <c r="G794" s="15">
        <f>IF(AB794&gt;0, VLOOKUP(B794,Model!$A$39:$C$58, 3), 0)</f>
        <v>0</v>
      </c>
      <c r="H794" s="15">
        <f t="shared" si="234"/>
        <v>0</v>
      </c>
      <c r="I794" s="45">
        <f>Model!$B$21*EXP((-0.029*9.81*F794)/(8.31*(273+J794)))</f>
        <v>104500</v>
      </c>
      <c r="J794" s="15">
        <f>IF(Model!$B$31="Summer",  IF(F794&lt;=2000,  Model!$B$20-Model!$B$35*F794/1000,  IF(F794&lt;Model!$B$36,  Model!$B$33-6.5*F794/1000,  Model!$B$38)),     IF(F794&lt;=2000,  Model!$B$20-Model!$B$35*F794/1000,  IF(F794&lt;Model!$B$36,  Model!$B$33-5.4*F794/1000,   Model!$B$38)))</f>
        <v>-20</v>
      </c>
      <c r="K794" s="15">
        <f t="shared" si="229"/>
        <v>253</v>
      </c>
      <c r="L794" s="45">
        <f>IF(AB793-AA793*(B794-B793)&gt;0, L793-Y793*(B794-B793)*3600-AD794*Model!$B$16, 0)</f>
        <v>0</v>
      </c>
      <c r="M794" s="56">
        <f t="shared" si="235"/>
        <v>0</v>
      </c>
      <c r="N794" s="56">
        <f>Model!$B$13*I794*K794/(Model!$B$13*I794-L794*287*K794)</f>
        <v>253</v>
      </c>
      <c r="O794" s="56">
        <f t="shared" si="236"/>
        <v>253</v>
      </c>
      <c r="P794" s="56">
        <f t="shared" si="237"/>
        <v>-10</v>
      </c>
      <c r="Q794" s="62">
        <f t="shared" si="230"/>
        <v>2.2579999999999999E-2</v>
      </c>
      <c r="R794" s="33">
        <f t="shared" si="231"/>
        <v>1.152E-5</v>
      </c>
      <c r="S794" s="45">
        <f>0.37*Model!$B$10*(Q794^2*(N794-K794)*I794/(R794*O794^2))^0.33333*(N794-K794)</f>
        <v>0</v>
      </c>
      <c r="T794" s="50">
        <f>Model!$B$32+(90-Model!$B$6)*SIN(RADIANS(-15*(E794+6)))</f>
        <v>-31.619472402513487</v>
      </c>
      <c r="U794" s="45">
        <f t="shared" si="238"/>
        <v>0</v>
      </c>
      <c r="V794" s="50">
        <f t="shared" si="239"/>
        <v>99999</v>
      </c>
      <c r="W794" s="45">
        <f t="shared" si="240"/>
        <v>0</v>
      </c>
      <c r="X794" s="45">
        <f>0.3*W794*Model!$B$9</f>
        <v>0</v>
      </c>
      <c r="Y794" s="33">
        <f>(S794-X794)/Model!$B$11</f>
        <v>0</v>
      </c>
      <c r="Z794" s="45" t="e">
        <f t="shared" si="241"/>
        <v>#DIV/0!</v>
      </c>
      <c r="AA794" s="56">
        <f>Y794/Model!$B$12*3600</f>
        <v>0</v>
      </c>
      <c r="AB794" s="50">
        <f t="shared" si="246"/>
        <v>0</v>
      </c>
      <c r="AC794" s="50">
        <f t="shared" si="232"/>
        <v>1800</v>
      </c>
      <c r="AD794" s="15">
        <f>IF(AE794=0, Model!$B$19, 0 )</f>
        <v>0</v>
      </c>
      <c r="AE794" s="50">
        <f>IF(AE793+AB793-AB794&lt;Model!$B$19*Model!$B$18, AE793+AB793-AB794,  0)</f>
        <v>443.63457370611354</v>
      </c>
      <c r="AF794" s="15">
        <f t="shared" si="242"/>
        <v>1</v>
      </c>
      <c r="AG794" s="50">
        <f t="shared" si="243"/>
        <v>0</v>
      </c>
    </row>
    <row r="795" spans="2:33" x14ac:dyDescent="0.25">
      <c r="B795" s="13">
        <f t="shared" si="244"/>
        <v>1</v>
      </c>
      <c r="C795" s="13">
        <f>B795+Model!$B$4</f>
        <v>3</v>
      </c>
      <c r="D795" s="13">
        <f t="shared" si="245"/>
        <v>1</v>
      </c>
      <c r="E795" s="13">
        <f t="shared" si="233"/>
        <v>3</v>
      </c>
      <c r="F795" s="14">
        <f>IF(AB795&gt;0, VLOOKUP(B795,Model!$A$40:$B$60, 2), 0)</f>
        <v>0</v>
      </c>
      <c r="G795" s="13">
        <f>IF(AB795&gt;0, VLOOKUP(B795,Model!$A$39:$C$58, 3), 0)</f>
        <v>0</v>
      </c>
      <c r="H795" s="13">
        <f t="shared" si="234"/>
        <v>0</v>
      </c>
      <c r="I795" s="46">
        <f>Model!$B$21*EXP((-0.029*9.81*F795)/(8.31*(273+J795)))</f>
        <v>104500</v>
      </c>
      <c r="J795" s="13">
        <f>IF(Model!$B$31="Summer",  IF(F795&lt;=2000,  Model!$B$20-Model!$B$35*F795/1000,  IF(F795&lt;Model!$B$36,  Model!$B$33-6.5*F795/1000,  Model!$B$38)),     IF(F795&lt;=2000,  Model!$B$20-Model!$B$35*F795/1000,  IF(F795&lt;Model!$B$36,  Model!$B$33-5.4*F795/1000,   Model!$B$38)))</f>
        <v>-20</v>
      </c>
      <c r="K795" s="13">
        <f t="shared" ref="K795:K802" si="247">273+J795</f>
        <v>253</v>
      </c>
      <c r="L795" s="46">
        <f>IF(AB794-AA794*(B795-B794)&gt;0, L794-Y794*(B795-B794)*3600-AD795*Model!$B$16, 0)</f>
        <v>0</v>
      </c>
      <c r="M795" s="57">
        <f t="shared" si="235"/>
        <v>0</v>
      </c>
      <c r="N795" s="57">
        <f>Model!$B$13*I795*K795/(Model!$B$13*I795-L795*287*K795)</f>
        <v>253</v>
      </c>
      <c r="O795" s="57">
        <f t="shared" si="236"/>
        <v>253</v>
      </c>
      <c r="P795" s="57">
        <f t="shared" si="237"/>
        <v>-10</v>
      </c>
      <c r="Q795" s="63">
        <f t="shared" ref="Q795:Q802" si="248">(O795-273)*7.1*0.00001+0.024</f>
        <v>2.2579999999999999E-2</v>
      </c>
      <c r="R795" s="17">
        <f t="shared" ref="R795:R802" si="249">((O795-273)*0.104+13.6)*0.000001</f>
        <v>1.152E-5</v>
      </c>
      <c r="S795" s="46">
        <f>0.37*Model!$B$10*(Q795^2*(N795-K795)*I795/(R795*O795^2))^0.33333*(N795-K795)</f>
        <v>0</v>
      </c>
      <c r="T795" s="51">
        <f>Model!$B$32+(90-Model!$B$6)*SIN(RADIANS(-15*(E795+6)))</f>
        <v>-31.619472402513487</v>
      </c>
      <c r="U795" s="46">
        <f t="shared" si="238"/>
        <v>0</v>
      </c>
      <c r="V795" s="51">
        <f t="shared" si="239"/>
        <v>99999</v>
      </c>
      <c r="W795" s="46">
        <f t="shared" si="240"/>
        <v>0</v>
      </c>
      <c r="X795" s="46">
        <f>0.3*W795*Model!$B$9</f>
        <v>0</v>
      </c>
      <c r="Y795" s="17">
        <f>(S795-X795)/Model!$B$11</f>
        <v>0</v>
      </c>
      <c r="Z795" s="46" t="e">
        <f t="shared" si="241"/>
        <v>#DIV/0!</v>
      </c>
      <c r="AA795" s="57">
        <f>Y795/Model!$B$12*3600</f>
        <v>0</v>
      </c>
      <c r="AB795" s="51">
        <f t="shared" si="246"/>
        <v>0</v>
      </c>
      <c r="AC795" s="51">
        <f t="shared" ref="AC795:AC802" si="250">AC794+AB794-AB795</f>
        <v>1800</v>
      </c>
      <c r="AD795" s="13">
        <f>IF(AE795=0, Model!$B$19, 0 )</f>
        <v>0</v>
      </c>
      <c r="AE795" s="51">
        <f>IF(AE794+AB794-AB795&lt;Model!$B$19*Model!$B$18, AE794+AB794-AB795,  0)</f>
        <v>443.63457370611354</v>
      </c>
      <c r="AF795" s="13">
        <f t="shared" si="242"/>
        <v>1</v>
      </c>
      <c r="AG795" s="50">
        <f t="shared" si="243"/>
        <v>0</v>
      </c>
    </row>
    <row r="796" spans="2:33" x14ac:dyDescent="0.25">
      <c r="B796" s="15">
        <f t="shared" si="244"/>
        <v>1</v>
      </c>
      <c r="C796" s="15">
        <f>B796+Model!$B$4</f>
        <v>3</v>
      </c>
      <c r="D796" s="15">
        <f t="shared" si="245"/>
        <v>1</v>
      </c>
      <c r="E796" s="15">
        <f t="shared" si="233"/>
        <v>3</v>
      </c>
      <c r="F796" s="16">
        <f>IF(AB796&gt;0, VLOOKUP(B796,Model!$A$40:$B$60, 2), 0)</f>
        <v>0</v>
      </c>
      <c r="G796" s="15">
        <f>IF(AB796&gt;0, VLOOKUP(B796,Model!$A$39:$C$58, 3), 0)</f>
        <v>0</v>
      </c>
      <c r="H796" s="15">
        <f t="shared" si="234"/>
        <v>0</v>
      </c>
      <c r="I796" s="45">
        <f>Model!$B$21*EXP((-0.029*9.81*F796)/(8.31*(273+J796)))</f>
        <v>104500</v>
      </c>
      <c r="J796" s="15">
        <f>IF(Model!$B$31="Summer",  IF(F796&lt;=2000,  Model!$B$20-Model!$B$35*F796/1000,  IF(F796&lt;Model!$B$36,  Model!$B$33-6.5*F796/1000,  Model!$B$38)),     IF(F796&lt;=2000,  Model!$B$20-Model!$B$35*F796/1000,  IF(F796&lt;Model!$B$36,  Model!$B$33-5.4*F796/1000,   Model!$B$38)))</f>
        <v>-20</v>
      </c>
      <c r="K796" s="15">
        <f t="shared" si="247"/>
        <v>253</v>
      </c>
      <c r="L796" s="45">
        <f>IF(AB795-AA795*(B796-B795)&gt;0, L795-Y795*(B796-B795)*3600-AD796*Model!$B$16, 0)</f>
        <v>0</v>
      </c>
      <c r="M796" s="56">
        <f t="shared" si="235"/>
        <v>0</v>
      </c>
      <c r="N796" s="56">
        <f>Model!$B$13*I796*K796/(Model!$B$13*I796-L796*287*K796)</f>
        <v>253</v>
      </c>
      <c r="O796" s="56">
        <f t="shared" si="236"/>
        <v>253</v>
      </c>
      <c r="P796" s="56">
        <f t="shared" si="237"/>
        <v>-10</v>
      </c>
      <c r="Q796" s="62">
        <f t="shared" si="248"/>
        <v>2.2579999999999999E-2</v>
      </c>
      <c r="R796" s="33">
        <f t="shared" si="249"/>
        <v>1.152E-5</v>
      </c>
      <c r="S796" s="45">
        <f>0.37*Model!$B$10*(Q796^2*(N796-K796)*I796/(R796*O796^2))^0.33333*(N796-K796)</f>
        <v>0</v>
      </c>
      <c r="T796" s="50">
        <f>Model!$B$32+(90-Model!$B$6)*SIN(RADIANS(-15*(E796+6)))</f>
        <v>-31.619472402513487</v>
      </c>
      <c r="U796" s="45">
        <f t="shared" si="238"/>
        <v>0</v>
      </c>
      <c r="V796" s="50">
        <f t="shared" si="239"/>
        <v>99999</v>
      </c>
      <c r="W796" s="45">
        <f t="shared" si="240"/>
        <v>0</v>
      </c>
      <c r="X796" s="45">
        <f>0.3*W796*Model!$B$9</f>
        <v>0</v>
      </c>
      <c r="Y796" s="33">
        <f>(S796-X796)/Model!$B$11</f>
        <v>0</v>
      </c>
      <c r="Z796" s="45" t="e">
        <f t="shared" si="241"/>
        <v>#DIV/0!</v>
      </c>
      <c r="AA796" s="56">
        <f>Y796/Model!$B$12*3600</f>
        <v>0</v>
      </c>
      <c r="AB796" s="50">
        <f t="shared" si="246"/>
        <v>0</v>
      </c>
      <c r="AC796" s="50">
        <f t="shared" si="250"/>
        <v>1800</v>
      </c>
      <c r="AD796" s="15">
        <f>IF(AE796=0, Model!$B$19, 0 )</f>
        <v>0</v>
      </c>
      <c r="AE796" s="50">
        <f>IF(AE795+AB795-AB796&lt;Model!$B$19*Model!$B$18, AE795+AB795-AB796,  0)</f>
        <v>443.63457370611354</v>
      </c>
      <c r="AF796" s="15">
        <f t="shared" si="242"/>
        <v>1</v>
      </c>
      <c r="AG796" s="50">
        <f t="shared" si="243"/>
        <v>0</v>
      </c>
    </row>
    <row r="797" spans="2:33" x14ac:dyDescent="0.25">
      <c r="B797" s="13">
        <f t="shared" si="244"/>
        <v>1</v>
      </c>
      <c r="C797" s="13">
        <f>B797+Model!$B$4</f>
        <v>3</v>
      </c>
      <c r="D797" s="13">
        <f t="shared" si="245"/>
        <v>1</v>
      </c>
      <c r="E797" s="13">
        <f t="shared" si="233"/>
        <v>3</v>
      </c>
      <c r="F797" s="14">
        <f>IF(AB797&gt;0, VLOOKUP(B797,Model!$A$40:$B$60, 2), 0)</f>
        <v>0</v>
      </c>
      <c r="G797" s="13">
        <f>IF(AB797&gt;0, VLOOKUP(B797,Model!$A$39:$C$58, 3), 0)</f>
        <v>0</v>
      </c>
      <c r="H797" s="13">
        <f t="shared" si="234"/>
        <v>0</v>
      </c>
      <c r="I797" s="46">
        <f>Model!$B$21*EXP((-0.029*9.81*F797)/(8.31*(273+J797)))</f>
        <v>104500</v>
      </c>
      <c r="J797" s="13">
        <f>IF(Model!$B$31="Summer",  IF(F797&lt;=2000,  Model!$B$20-Model!$B$35*F797/1000,  IF(F797&lt;Model!$B$36,  Model!$B$33-6.5*F797/1000,  Model!$B$38)),     IF(F797&lt;=2000,  Model!$B$20-Model!$B$35*F797/1000,  IF(F797&lt;Model!$B$36,  Model!$B$33-5.4*F797/1000,   Model!$B$38)))</f>
        <v>-20</v>
      </c>
      <c r="K797" s="13">
        <f t="shared" si="247"/>
        <v>253</v>
      </c>
      <c r="L797" s="46">
        <f>IF(AB796-AA796*(B797-B796)&gt;0, L796-Y796*(B797-B796)*3600-AD797*Model!$B$16, 0)</f>
        <v>0</v>
      </c>
      <c r="M797" s="57">
        <f t="shared" si="235"/>
        <v>0</v>
      </c>
      <c r="N797" s="57">
        <f>Model!$B$13*I797*K797/(Model!$B$13*I797-L797*287*K797)</f>
        <v>253</v>
      </c>
      <c r="O797" s="57">
        <f t="shared" si="236"/>
        <v>253</v>
      </c>
      <c r="P797" s="57">
        <f t="shared" si="237"/>
        <v>-10</v>
      </c>
      <c r="Q797" s="63">
        <f t="shared" si="248"/>
        <v>2.2579999999999999E-2</v>
      </c>
      <c r="R797" s="17">
        <f t="shared" si="249"/>
        <v>1.152E-5</v>
      </c>
      <c r="S797" s="46">
        <f>0.37*Model!$B$10*(Q797^2*(N797-K797)*I797/(R797*O797^2))^0.33333*(N797-K797)</f>
        <v>0</v>
      </c>
      <c r="T797" s="51">
        <f>Model!$B$32+(90-Model!$B$6)*SIN(RADIANS(-15*(E797+6)))</f>
        <v>-31.619472402513487</v>
      </c>
      <c r="U797" s="46">
        <f t="shared" si="238"/>
        <v>0</v>
      </c>
      <c r="V797" s="51">
        <f t="shared" si="239"/>
        <v>99999</v>
      </c>
      <c r="W797" s="46">
        <f t="shared" si="240"/>
        <v>0</v>
      </c>
      <c r="X797" s="46">
        <f>0.3*W797*Model!$B$9</f>
        <v>0</v>
      </c>
      <c r="Y797" s="17">
        <f>(S797-X797)/Model!$B$11</f>
        <v>0</v>
      </c>
      <c r="Z797" s="46" t="e">
        <f t="shared" si="241"/>
        <v>#DIV/0!</v>
      </c>
      <c r="AA797" s="57">
        <f>Y797/Model!$B$12*3600</f>
        <v>0</v>
      </c>
      <c r="AB797" s="51">
        <f t="shared" si="246"/>
        <v>0</v>
      </c>
      <c r="AC797" s="51">
        <f t="shared" si="250"/>
        <v>1800</v>
      </c>
      <c r="AD797" s="13">
        <f>IF(AE797=0, Model!$B$19, 0 )</f>
        <v>0</v>
      </c>
      <c r="AE797" s="51">
        <f>IF(AE796+AB796-AB797&lt;Model!$B$19*Model!$B$18, AE796+AB796-AB797,  0)</f>
        <v>443.63457370611354</v>
      </c>
      <c r="AF797" s="13">
        <f t="shared" si="242"/>
        <v>1</v>
      </c>
      <c r="AG797" s="50">
        <f t="shared" si="243"/>
        <v>0</v>
      </c>
    </row>
    <row r="798" spans="2:33" x14ac:dyDescent="0.25">
      <c r="B798" s="15">
        <f t="shared" si="244"/>
        <v>1</v>
      </c>
      <c r="C798" s="15">
        <f>B798+Model!$B$4</f>
        <v>3</v>
      </c>
      <c r="D798" s="15">
        <f t="shared" si="245"/>
        <v>1</v>
      </c>
      <c r="E798" s="15">
        <f t="shared" si="233"/>
        <v>3</v>
      </c>
      <c r="F798" s="16">
        <f>IF(AB798&gt;0, VLOOKUP(B798,Model!$A$40:$B$60, 2), 0)</f>
        <v>0</v>
      </c>
      <c r="G798" s="15">
        <f>IF(AB798&gt;0, VLOOKUP(B798,Model!$A$39:$C$58, 3), 0)</f>
        <v>0</v>
      </c>
      <c r="H798" s="15">
        <f t="shared" si="234"/>
        <v>0</v>
      </c>
      <c r="I798" s="45">
        <f>Model!$B$21*EXP((-0.029*9.81*F798)/(8.31*(273+J798)))</f>
        <v>104500</v>
      </c>
      <c r="J798" s="15">
        <f>IF(Model!$B$31="Summer",  IF(F798&lt;=2000,  Model!$B$20-Model!$B$35*F798/1000,  IF(F798&lt;Model!$B$36,  Model!$B$33-6.5*F798/1000,  Model!$B$38)),     IF(F798&lt;=2000,  Model!$B$20-Model!$B$35*F798/1000,  IF(F798&lt;Model!$B$36,  Model!$B$33-5.4*F798/1000,   Model!$B$38)))</f>
        <v>-20</v>
      </c>
      <c r="K798" s="15">
        <f t="shared" si="247"/>
        <v>253</v>
      </c>
      <c r="L798" s="45">
        <f>IF(AB797-AA797*(B798-B797)&gt;0, L797-Y797*(B798-B797)*3600-AD798*Model!$B$16, 0)</f>
        <v>0</v>
      </c>
      <c r="M798" s="56">
        <f t="shared" si="235"/>
        <v>0</v>
      </c>
      <c r="N798" s="56">
        <f>Model!$B$13*I798*K798/(Model!$B$13*I798-L798*287*K798)</f>
        <v>253</v>
      </c>
      <c r="O798" s="56">
        <f t="shared" si="236"/>
        <v>253</v>
      </c>
      <c r="P798" s="56">
        <f t="shared" si="237"/>
        <v>-10</v>
      </c>
      <c r="Q798" s="62">
        <f t="shared" si="248"/>
        <v>2.2579999999999999E-2</v>
      </c>
      <c r="R798" s="33">
        <f t="shared" si="249"/>
        <v>1.152E-5</v>
      </c>
      <c r="S798" s="45">
        <f>0.37*Model!$B$10*(Q798^2*(N798-K798)*I798/(R798*O798^2))^0.33333*(N798-K798)</f>
        <v>0</v>
      </c>
      <c r="T798" s="50">
        <f>Model!$B$32+(90-Model!$B$6)*SIN(RADIANS(-15*(E798+6)))</f>
        <v>-31.619472402513487</v>
      </c>
      <c r="U798" s="45">
        <f t="shared" si="238"/>
        <v>0</v>
      </c>
      <c r="V798" s="50">
        <f t="shared" si="239"/>
        <v>99999</v>
      </c>
      <c r="W798" s="45">
        <f t="shared" si="240"/>
        <v>0</v>
      </c>
      <c r="X798" s="45">
        <f>0.3*W798*Model!$B$9</f>
        <v>0</v>
      </c>
      <c r="Y798" s="33">
        <f>(S798-X798)/Model!$B$11</f>
        <v>0</v>
      </c>
      <c r="Z798" s="45" t="e">
        <f t="shared" si="241"/>
        <v>#DIV/0!</v>
      </c>
      <c r="AA798" s="56">
        <f>Y798/Model!$B$12*3600</f>
        <v>0</v>
      </c>
      <c r="AB798" s="50">
        <f t="shared" si="246"/>
        <v>0</v>
      </c>
      <c r="AC798" s="50">
        <f t="shared" si="250"/>
        <v>1800</v>
      </c>
      <c r="AD798" s="15">
        <f>IF(AE798=0, Model!$B$19, 0 )</f>
        <v>0</v>
      </c>
      <c r="AE798" s="50">
        <f>IF(AE797+AB797-AB798&lt;Model!$B$19*Model!$B$18, AE797+AB797-AB798,  0)</f>
        <v>443.63457370611354</v>
      </c>
      <c r="AF798" s="15">
        <f t="shared" si="242"/>
        <v>1</v>
      </c>
      <c r="AG798" s="50">
        <f t="shared" si="243"/>
        <v>0</v>
      </c>
    </row>
    <row r="799" spans="2:33" x14ac:dyDescent="0.25">
      <c r="B799" s="13">
        <f t="shared" si="244"/>
        <v>1</v>
      </c>
      <c r="C799" s="13">
        <f>B799+Model!$B$4</f>
        <v>3</v>
      </c>
      <c r="D799" s="13">
        <f t="shared" si="245"/>
        <v>1</v>
      </c>
      <c r="E799" s="13">
        <f t="shared" si="233"/>
        <v>3</v>
      </c>
      <c r="F799" s="14">
        <f>IF(AB799&gt;0, VLOOKUP(B799,Model!$A$40:$B$60, 2), 0)</f>
        <v>0</v>
      </c>
      <c r="G799" s="13">
        <f>IF(AB799&gt;0, VLOOKUP(B799,Model!$A$39:$C$58, 3), 0)</f>
        <v>0</v>
      </c>
      <c r="H799" s="13">
        <f t="shared" si="234"/>
        <v>0</v>
      </c>
      <c r="I799" s="46">
        <f>Model!$B$21*EXP((-0.029*9.81*F799)/(8.31*(273+J799)))</f>
        <v>104500</v>
      </c>
      <c r="J799" s="13">
        <f>IF(Model!$B$31="Summer",  IF(F799&lt;=2000,  Model!$B$20-Model!$B$35*F799/1000,  IF(F799&lt;Model!$B$36,  Model!$B$33-6.5*F799/1000,  Model!$B$38)),     IF(F799&lt;=2000,  Model!$B$20-Model!$B$35*F799/1000,  IF(F799&lt;Model!$B$36,  Model!$B$33-5.4*F799/1000,   Model!$B$38)))</f>
        <v>-20</v>
      </c>
      <c r="K799" s="13">
        <f t="shared" si="247"/>
        <v>253</v>
      </c>
      <c r="L799" s="46">
        <f>IF(AB798-AA798*(B799-B798)&gt;0, L798-Y798*(B799-B798)*3600-AD799*Model!$B$16, 0)</f>
        <v>0</v>
      </c>
      <c r="M799" s="57">
        <f t="shared" si="235"/>
        <v>0</v>
      </c>
      <c r="N799" s="57">
        <f>Model!$B$13*I799*K799/(Model!$B$13*I799-L799*287*K799)</f>
        <v>253</v>
      </c>
      <c r="O799" s="57">
        <f t="shared" si="236"/>
        <v>253</v>
      </c>
      <c r="P799" s="57">
        <f t="shared" si="237"/>
        <v>-10</v>
      </c>
      <c r="Q799" s="63">
        <f t="shared" si="248"/>
        <v>2.2579999999999999E-2</v>
      </c>
      <c r="R799" s="17">
        <f t="shared" si="249"/>
        <v>1.152E-5</v>
      </c>
      <c r="S799" s="46">
        <f>0.37*Model!$B$10*(Q799^2*(N799-K799)*I799/(R799*O799^2))^0.33333*(N799-K799)</f>
        <v>0</v>
      </c>
      <c r="T799" s="51">
        <f>Model!$B$32+(90-Model!$B$6)*SIN(RADIANS(-15*(E799+6)))</f>
        <v>-31.619472402513487</v>
      </c>
      <c r="U799" s="46">
        <f t="shared" si="238"/>
        <v>0</v>
      </c>
      <c r="V799" s="51">
        <f t="shared" si="239"/>
        <v>99999</v>
      </c>
      <c r="W799" s="46">
        <f t="shared" si="240"/>
        <v>0</v>
      </c>
      <c r="X799" s="46">
        <f>0.3*W799*Model!$B$9</f>
        <v>0</v>
      </c>
      <c r="Y799" s="17">
        <f>(S799-X799)/Model!$B$11</f>
        <v>0</v>
      </c>
      <c r="Z799" s="46" t="e">
        <f t="shared" si="241"/>
        <v>#DIV/0!</v>
      </c>
      <c r="AA799" s="57">
        <f>Y799/Model!$B$12*3600</f>
        <v>0</v>
      </c>
      <c r="AB799" s="51">
        <f t="shared" si="246"/>
        <v>0</v>
      </c>
      <c r="AC799" s="51">
        <f t="shared" si="250"/>
        <v>1800</v>
      </c>
      <c r="AD799" s="13">
        <f>IF(AE799=0, Model!$B$19, 0 )</f>
        <v>0</v>
      </c>
      <c r="AE799" s="51">
        <f>IF(AE798+AB798-AB799&lt;Model!$B$19*Model!$B$18, AE798+AB798-AB799,  0)</f>
        <v>443.63457370611354</v>
      </c>
      <c r="AF799" s="13">
        <f t="shared" si="242"/>
        <v>1</v>
      </c>
      <c r="AG799" s="50">
        <f t="shared" si="243"/>
        <v>0</v>
      </c>
    </row>
    <row r="800" spans="2:33" x14ac:dyDescent="0.25">
      <c r="B800" s="15">
        <f t="shared" si="244"/>
        <v>1</v>
      </c>
      <c r="C800" s="15">
        <f>B800+Model!$B$4</f>
        <v>3</v>
      </c>
      <c r="D800" s="15">
        <f t="shared" si="245"/>
        <v>1</v>
      </c>
      <c r="E800" s="15">
        <f t="shared" si="233"/>
        <v>3</v>
      </c>
      <c r="F800" s="16">
        <f>IF(AB800&gt;0, VLOOKUP(B800,Model!$A$40:$B$60, 2), 0)</f>
        <v>0</v>
      </c>
      <c r="G800" s="15">
        <f>IF(AB800&gt;0, VLOOKUP(B800,Model!$A$39:$C$58, 3), 0)</f>
        <v>0</v>
      </c>
      <c r="H800" s="15">
        <f t="shared" si="234"/>
        <v>0</v>
      </c>
      <c r="I800" s="45">
        <f>Model!$B$21*EXP((-0.029*9.81*F800)/(8.31*(273+J800)))</f>
        <v>104500</v>
      </c>
      <c r="J800" s="15">
        <f>IF(Model!$B$31="Summer",  IF(F800&lt;=2000,  Model!$B$20-Model!$B$35*F800/1000,  IF(F800&lt;Model!$B$36,  Model!$B$33-6.5*F800/1000,  Model!$B$38)),     IF(F800&lt;=2000,  Model!$B$20-Model!$B$35*F800/1000,  IF(F800&lt;Model!$B$36,  Model!$B$33-5.4*F800/1000,   Model!$B$38)))</f>
        <v>-20</v>
      </c>
      <c r="K800" s="15">
        <f t="shared" si="247"/>
        <v>253</v>
      </c>
      <c r="L800" s="45">
        <f>IF(AB799-AA799*(B800-B799)&gt;0, L799-Y799*(B800-B799)*3600-AD800*Model!$B$16, 0)</f>
        <v>0</v>
      </c>
      <c r="M800" s="56">
        <f t="shared" si="235"/>
        <v>0</v>
      </c>
      <c r="N800" s="56">
        <f>Model!$B$13*I800*K800/(Model!$B$13*I800-L800*287*K800)</f>
        <v>253</v>
      </c>
      <c r="O800" s="56">
        <f t="shared" si="236"/>
        <v>253</v>
      </c>
      <c r="P800" s="56">
        <f t="shared" si="237"/>
        <v>-10</v>
      </c>
      <c r="Q800" s="62">
        <f t="shared" si="248"/>
        <v>2.2579999999999999E-2</v>
      </c>
      <c r="R800" s="33">
        <f t="shared" si="249"/>
        <v>1.152E-5</v>
      </c>
      <c r="S800" s="45">
        <f>0.37*Model!$B$10*(Q800^2*(N800-K800)*I800/(R800*O800^2))^0.33333*(N800-K800)</f>
        <v>0</v>
      </c>
      <c r="T800" s="50">
        <f>Model!$B$32+(90-Model!$B$6)*SIN(RADIANS(-15*(E800+6)))</f>
        <v>-31.619472402513487</v>
      </c>
      <c r="U800" s="45">
        <f t="shared" si="238"/>
        <v>0</v>
      </c>
      <c r="V800" s="50">
        <f t="shared" si="239"/>
        <v>99999</v>
      </c>
      <c r="W800" s="45">
        <f t="shared" si="240"/>
        <v>0</v>
      </c>
      <c r="X800" s="45">
        <f>0.3*W800*Model!$B$9</f>
        <v>0</v>
      </c>
      <c r="Y800" s="33">
        <f>(S800-X800)/Model!$B$11</f>
        <v>0</v>
      </c>
      <c r="Z800" s="45" t="e">
        <f t="shared" si="241"/>
        <v>#DIV/0!</v>
      </c>
      <c r="AA800" s="56">
        <f>Y800/Model!$B$12*3600</f>
        <v>0</v>
      </c>
      <c r="AB800" s="50">
        <f t="shared" si="246"/>
        <v>0</v>
      </c>
      <c r="AC800" s="50">
        <f t="shared" si="250"/>
        <v>1800</v>
      </c>
      <c r="AD800" s="15">
        <f>IF(AE800=0, Model!$B$19, 0 )</f>
        <v>0</v>
      </c>
      <c r="AE800" s="50">
        <f>IF(AE799+AB799-AB800&lt;Model!$B$19*Model!$B$18, AE799+AB799-AB800,  0)</f>
        <v>443.63457370611354</v>
      </c>
      <c r="AF800" s="15">
        <f t="shared" si="242"/>
        <v>1</v>
      </c>
      <c r="AG800" s="50">
        <f t="shared" si="243"/>
        <v>0</v>
      </c>
    </row>
    <row r="801" spans="2:33" x14ac:dyDescent="0.25">
      <c r="B801" s="13">
        <f t="shared" si="244"/>
        <v>1</v>
      </c>
      <c r="C801" s="13">
        <f>B801+Model!$B$4</f>
        <v>3</v>
      </c>
      <c r="D801" s="13">
        <f t="shared" si="245"/>
        <v>1</v>
      </c>
      <c r="E801" s="13">
        <f t="shared" si="233"/>
        <v>3</v>
      </c>
      <c r="F801" s="14">
        <f>IF(AB801&gt;0, VLOOKUP(B801,Model!$A$40:$B$60, 2), 0)</f>
        <v>0</v>
      </c>
      <c r="G801" s="13">
        <f>IF(AB801&gt;0, VLOOKUP(B801,Model!$A$39:$C$58, 3), 0)</f>
        <v>0</v>
      </c>
      <c r="H801" s="13">
        <f t="shared" si="234"/>
        <v>0</v>
      </c>
      <c r="I801" s="46">
        <f>Model!$B$21*EXP((-0.029*9.81*F801)/(8.31*(273+J801)))</f>
        <v>104500</v>
      </c>
      <c r="J801" s="13">
        <f>IF(Model!$B$31="Summer",  IF(F801&lt;=2000,  Model!$B$20-Model!$B$35*F801/1000,  IF(F801&lt;Model!$B$36,  Model!$B$33-6.5*F801/1000,  Model!$B$38)),     IF(F801&lt;=2000,  Model!$B$20-Model!$B$35*F801/1000,  IF(F801&lt;Model!$B$36,  Model!$B$33-5.4*F801/1000,   Model!$B$38)))</f>
        <v>-20</v>
      </c>
      <c r="K801" s="13">
        <f t="shared" si="247"/>
        <v>253</v>
      </c>
      <c r="L801" s="46">
        <f>IF(AB800-AA800*(B801-B800)&gt;0, L800-Y800*(B801-B800)*3600-AD801*Model!$B$16, 0)</f>
        <v>0</v>
      </c>
      <c r="M801" s="57">
        <f t="shared" si="235"/>
        <v>0</v>
      </c>
      <c r="N801" s="57">
        <f>Model!$B$13*I801*K801/(Model!$B$13*I801-L801*287*K801)</f>
        <v>253</v>
      </c>
      <c r="O801" s="57">
        <f t="shared" si="236"/>
        <v>253</v>
      </c>
      <c r="P801" s="57">
        <f t="shared" si="237"/>
        <v>-10</v>
      </c>
      <c r="Q801" s="63">
        <f t="shared" si="248"/>
        <v>2.2579999999999999E-2</v>
      </c>
      <c r="R801" s="17">
        <f t="shared" si="249"/>
        <v>1.152E-5</v>
      </c>
      <c r="S801" s="46">
        <f>0.37*Model!$B$10*(Q801^2*(N801-K801)*I801/(R801*O801^2))^0.33333*(N801-K801)</f>
        <v>0</v>
      </c>
      <c r="T801" s="51">
        <f>Model!$B$32+(90-Model!$B$6)*SIN(RADIANS(-15*(E801+6)))</f>
        <v>-31.619472402513487</v>
      </c>
      <c r="U801" s="46">
        <f t="shared" si="238"/>
        <v>0</v>
      </c>
      <c r="V801" s="51">
        <f t="shared" si="239"/>
        <v>99999</v>
      </c>
      <c r="W801" s="46">
        <f t="shared" si="240"/>
        <v>0</v>
      </c>
      <c r="X801" s="46">
        <f>0.3*W801*Model!$B$9</f>
        <v>0</v>
      </c>
      <c r="Y801" s="17">
        <f>(S801-X801)/Model!$B$11</f>
        <v>0</v>
      </c>
      <c r="Z801" s="46" t="e">
        <f t="shared" si="241"/>
        <v>#DIV/0!</v>
      </c>
      <c r="AA801" s="57">
        <f>Y801/Model!$B$12*3600</f>
        <v>0</v>
      </c>
      <c r="AB801" s="51">
        <f t="shared" si="246"/>
        <v>0</v>
      </c>
      <c r="AC801" s="51">
        <f t="shared" si="250"/>
        <v>1800</v>
      </c>
      <c r="AD801" s="13">
        <f>IF(AE801=0, Model!$B$19, 0 )</f>
        <v>0</v>
      </c>
      <c r="AE801" s="51">
        <f>IF(AE800+AB800-AB801&lt;Model!$B$19*Model!$B$18, AE800+AB800-AB801,  0)</f>
        <v>443.63457370611354</v>
      </c>
      <c r="AF801" s="13">
        <f t="shared" si="242"/>
        <v>1</v>
      </c>
      <c r="AG801" s="50">
        <f t="shared" si="243"/>
        <v>0</v>
      </c>
    </row>
    <row r="802" spans="2:33" x14ac:dyDescent="0.25">
      <c r="B802" s="15">
        <f t="shared" si="244"/>
        <v>1</v>
      </c>
      <c r="C802" s="15">
        <f>B802+Model!$B$4</f>
        <v>3</v>
      </c>
      <c r="D802" s="15">
        <f t="shared" si="245"/>
        <v>1</v>
      </c>
      <c r="E802" s="15">
        <f t="shared" si="233"/>
        <v>3</v>
      </c>
      <c r="F802" s="16">
        <f>IF(AB802&gt;0, VLOOKUP(B802,Model!$A$40:$B$60, 2), 0)</f>
        <v>0</v>
      </c>
      <c r="G802" s="15">
        <f>IF(AB802&gt;0, VLOOKUP(B802,Model!$A$39:$C$58, 3), 0)</f>
        <v>0</v>
      </c>
      <c r="H802" s="15">
        <f t="shared" si="234"/>
        <v>0</v>
      </c>
      <c r="I802" s="45">
        <f>Model!$B$21*EXP((-0.029*9.81*F802)/(8.31*(273+J802)))</f>
        <v>104500</v>
      </c>
      <c r="J802" s="15">
        <f>IF(Model!$B$31="Summer",  IF(F802&lt;=2000,  Model!$B$20-Model!$B$35*F802/1000,  IF(F802&lt;Model!$B$36,  Model!$B$33-6.5*F802/1000,  Model!$B$38)),     IF(F802&lt;=2000,  Model!$B$20-Model!$B$35*F802/1000,  IF(F802&lt;Model!$B$36,  Model!$B$33-5.4*F802/1000,   Model!$B$38)))</f>
        <v>-20</v>
      </c>
      <c r="K802" s="15">
        <f t="shared" si="247"/>
        <v>253</v>
      </c>
      <c r="L802" s="45">
        <f>IF(AB801-AA801*(B802-B801)&gt;0, L801-Y801*(B802-B801)*3600-AD802*Model!$B$16, 0)</f>
        <v>0</v>
      </c>
      <c r="M802" s="56">
        <f t="shared" si="235"/>
        <v>0</v>
      </c>
      <c r="N802" s="56">
        <f>Model!$B$13*I802*K802/(Model!$B$13*I802-L802*287*K802)</f>
        <v>253</v>
      </c>
      <c r="O802" s="56">
        <f t="shared" si="236"/>
        <v>253</v>
      </c>
      <c r="P802" s="56">
        <f t="shared" si="237"/>
        <v>-10</v>
      </c>
      <c r="Q802" s="62">
        <f t="shared" si="248"/>
        <v>2.2579999999999999E-2</v>
      </c>
      <c r="R802" s="33">
        <f t="shared" si="249"/>
        <v>1.152E-5</v>
      </c>
      <c r="S802" s="45">
        <f>0.37*Model!$B$10*(Q802^2*(N802-K802)*I802/(R802*O802^2))^0.33333*(N802-K802)</f>
        <v>0</v>
      </c>
      <c r="T802" s="50">
        <f>Model!$B$32+(90-Model!$B$6)*SIN(RADIANS(-15*(E802+6)))</f>
        <v>-31.619472402513487</v>
      </c>
      <c r="U802" s="45">
        <f t="shared" si="238"/>
        <v>0</v>
      </c>
      <c r="V802" s="50">
        <f t="shared" si="239"/>
        <v>99999</v>
      </c>
      <c r="W802" s="45">
        <f t="shared" si="240"/>
        <v>0</v>
      </c>
      <c r="X802" s="45">
        <f>0.3*W802*Model!$B$9</f>
        <v>0</v>
      </c>
      <c r="Y802" s="33">
        <f>(S802-X802)/Model!$B$11</f>
        <v>0</v>
      </c>
      <c r="Z802" s="45" t="e">
        <f t="shared" si="241"/>
        <v>#DIV/0!</v>
      </c>
      <c r="AA802" s="56">
        <f>Y802/Model!$B$12*3600</f>
        <v>0</v>
      </c>
      <c r="AB802" s="50">
        <f t="shared" si="246"/>
        <v>0</v>
      </c>
      <c r="AC802" s="50">
        <f t="shared" si="250"/>
        <v>1800</v>
      </c>
      <c r="AD802" s="15">
        <f>IF(AE802=0, Model!$B$19, 0 )</f>
        <v>0</v>
      </c>
      <c r="AE802" s="50">
        <f>IF(AE801+AB801-AB802&lt;Model!$B$19*Model!$B$18, AE801+AB801-AB802,  0)</f>
        <v>443.63457370611354</v>
      </c>
      <c r="AF802" s="15">
        <f t="shared" si="242"/>
        <v>1</v>
      </c>
      <c r="AG802" s="50">
        <f t="shared" si="243"/>
        <v>0</v>
      </c>
    </row>
    <row r="803" spans="2:33" x14ac:dyDescent="0.25">
      <c r="B803" s="13">
        <f t="shared" si="244"/>
        <v>1</v>
      </c>
      <c r="C803" s="13">
        <f>B803+Model!$B$4</f>
        <v>3</v>
      </c>
      <c r="D803" s="13">
        <f t="shared" si="245"/>
        <v>1</v>
      </c>
      <c r="E803" s="13">
        <f t="shared" ref="E803:E866" si="251">C803-24*(D803-1)</f>
        <v>3</v>
      </c>
      <c r="F803" s="14">
        <f>IF(AB803&gt;0, VLOOKUP(B803,Model!$A$40:$B$60, 2), 0)</f>
        <v>0</v>
      </c>
      <c r="G803" s="13">
        <f>IF(AB803&gt;0, VLOOKUP(B803,Model!$A$39:$C$58, 3), 0)</f>
        <v>0</v>
      </c>
      <c r="H803" s="13">
        <f t="shared" si="234"/>
        <v>0</v>
      </c>
      <c r="I803" s="46">
        <f>Model!$B$21*EXP((-0.029*9.81*F803)/(8.31*(273+J803)))</f>
        <v>104500</v>
      </c>
      <c r="J803" s="13">
        <f>IF(Model!$B$31="Summer",  IF(F803&lt;=2000,  Model!$B$20-Model!$B$35*F803/1000,  IF(F803&lt;Model!$B$36,  Model!$B$33-6.5*F803/1000,  Model!$B$38)),     IF(F803&lt;=2000,  Model!$B$20-Model!$B$35*F803/1000,  IF(F803&lt;Model!$B$36,  Model!$B$33-5.4*F803/1000,   Model!$B$38)))</f>
        <v>-20</v>
      </c>
      <c r="K803" s="13">
        <f t="shared" ref="K803:K816" si="252">273+J803</f>
        <v>253</v>
      </c>
      <c r="L803" s="46">
        <f>IF(AB802-AA802*(B803-B802)&gt;0, L802-Y802*(B803-B802)*3600-AD803*Model!$B$16, 0)</f>
        <v>0</v>
      </c>
      <c r="M803" s="57">
        <f t="shared" si="235"/>
        <v>0</v>
      </c>
      <c r="N803" s="57">
        <f>Model!$B$13*I803*K803/(Model!$B$13*I803-L803*287*K803)</f>
        <v>253</v>
      </c>
      <c r="O803" s="57">
        <f t="shared" si="236"/>
        <v>253</v>
      </c>
      <c r="P803" s="57">
        <f t="shared" si="237"/>
        <v>-10</v>
      </c>
      <c r="Q803" s="63">
        <f t="shared" ref="Q803:Q816" si="253">(O803-273)*7.1*0.00001+0.024</f>
        <v>2.2579999999999999E-2</v>
      </c>
      <c r="R803" s="17">
        <f t="shared" ref="R803:R816" si="254">((O803-273)*0.104+13.6)*0.000001</f>
        <v>1.152E-5</v>
      </c>
      <c r="S803" s="46">
        <f>0.37*Model!$B$10*(Q803^2*(N803-K803)*I803/(R803*O803^2))^0.33333*(N803-K803)</f>
        <v>0</v>
      </c>
      <c r="T803" s="51">
        <f>Model!$B$32+(90-Model!$B$6)*SIN(RADIANS(-15*(E803+6)))</f>
        <v>-31.619472402513487</v>
      </c>
      <c r="U803" s="46">
        <f t="shared" si="238"/>
        <v>0</v>
      </c>
      <c r="V803" s="51">
        <f t="shared" si="239"/>
        <v>99999</v>
      </c>
      <c r="W803" s="46">
        <f t="shared" si="240"/>
        <v>0</v>
      </c>
      <c r="X803" s="46">
        <f>0.3*W803*Model!$B$9</f>
        <v>0</v>
      </c>
      <c r="Y803" s="17">
        <f>(S803-X803)/Model!$B$11</f>
        <v>0</v>
      </c>
      <c r="Z803" s="46" t="e">
        <f t="shared" si="241"/>
        <v>#DIV/0!</v>
      </c>
      <c r="AA803" s="57">
        <f>Y803/Model!$B$12*3600</f>
        <v>0</v>
      </c>
      <c r="AB803" s="51">
        <f t="shared" si="246"/>
        <v>0</v>
      </c>
      <c r="AC803" s="51">
        <f t="shared" ref="AC803:AC816" si="255">AC802+AB802-AB803</f>
        <v>1800</v>
      </c>
      <c r="AD803" s="13">
        <f>IF(AE803=0, Model!$B$19, 0 )</f>
        <v>0</v>
      </c>
      <c r="AE803" s="51">
        <f>IF(AE802+AB802-AB803&lt;Model!$B$19*Model!$B$18, AE802+AB802-AB803,  0)</f>
        <v>443.63457370611354</v>
      </c>
      <c r="AF803" s="13">
        <f t="shared" si="242"/>
        <v>1</v>
      </c>
      <c r="AG803" s="50">
        <f t="shared" si="243"/>
        <v>0</v>
      </c>
    </row>
    <row r="804" spans="2:33" x14ac:dyDescent="0.25">
      <c r="B804" s="15">
        <f t="shared" si="244"/>
        <v>1</v>
      </c>
      <c r="C804" s="15">
        <f>B804+Model!$B$4</f>
        <v>3</v>
      </c>
      <c r="D804" s="15">
        <f t="shared" si="245"/>
        <v>1</v>
      </c>
      <c r="E804" s="15">
        <f t="shared" si="251"/>
        <v>3</v>
      </c>
      <c r="F804" s="16">
        <f>IF(AB804&gt;0, VLOOKUP(B804,Model!$A$40:$B$60, 2), 0)</f>
        <v>0</v>
      </c>
      <c r="G804" s="15">
        <f>IF(AB804&gt;0, VLOOKUP(B804,Model!$A$39:$C$58, 3), 0)</f>
        <v>0</v>
      </c>
      <c r="H804" s="15">
        <f t="shared" si="234"/>
        <v>0</v>
      </c>
      <c r="I804" s="45">
        <f>Model!$B$21*EXP((-0.029*9.81*F804)/(8.31*(273+J804)))</f>
        <v>104500</v>
      </c>
      <c r="J804" s="15">
        <f>IF(Model!$B$31="Summer",  IF(F804&lt;=2000,  Model!$B$20-Model!$B$35*F804/1000,  IF(F804&lt;Model!$B$36,  Model!$B$33-6.5*F804/1000,  Model!$B$38)),     IF(F804&lt;=2000,  Model!$B$20-Model!$B$35*F804/1000,  IF(F804&lt;Model!$B$36,  Model!$B$33-5.4*F804/1000,   Model!$B$38)))</f>
        <v>-20</v>
      </c>
      <c r="K804" s="15">
        <f t="shared" si="252"/>
        <v>253</v>
      </c>
      <c r="L804" s="45">
        <f>IF(AB803-AA803*(B804-B803)&gt;0, L803-Y803*(B804-B803)*3600-AD804*Model!$B$16, 0)</f>
        <v>0</v>
      </c>
      <c r="M804" s="56">
        <f t="shared" si="235"/>
        <v>0</v>
      </c>
      <c r="N804" s="56">
        <f>Model!$B$13*I804*K804/(Model!$B$13*I804-L804*287*K804)</f>
        <v>253</v>
      </c>
      <c r="O804" s="56">
        <f t="shared" si="236"/>
        <v>253</v>
      </c>
      <c r="P804" s="56">
        <f t="shared" si="237"/>
        <v>-10</v>
      </c>
      <c r="Q804" s="62">
        <f t="shared" si="253"/>
        <v>2.2579999999999999E-2</v>
      </c>
      <c r="R804" s="33">
        <f t="shared" si="254"/>
        <v>1.152E-5</v>
      </c>
      <c r="S804" s="45">
        <f>0.37*Model!$B$10*(Q804^2*(N804-K804)*I804/(R804*O804^2))^0.33333*(N804-K804)</f>
        <v>0</v>
      </c>
      <c r="T804" s="50">
        <f>Model!$B$32+(90-Model!$B$6)*SIN(RADIANS(-15*(E804+6)))</f>
        <v>-31.619472402513487</v>
      </c>
      <c r="U804" s="45">
        <f t="shared" si="238"/>
        <v>0</v>
      </c>
      <c r="V804" s="50">
        <f t="shared" si="239"/>
        <v>99999</v>
      </c>
      <c r="W804" s="45">
        <f t="shared" si="240"/>
        <v>0</v>
      </c>
      <c r="X804" s="45">
        <f>0.3*W804*Model!$B$9</f>
        <v>0</v>
      </c>
      <c r="Y804" s="33">
        <f>(S804-X804)/Model!$B$11</f>
        <v>0</v>
      </c>
      <c r="Z804" s="45" t="e">
        <f t="shared" si="241"/>
        <v>#DIV/0!</v>
      </c>
      <c r="AA804" s="56">
        <f>Y804/Model!$B$12*3600</f>
        <v>0</v>
      </c>
      <c r="AB804" s="50">
        <f t="shared" si="246"/>
        <v>0</v>
      </c>
      <c r="AC804" s="50">
        <f t="shared" si="255"/>
        <v>1800</v>
      </c>
      <c r="AD804" s="15">
        <f>IF(AE804=0, Model!$B$19, 0 )</f>
        <v>0</v>
      </c>
      <c r="AE804" s="50">
        <f>IF(AE803+AB803-AB804&lt;Model!$B$19*Model!$B$18, AE803+AB803-AB804,  0)</f>
        <v>443.63457370611354</v>
      </c>
      <c r="AF804" s="15">
        <f t="shared" si="242"/>
        <v>1</v>
      </c>
      <c r="AG804" s="50">
        <f t="shared" si="243"/>
        <v>0</v>
      </c>
    </row>
    <row r="805" spans="2:33" x14ac:dyDescent="0.25">
      <c r="B805" s="13">
        <f t="shared" si="244"/>
        <v>1</v>
      </c>
      <c r="C805" s="13">
        <f>B805+Model!$B$4</f>
        <v>3</v>
      </c>
      <c r="D805" s="13">
        <f t="shared" si="245"/>
        <v>1</v>
      </c>
      <c r="E805" s="13">
        <f t="shared" si="251"/>
        <v>3</v>
      </c>
      <c r="F805" s="14">
        <f>IF(AB805&gt;0, VLOOKUP(B805,Model!$A$40:$B$60, 2), 0)</f>
        <v>0</v>
      </c>
      <c r="G805" s="13">
        <f>IF(AB805&gt;0, VLOOKUP(B805,Model!$A$39:$C$58, 3), 0)</f>
        <v>0</v>
      </c>
      <c r="H805" s="13">
        <f t="shared" si="234"/>
        <v>0</v>
      </c>
      <c r="I805" s="46">
        <f>Model!$B$21*EXP((-0.029*9.81*F805)/(8.31*(273+J805)))</f>
        <v>104500</v>
      </c>
      <c r="J805" s="13">
        <f>IF(Model!$B$31="Summer",  IF(F805&lt;=2000,  Model!$B$20-Model!$B$35*F805/1000,  IF(F805&lt;Model!$B$36,  Model!$B$33-6.5*F805/1000,  Model!$B$38)),     IF(F805&lt;=2000,  Model!$B$20-Model!$B$35*F805/1000,  IF(F805&lt;Model!$B$36,  Model!$B$33-5.4*F805/1000,   Model!$B$38)))</f>
        <v>-20</v>
      </c>
      <c r="K805" s="13">
        <f t="shared" si="252"/>
        <v>253</v>
      </c>
      <c r="L805" s="46">
        <f>IF(AB804-AA804*(B805-B804)&gt;0, L804-Y804*(B805-B804)*3600-AD805*Model!$B$16, 0)</f>
        <v>0</v>
      </c>
      <c r="M805" s="57">
        <f t="shared" si="235"/>
        <v>0</v>
      </c>
      <c r="N805" s="57">
        <f>Model!$B$13*I805*K805/(Model!$B$13*I805-L805*287*K805)</f>
        <v>253</v>
      </c>
      <c r="O805" s="57">
        <f t="shared" si="236"/>
        <v>253</v>
      </c>
      <c r="P805" s="57">
        <f t="shared" si="237"/>
        <v>-10</v>
      </c>
      <c r="Q805" s="63">
        <f t="shared" si="253"/>
        <v>2.2579999999999999E-2</v>
      </c>
      <c r="R805" s="17">
        <f t="shared" si="254"/>
        <v>1.152E-5</v>
      </c>
      <c r="S805" s="46">
        <f>0.37*Model!$B$10*(Q805^2*(N805-K805)*I805/(R805*O805^2))^0.33333*(N805-K805)</f>
        <v>0</v>
      </c>
      <c r="T805" s="51">
        <f>Model!$B$32+(90-Model!$B$6)*SIN(RADIANS(-15*(E805+6)))</f>
        <v>-31.619472402513487</v>
      </c>
      <c r="U805" s="46">
        <f t="shared" si="238"/>
        <v>0</v>
      </c>
      <c r="V805" s="51">
        <f t="shared" si="239"/>
        <v>99999</v>
      </c>
      <c r="W805" s="46">
        <f t="shared" si="240"/>
        <v>0</v>
      </c>
      <c r="X805" s="46">
        <f>0.3*W805*Model!$B$9</f>
        <v>0</v>
      </c>
      <c r="Y805" s="17">
        <f>(S805-X805)/Model!$B$11</f>
        <v>0</v>
      </c>
      <c r="Z805" s="46" t="e">
        <f t="shared" si="241"/>
        <v>#DIV/0!</v>
      </c>
      <c r="AA805" s="57">
        <f>Y805/Model!$B$12*3600</f>
        <v>0</v>
      </c>
      <c r="AB805" s="51">
        <f t="shared" si="246"/>
        <v>0</v>
      </c>
      <c r="AC805" s="51">
        <f t="shared" si="255"/>
        <v>1800</v>
      </c>
      <c r="AD805" s="13">
        <f>IF(AE805=0, Model!$B$19, 0 )</f>
        <v>0</v>
      </c>
      <c r="AE805" s="51">
        <f>IF(AE804+AB804-AB805&lt;Model!$B$19*Model!$B$18, AE804+AB804-AB805,  0)</f>
        <v>443.63457370611354</v>
      </c>
      <c r="AF805" s="13">
        <f t="shared" si="242"/>
        <v>1</v>
      </c>
      <c r="AG805" s="50">
        <f t="shared" si="243"/>
        <v>0</v>
      </c>
    </row>
    <row r="806" spans="2:33" x14ac:dyDescent="0.25">
      <c r="B806" s="15">
        <f t="shared" si="244"/>
        <v>1</v>
      </c>
      <c r="C806" s="15">
        <f>B806+Model!$B$4</f>
        <v>3</v>
      </c>
      <c r="D806" s="15">
        <f t="shared" si="245"/>
        <v>1</v>
      </c>
      <c r="E806" s="15">
        <f t="shared" si="251"/>
        <v>3</v>
      </c>
      <c r="F806" s="16">
        <f>IF(AB806&gt;0, VLOOKUP(B806,Model!$A$40:$B$60, 2), 0)</f>
        <v>0</v>
      </c>
      <c r="G806" s="15">
        <f>IF(AB806&gt;0, VLOOKUP(B806,Model!$A$39:$C$58, 3), 0)</f>
        <v>0</v>
      </c>
      <c r="H806" s="15">
        <f t="shared" si="234"/>
        <v>0</v>
      </c>
      <c r="I806" s="45">
        <f>Model!$B$21*EXP((-0.029*9.81*F806)/(8.31*(273+J806)))</f>
        <v>104500</v>
      </c>
      <c r="J806" s="15">
        <f>IF(Model!$B$31="Summer",  IF(F806&lt;=2000,  Model!$B$20-Model!$B$35*F806/1000,  IF(F806&lt;Model!$B$36,  Model!$B$33-6.5*F806/1000,  Model!$B$38)),     IF(F806&lt;=2000,  Model!$B$20-Model!$B$35*F806/1000,  IF(F806&lt;Model!$B$36,  Model!$B$33-5.4*F806/1000,   Model!$B$38)))</f>
        <v>-20</v>
      </c>
      <c r="K806" s="15">
        <f t="shared" si="252"/>
        <v>253</v>
      </c>
      <c r="L806" s="45">
        <f>IF(AB805-AA805*(B806-B805)&gt;0, L805-Y805*(B806-B805)*3600-AD806*Model!$B$16, 0)</f>
        <v>0</v>
      </c>
      <c r="M806" s="56">
        <f t="shared" si="235"/>
        <v>0</v>
      </c>
      <c r="N806" s="56">
        <f>Model!$B$13*I806*K806/(Model!$B$13*I806-L806*287*K806)</f>
        <v>253</v>
      </c>
      <c r="O806" s="56">
        <f t="shared" si="236"/>
        <v>253</v>
      </c>
      <c r="P806" s="56">
        <f t="shared" si="237"/>
        <v>-10</v>
      </c>
      <c r="Q806" s="62">
        <f t="shared" si="253"/>
        <v>2.2579999999999999E-2</v>
      </c>
      <c r="R806" s="33">
        <f t="shared" si="254"/>
        <v>1.152E-5</v>
      </c>
      <c r="S806" s="45">
        <f>0.37*Model!$B$10*(Q806^2*(N806-K806)*I806/(R806*O806^2))^0.33333*(N806-K806)</f>
        <v>0</v>
      </c>
      <c r="T806" s="50">
        <f>Model!$B$32+(90-Model!$B$6)*SIN(RADIANS(-15*(E806+6)))</f>
        <v>-31.619472402513487</v>
      </c>
      <c r="U806" s="45">
        <f t="shared" si="238"/>
        <v>0</v>
      </c>
      <c r="V806" s="50">
        <f t="shared" si="239"/>
        <v>99999</v>
      </c>
      <c r="W806" s="45">
        <f t="shared" si="240"/>
        <v>0</v>
      </c>
      <c r="X806" s="45">
        <f>0.3*W806*Model!$B$9</f>
        <v>0</v>
      </c>
      <c r="Y806" s="33">
        <f>(S806-X806)/Model!$B$11</f>
        <v>0</v>
      </c>
      <c r="Z806" s="45" t="e">
        <f t="shared" si="241"/>
        <v>#DIV/0!</v>
      </c>
      <c r="AA806" s="56">
        <f>Y806/Model!$B$12*3600</f>
        <v>0</v>
      </c>
      <c r="AB806" s="50">
        <f t="shared" si="246"/>
        <v>0</v>
      </c>
      <c r="AC806" s="50">
        <f t="shared" si="255"/>
        <v>1800</v>
      </c>
      <c r="AD806" s="15">
        <f>IF(AE806=0, Model!$B$19, 0 )</f>
        <v>0</v>
      </c>
      <c r="AE806" s="50">
        <f>IF(AE805+AB805-AB806&lt;Model!$B$19*Model!$B$18, AE805+AB805-AB806,  0)</f>
        <v>443.63457370611354</v>
      </c>
      <c r="AF806" s="15">
        <f t="shared" si="242"/>
        <v>1</v>
      </c>
      <c r="AG806" s="50">
        <f t="shared" si="243"/>
        <v>0</v>
      </c>
    </row>
    <row r="807" spans="2:33" x14ac:dyDescent="0.25">
      <c r="B807" s="13">
        <f t="shared" si="244"/>
        <v>1</v>
      </c>
      <c r="C807" s="13">
        <f>B807+Model!$B$4</f>
        <v>3</v>
      </c>
      <c r="D807" s="13">
        <f t="shared" si="245"/>
        <v>1</v>
      </c>
      <c r="E807" s="13">
        <f t="shared" si="251"/>
        <v>3</v>
      </c>
      <c r="F807" s="14">
        <f>IF(AB807&gt;0, VLOOKUP(B807,Model!$A$40:$B$60, 2), 0)</f>
        <v>0</v>
      </c>
      <c r="G807" s="13">
        <f>IF(AB807&gt;0, VLOOKUP(B807,Model!$A$39:$C$58, 3), 0)</f>
        <v>0</v>
      </c>
      <c r="H807" s="13">
        <f t="shared" si="234"/>
        <v>0</v>
      </c>
      <c r="I807" s="46">
        <f>Model!$B$21*EXP((-0.029*9.81*F807)/(8.31*(273+J807)))</f>
        <v>104500</v>
      </c>
      <c r="J807" s="13">
        <f>IF(Model!$B$31="Summer",  IF(F807&lt;=2000,  Model!$B$20-Model!$B$35*F807/1000,  IF(F807&lt;Model!$B$36,  Model!$B$33-6.5*F807/1000,  Model!$B$38)),     IF(F807&lt;=2000,  Model!$B$20-Model!$B$35*F807/1000,  IF(F807&lt;Model!$B$36,  Model!$B$33-5.4*F807/1000,   Model!$B$38)))</f>
        <v>-20</v>
      </c>
      <c r="K807" s="13">
        <f t="shared" si="252"/>
        <v>253</v>
      </c>
      <c r="L807" s="46">
        <f>IF(AB806-AA806*(B807-B806)&gt;0, L806-Y806*(B807-B806)*3600-AD807*Model!$B$16, 0)</f>
        <v>0</v>
      </c>
      <c r="M807" s="57">
        <f t="shared" si="235"/>
        <v>0</v>
      </c>
      <c r="N807" s="57">
        <f>Model!$B$13*I807*K807/(Model!$B$13*I807-L807*287*K807)</f>
        <v>253</v>
      </c>
      <c r="O807" s="57">
        <f t="shared" si="236"/>
        <v>253</v>
      </c>
      <c r="P807" s="57">
        <f t="shared" si="237"/>
        <v>-10</v>
      </c>
      <c r="Q807" s="63">
        <f t="shared" si="253"/>
        <v>2.2579999999999999E-2</v>
      </c>
      <c r="R807" s="17">
        <f t="shared" si="254"/>
        <v>1.152E-5</v>
      </c>
      <c r="S807" s="46">
        <f>0.37*Model!$B$10*(Q807^2*(N807-K807)*I807/(R807*O807^2))^0.33333*(N807-K807)</f>
        <v>0</v>
      </c>
      <c r="T807" s="51">
        <f>Model!$B$32+(90-Model!$B$6)*SIN(RADIANS(-15*(E807+6)))</f>
        <v>-31.619472402513487</v>
      </c>
      <c r="U807" s="46">
        <f t="shared" si="238"/>
        <v>0</v>
      </c>
      <c r="V807" s="51">
        <f t="shared" si="239"/>
        <v>99999</v>
      </c>
      <c r="W807" s="46">
        <f t="shared" si="240"/>
        <v>0</v>
      </c>
      <c r="X807" s="46">
        <f>0.3*W807*Model!$B$9</f>
        <v>0</v>
      </c>
      <c r="Y807" s="17">
        <f>(S807-X807)/Model!$B$11</f>
        <v>0</v>
      </c>
      <c r="Z807" s="46" t="e">
        <f t="shared" si="241"/>
        <v>#DIV/0!</v>
      </c>
      <c r="AA807" s="57">
        <f>Y807/Model!$B$12*3600</f>
        <v>0</v>
      </c>
      <c r="AB807" s="51">
        <f t="shared" si="246"/>
        <v>0</v>
      </c>
      <c r="AC807" s="51">
        <f t="shared" si="255"/>
        <v>1800</v>
      </c>
      <c r="AD807" s="13">
        <f>IF(AE807=0, Model!$B$19, 0 )</f>
        <v>0</v>
      </c>
      <c r="AE807" s="51">
        <f>IF(AE806+AB806-AB807&lt;Model!$B$19*Model!$B$18, AE806+AB806-AB807,  0)</f>
        <v>443.63457370611354</v>
      </c>
      <c r="AF807" s="13">
        <f t="shared" si="242"/>
        <v>1</v>
      </c>
      <c r="AG807" s="50">
        <f t="shared" si="243"/>
        <v>0</v>
      </c>
    </row>
    <row r="808" spans="2:33" x14ac:dyDescent="0.25">
      <c r="B808" s="15">
        <f t="shared" si="244"/>
        <v>1</v>
      </c>
      <c r="C808" s="15">
        <f>B808+Model!$B$4</f>
        <v>3</v>
      </c>
      <c r="D808" s="15">
        <f t="shared" si="245"/>
        <v>1</v>
      </c>
      <c r="E808" s="15">
        <f t="shared" si="251"/>
        <v>3</v>
      </c>
      <c r="F808" s="16">
        <f>IF(AB808&gt;0, VLOOKUP(B808,Model!$A$40:$B$60, 2), 0)</f>
        <v>0</v>
      </c>
      <c r="G808" s="15">
        <f>IF(AB808&gt;0, VLOOKUP(B808,Model!$A$39:$C$58, 3), 0)</f>
        <v>0</v>
      </c>
      <c r="H808" s="15">
        <f t="shared" si="234"/>
        <v>0</v>
      </c>
      <c r="I808" s="45">
        <f>Model!$B$21*EXP((-0.029*9.81*F808)/(8.31*(273+J808)))</f>
        <v>104500</v>
      </c>
      <c r="J808" s="15">
        <f>IF(Model!$B$31="Summer",  IF(F808&lt;=2000,  Model!$B$20-Model!$B$35*F808/1000,  IF(F808&lt;Model!$B$36,  Model!$B$33-6.5*F808/1000,  Model!$B$38)),     IF(F808&lt;=2000,  Model!$B$20-Model!$B$35*F808/1000,  IF(F808&lt;Model!$B$36,  Model!$B$33-5.4*F808/1000,   Model!$B$38)))</f>
        <v>-20</v>
      </c>
      <c r="K808" s="15">
        <f t="shared" si="252"/>
        <v>253</v>
      </c>
      <c r="L808" s="45">
        <f>IF(AB807-AA807*(B808-B807)&gt;0, L807-Y807*(B808-B807)*3600-AD808*Model!$B$16, 0)</f>
        <v>0</v>
      </c>
      <c r="M808" s="56">
        <f t="shared" si="235"/>
        <v>0</v>
      </c>
      <c r="N808" s="56">
        <f>Model!$B$13*I808*K808/(Model!$B$13*I808-L808*287*K808)</f>
        <v>253</v>
      </c>
      <c r="O808" s="56">
        <f t="shared" si="236"/>
        <v>253</v>
      </c>
      <c r="P808" s="56">
        <f t="shared" si="237"/>
        <v>-10</v>
      </c>
      <c r="Q808" s="62">
        <f t="shared" si="253"/>
        <v>2.2579999999999999E-2</v>
      </c>
      <c r="R808" s="33">
        <f t="shared" si="254"/>
        <v>1.152E-5</v>
      </c>
      <c r="S808" s="45">
        <f>0.37*Model!$B$10*(Q808^2*(N808-K808)*I808/(R808*O808^2))^0.33333*(N808-K808)</f>
        <v>0</v>
      </c>
      <c r="T808" s="50">
        <f>Model!$B$32+(90-Model!$B$6)*SIN(RADIANS(-15*(E808+6)))</f>
        <v>-31.619472402513487</v>
      </c>
      <c r="U808" s="45">
        <f t="shared" si="238"/>
        <v>0</v>
      </c>
      <c r="V808" s="50">
        <f t="shared" si="239"/>
        <v>99999</v>
      </c>
      <c r="W808" s="45">
        <f t="shared" si="240"/>
        <v>0</v>
      </c>
      <c r="X808" s="45">
        <f>0.3*W808*Model!$B$9</f>
        <v>0</v>
      </c>
      <c r="Y808" s="33">
        <f>(S808-X808)/Model!$B$11</f>
        <v>0</v>
      </c>
      <c r="Z808" s="45" t="e">
        <f t="shared" si="241"/>
        <v>#DIV/0!</v>
      </c>
      <c r="AA808" s="56">
        <f>Y808/Model!$B$12*3600</f>
        <v>0</v>
      </c>
      <c r="AB808" s="50">
        <f t="shared" si="246"/>
        <v>0</v>
      </c>
      <c r="AC808" s="50">
        <f t="shared" si="255"/>
        <v>1800</v>
      </c>
      <c r="AD808" s="15">
        <f>IF(AE808=0, Model!$B$19, 0 )</f>
        <v>0</v>
      </c>
      <c r="AE808" s="50">
        <f>IF(AE807+AB807-AB808&lt;Model!$B$19*Model!$B$18, AE807+AB807-AB808,  0)</f>
        <v>443.63457370611354</v>
      </c>
      <c r="AF808" s="15">
        <f t="shared" si="242"/>
        <v>1</v>
      </c>
      <c r="AG808" s="50">
        <f t="shared" si="243"/>
        <v>0</v>
      </c>
    </row>
    <row r="809" spans="2:33" x14ac:dyDescent="0.25">
      <c r="B809" s="13">
        <f t="shared" si="244"/>
        <v>1</v>
      </c>
      <c r="C809" s="13">
        <f>B809+Model!$B$4</f>
        <v>3</v>
      </c>
      <c r="D809" s="13">
        <f t="shared" si="245"/>
        <v>1</v>
      </c>
      <c r="E809" s="13">
        <f t="shared" si="251"/>
        <v>3</v>
      </c>
      <c r="F809" s="14">
        <f>IF(AB809&gt;0, VLOOKUP(B809,Model!$A$40:$B$60, 2), 0)</f>
        <v>0</v>
      </c>
      <c r="G809" s="13">
        <f>IF(AB809&gt;0, VLOOKUP(B809,Model!$A$39:$C$58, 3), 0)</f>
        <v>0</v>
      </c>
      <c r="H809" s="13">
        <f t="shared" si="234"/>
        <v>0</v>
      </c>
      <c r="I809" s="46">
        <f>Model!$B$21*EXP((-0.029*9.81*F809)/(8.31*(273+J809)))</f>
        <v>104500</v>
      </c>
      <c r="J809" s="13">
        <f>IF(Model!$B$31="Summer",  IF(F809&lt;=2000,  Model!$B$20-Model!$B$35*F809/1000,  IF(F809&lt;Model!$B$36,  Model!$B$33-6.5*F809/1000,  Model!$B$38)),     IF(F809&lt;=2000,  Model!$B$20-Model!$B$35*F809/1000,  IF(F809&lt;Model!$B$36,  Model!$B$33-5.4*F809/1000,   Model!$B$38)))</f>
        <v>-20</v>
      </c>
      <c r="K809" s="13">
        <f t="shared" si="252"/>
        <v>253</v>
      </c>
      <c r="L809" s="46">
        <f>IF(AB808-AA808*(B809-B808)&gt;0, L808-Y808*(B809-B808)*3600-AD809*Model!$B$16, 0)</f>
        <v>0</v>
      </c>
      <c r="M809" s="57">
        <f t="shared" si="235"/>
        <v>0</v>
      </c>
      <c r="N809" s="57">
        <f>Model!$B$13*I809*K809/(Model!$B$13*I809-L809*287*K809)</f>
        <v>253</v>
      </c>
      <c r="O809" s="57">
        <f t="shared" si="236"/>
        <v>253</v>
      </c>
      <c r="P809" s="57">
        <f t="shared" si="237"/>
        <v>-10</v>
      </c>
      <c r="Q809" s="63">
        <f t="shared" si="253"/>
        <v>2.2579999999999999E-2</v>
      </c>
      <c r="R809" s="17">
        <f t="shared" si="254"/>
        <v>1.152E-5</v>
      </c>
      <c r="S809" s="46">
        <f>0.37*Model!$B$10*(Q809^2*(N809-K809)*I809/(R809*O809^2))^0.33333*(N809-K809)</f>
        <v>0</v>
      </c>
      <c r="T809" s="51">
        <f>Model!$B$32+(90-Model!$B$6)*SIN(RADIANS(-15*(E809+6)))</f>
        <v>-31.619472402513487</v>
      </c>
      <c r="U809" s="46">
        <f t="shared" si="238"/>
        <v>0</v>
      </c>
      <c r="V809" s="51">
        <f t="shared" si="239"/>
        <v>99999</v>
      </c>
      <c r="W809" s="46">
        <f t="shared" si="240"/>
        <v>0</v>
      </c>
      <c r="X809" s="46">
        <f>0.3*W809*Model!$B$9</f>
        <v>0</v>
      </c>
      <c r="Y809" s="17">
        <f>(S809-X809)/Model!$B$11</f>
        <v>0</v>
      </c>
      <c r="Z809" s="46" t="e">
        <f t="shared" si="241"/>
        <v>#DIV/0!</v>
      </c>
      <c r="AA809" s="57">
        <f>Y809/Model!$B$12*3600</f>
        <v>0</v>
      </c>
      <c r="AB809" s="51">
        <f t="shared" si="246"/>
        <v>0</v>
      </c>
      <c r="AC809" s="51">
        <f t="shared" si="255"/>
        <v>1800</v>
      </c>
      <c r="AD809" s="13">
        <f>IF(AE809=0, Model!$B$19, 0 )</f>
        <v>0</v>
      </c>
      <c r="AE809" s="51">
        <f>IF(AE808+AB808-AB809&lt;Model!$B$19*Model!$B$18, AE808+AB808-AB809,  0)</f>
        <v>443.63457370611354</v>
      </c>
      <c r="AF809" s="13">
        <f t="shared" si="242"/>
        <v>1</v>
      </c>
      <c r="AG809" s="50">
        <f t="shared" si="243"/>
        <v>0</v>
      </c>
    </row>
    <row r="810" spans="2:33" x14ac:dyDescent="0.25">
      <c r="B810" s="15">
        <f t="shared" si="244"/>
        <v>1</v>
      </c>
      <c r="C810" s="15">
        <f>B810+Model!$B$4</f>
        <v>3</v>
      </c>
      <c r="D810" s="15">
        <f t="shared" si="245"/>
        <v>1</v>
      </c>
      <c r="E810" s="15">
        <f t="shared" si="251"/>
        <v>3</v>
      </c>
      <c r="F810" s="16">
        <f>IF(AB810&gt;0, VLOOKUP(B810,Model!$A$40:$B$60, 2), 0)</f>
        <v>0</v>
      </c>
      <c r="G810" s="15">
        <f>IF(AB810&gt;0, VLOOKUP(B810,Model!$A$39:$C$58, 3), 0)</f>
        <v>0</v>
      </c>
      <c r="H810" s="15">
        <f t="shared" si="234"/>
        <v>0</v>
      </c>
      <c r="I810" s="45">
        <f>Model!$B$21*EXP((-0.029*9.81*F810)/(8.31*(273+J810)))</f>
        <v>104500</v>
      </c>
      <c r="J810" s="15">
        <f>IF(Model!$B$31="Summer",  IF(F810&lt;=2000,  Model!$B$20-Model!$B$35*F810/1000,  IF(F810&lt;Model!$B$36,  Model!$B$33-6.5*F810/1000,  Model!$B$38)),     IF(F810&lt;=2000,  Model!$B$20-Model!$B$35*F810/1000,  IF(F810&lt;Model!$B$36,  Model!$B$33-5.4*F810/1000,   Model!$B$38)))</f>
        <v>-20</v>
      </c>
      <c r="K810" s="15">
        <f t="shared" si="252"/>
        <v>253</v>
      </c>
      <c r="L810" s="45">
        <f>IF(AB809-AA809*(B810-B809)&gt;0, L809-Y809*(B810-B809)*3600-AD810*Model!$B$16, 0)</f>
        <v>0</v>
      </c>
      <c r="M810" s="56">
        <f t="shared" si="235"/>
        <v>0</v>
      </c>
      <c r="N810" s="56">
        <f>Model!$B$13*I810*K810/(Model!$B$13*I810-L810*287*K810)</f>
        <v>253</v>
      </c>
      <c r="O810" s="56">
        <f t="shared" si="236"/>
        <v>253</v>
      </c>
      <c r="P810" s="56">
        <f t="shared" si="237"/>
        <v>-10</v>
      </c>
      <c r="Q810" s="62">
        <f t="shared" si="253"/>
        <v>2.2579999999999999E-2</v>
      </c>
      <c r="R810" s="33">
        <f t="shared" si="254"/>
        <v>1.152E-5</v>
      </c>
      <c r="S810" s="45">
        <f>0.37*Model!$B$10*(Q810^2*(N810-K810)*I810/(R810*O810^2))^0.33333*(N810-K810)</f>
        <v>0</v>
      </c>
      <c r="T810" s="50">
        <f>Model!$B$32+(90-Model!$B$6)*SIN(RADIANS(-15*(E810+6)))</f>
        <v>-31.619472402513487</v>
      </c>
      <c r="U810" s="45">
        <f t="shared" si="238"/>
        <v>0</v>
      </c>
      <c r="V810" s="50">
        <f t="shared" si="239"/>
        <v>99999</v>
      </c>
      <c r="W810" s="45">
        <f t="shared" si="240"/>
        <v>0</v>
      </c>
      <c r="X810" s="45">
        <f>0.3*W810*Model!$B$9</f>
        <v>0</v>
      </c>
      <c r="Y810" s="33">
        <f>(S810-X810)/Model!$B$11</f>
        <v>0</v>
      </c>
      <c r="Z810" s="45" t="e">
        <f t="shared" si="241"/>
        <v>#DIV/0!</v>
      </c>
      <c r="AA810" s="56">
        <f>Y810/Model!$B$12*3600</f>
        <v>0</v>
      </c>
      <c r="AB810" s="50">
        <f t="shared" si="246"/>
        <v>0</v>
      </c>
      <c r="AC810" s="50">
        <f t="shared" si="255"/>
        <v>1800</v>
      </c>
      <c r="AD810" s="15">
        <f>IF(AE810=0, Model!$B$19, 0 )</f>
        <v>0</v>
      </c>
      <c r="AE810" s="50">
        <f>IF(AE809+AB809-AB810&lt;Model!$B$19*Model!$B$18, AE809+AB809-AB810,  0)</f>
        <v>443.63457370611354</v>
      </c>
      <c r="AF810" s="15">
        <f t="shared" si="242"/>
        <v>1</v>
      </c>
      <c r="AG810" s="50">
        <f t="shared" si="243"/>
        <v>0</v>
      </c>
    </row>
    <row r="811" spans="2:33" x14ac:dyDescent="0.25">
      <c r="B811" s="13">
        <f t="shared" si="244"/>
        <v>1</v>
      </c>
      <c r="C811" s="13">
        <f>B811+Model!$B$4</f>
        <v>3</v>
      </c>
      <c r="D811" s="13">
        <f t="shared" si="245"/>
        <v>1</v>
      </c>
      <c r="E811" s="13">
        <f t="shared" si="251"/>
        <v>3</v>
      </c>
      <c r="F811" s="14">
        <f>IF(AB811&gt;0, VLOOKUP(B811,Model!$A$40:$B$60, 2), 0)</f>
        <v>0</v>
      </c>
      <c r="G811" s="13">
        <f>IF(AB811&gt;0, VLOOKUP(B811,Model!$A$39:$C$58, 3), 0)</f>
        <v>0</v>
      </c>
      <c r="H811" s="13">
        <f t="shared" si="234"/>
        <v>0</v>
      </c>
      <c r="I811" s="46">
        <f>Model!$B$21*EXP((-0.029*9.81*F811)/(8.31*(273+J811)))</f>
        <v>104500</v>
      </c>
      <c r="J811" s="13">
        <f>IF(Model!$B$31="Summer",  IF(F811&lt;=2000,  Model!$B$20-Model!$B$35*F811/1000,  IF(F811&lt;Model!$B$36,  Model!$B$33-6.5*F811/1000,  Model!$B$38)),     IF(F811&lt;=2000,  Model!$B$20-Model!$B$35*F811/1000,  IF(F811&lt;Model!$B$36,  Model!$B$33-5.4*F811/1000,   Model!$B$38)))</f>
        <v>-20</v>
      </c>
      <c r="K811" s="13">
        <f t="shared" si="252"/>
        <v>253</v>
      </c>
      <c r="L811" s="46">
        <f>IF(AB810-AA810*(B811-B810)&gt;0, L810-Y810*(B811-B810)*3600-AD811*Model!$B$16, 0)</f>
        <v>0</v>
      </c>
      <c r="M811" s="57">
        <f t="shared" si="235"/>
        <v>0</v>
      </c>
      <c r="N811" s="57">
        <f>Model!$B$13*I811*K811/(Model!$B$13*I811-L811*287*K811)</f>
        <v>253</v>
      </c>
      <c r="O811" s="57">
        <f t="shared" si="236"/>
        <v>253</v>
      </c>
      <c r="P811" s="57">
        <f t="shared" si="237"/>
        <v>-10</v>
      </c>
      <c r="Q811" s="63">
        <f t="shared" si="253"/>
        <v>2.2579999999999999E-2</v>
      </c>
      <c r="R811" s="17">
        <f t="shared" si="254"/>
        <v>1.152E-5</v>
      </c>
      <c r="S811" s="46">
        <f>0.37*Model!$B$10*(Q811^2*(N811-K811)*I811/(R811*O811^2))^0.33333*(N811-K811)</f>
        <v>0</v>
      </c>
      <c r="T811" s="51">
        <f>Model!$B$32+(90-Model!$B$6)*SIN(RADIANS(-15*(E811+6)))</f>
        <v>-31.619472402513487</v>
      </c>
      <c r="U811" s="46">
        <f t="shared" si="238"/>
        <v>0</v>
      </c>
      <c r="V811" s="51">
        <f t="shared" si="239"/>
        <v>99999</v>
      </c>
      <c r="W811" s="46">
        <f t="shared" si="240"/>
        <v>0</v>
      </c>
      <c r="X811" s="46">
        <f>0.3*W811*Model!$B$9</f>
        <v>0</v>
      </c>
      <c r="Y811" s="17">
        <f>(S811-X811)/Model!$B$11</f>
        <v>0</v>
      </c>
      <c r="Z811" s="46" t="e">
        <f t="shared" si="241"/>
        <v>#DIV/0!</v>
      </c>
      <c r="AA811" s="57">
        <f>Y811/Model!$B$12*3600</f>
        <v>0</v>
      </c>
      <c r="AB811" s="51">
        <f t="shared" si="246"/>
        <v>0</v>
      </c>
      <c r="AC811" s="51">
        <f t="shared" si="255"/>
        <v>1800</v>
      </c>
      <c r="AD811" s="13">
        <f>IF(AE811=0, Model!$B$19, 0 )</f>
        <v>0</v>
      </c>
      <c r="AE811" s="51">
        <f>IF(AE810+AB810-AB811&lt;Model!$B$19*Model!$B$18, AE810+AB810-AB811,  0)</f>
        <v>443.63457370611354</v>
      </c>
      <c r="AF811" s="13">
        <f t="shared" si="242"/>
        <v>1</v>
      </c>
      <c r="AG811" s="50">
        <f t="shared" si="243"/>
        <v>0</v>
      </c>
    </row>
    <row r="812" spans="2:33" x14ac:dyDescent="0.25">
      <c r="B812" s="15">
        <f t="shared" si="244"/>
        <v>1</v>
      </c>
      <c r="C812" s="15">
        <f>B812+Model!$B$4</f>
        <v>3</v>
      </c>
      <c r="D812" s="15">
        <f t="shared" si="245"/>
        <v>1</v>
      </c>
      <c r="E812" s="15">
        <f t="shared" si="251"/>
        <v>3</v>
      </c>
      <c r="F812" s="16">
        <f>IF(AB812&gt;0, VLOOKUP(B812,Model!$A$40:$B$60, 2), 0)</f>
        <v>0</v>
      </c>
      <c r="G812" s="15">
        <f>IF(AB812&gt;0, VLOOKUP(B812,Model!$A$39:$C$58, 3), 0)</f>
        <v>0</v>
      </c>
      <c r="H812" s="15">
        <f t="shared" si="234"/>
        <v>0</v>
      </c>
      <c r="I812" s="45">
        <f>Model!$B$21*EXP((-0.029*9.81*F812)/(8.31*(273+J812)))</f>
        <v>104500</v>
      </c>
      <c r="J812" s="15">
        <f>IF(Model!$B$31="Summer",  IF(F812&lt;=2000,  Model!$B$20-Model!$B$35*F812/1000,  IF(F812&lt;Model!$B$36,  Model!$B$33-6.5*F812/1000,  Model!$B$38)),     IF(F812&lt;=2000,  Model!$B$20-Model!$B$35*F812/1000,  IF(F812&lt;Model!$B$36,  Model!$B$33-5.4*F812/1000,   Model!$B$38)))</f>
        <v>-20</v>
      </c>
      <c r="K812" s="15">
        <f t="shared" si="252"/>
        <v>253</v>
      </c>
      <c r="L812" s="45">
        <f>IF(AB811-AA811*(B812-B811)&gt;0, L811-Y811*(B812-B811)*3600-AD812*Model!$B$16, 0)</f>
        <v>0</v>
      </c>
      <c r="M812" s="56">
        <f t="shared" si="235"/>
        <v>0</v>
      </c>
      <c r="N812" s="56">
        <f>Model!$B$13*I812*K812/(Model!$B$13*I812-L812*287*K812)</f>
        <v>253</v>
      </c>
      <c r="O812" s="56">
        <f t="shared" si="236"/>
        <v>253</v>
      </c>
      <c r="P812" s="56">
        <f t="shared" si="237"/>
        <v>-10</v>
      </c>
      <c r="Q812" s="62">
        <f t="shared" si="253"/>
        <v>2.2579999999999999E-2</v>
      </c>
      <c r="R812" s="33">
        <f t="shared" si="254"/>
        <v>1.152E-5</v>
      </c>
      <c r="S812" s="45">
        <f>0.37*Model!$B$10*(Q812^2*(N812-K812)*I812/(R812*O812^2))^0.33333*(N812-K812)</f>
        <v>0</v>
      </c>
      <c r="T812" s="50">
        <f>Model!$B$32+(90-Model!$B$6)*SIN(RADIANS(-15*(E812+6)))</f>
        <v>-31.619472402513487</v>
      </c>
      <c r="U812" s="45">
        <f t="shared" si="238"/>
        <v>0</v>
      </c>
      <c r="V812" s="50">
        <f t="shared" si="239"/>
        <v>99999</v>
      </c>
      <c r="W812" s="45">
        <f t="shared" si="240"/>
        <v>0</v>
      </c>
      <c r="X812" s="45">
        <f>0.3*W812*Model!$B$9</f>
        <v>0</v>
      </c>
      <c r="Y812" s="33">
        <f>(S812-X812)/Model!$B$11</f>
        <v>0</v>
      </c>
      <c r="Z812" s="45" t="e">
        <f t="shared" si="241"/>
        <v>#DIV/0!</v>
      </c>
      <c r="AA812" s="56">
        <f>Y812/Model!$B$12*3600</f>
        <v>0</v>
      </c>
      <c r="AB812" s="50">
        <f t="shared" si="246"/>
        <v>0</v>
      </c>
      <c r="AC812" s="50">
        <f t="shared" si="255"/>
        <v>1800</v>
      </c>
      <c r="AD812" s="15">
        <f>IF(AE812=0, Model!$B$19, 0 )</f>
        <v>0</v>
      </c>
      <c r="AE812" s="50">
        <f>IF(AE811+AB811-AB812&lt;Model!$B$19*Model!$B$18, AE811+AB811-AB812,  0)</f>
        <v>443.63457370611354</v>
      </c>
      <c r="AF812" s="15">
        <f t="shared" si="242"/>
        <v>1</v>
      </c>
      <c r="AG812" s="50">
        <f t="shared" si="243"/>
        <v>0</v>
      </c>
    </row>
    <row r="813" spans="2:33" x14ac:dyDescent="0.25">
      <c r="B813" s="13">
        <f t="shared" si="244"/>
        <v>1</v>
      </c>
      <c r="C813" s="13">
        <f>B813+Model!$B$4</f>
        <v>3</v>
      </c>
      <c r="D813" s="13">
        <f t="shared" si="245"/>
        <v>1</v>
      </c>
      <c r="E813" s="13">
        <f t="shared" si="251"/>
        <v>3</v>
      </c>
      <c r="F813" s="14">
        <f>IF(AB813&gt;0, VLOOKUP(B813,Model!$A$40:$B$60, 2), 0)</f>
        <v>0</v>
      </c>
      <c r="G813" s="13">
        <f>IF(AB813&gt;0, VLOOKUP(B813,Model!$A$39:$C$58, 3), 0)</f>
        <v>0</v>
      </c>
      <c r="H813" s="13">
        <f t="shared" si="234"/>
        <v>0</v>
      </c>
      <c r="I813" s="46">
        <f>Model!$B$21*EXP((-0.029*9.81*F813)/(8.31*(273+J813)))</f>
        <v>104500</v>
      </c>
      <c r="J813" s="13">
        <f>IF(Model!$B$31="Summer",  IF(F813&lt;=2000,  Model!$B$20-Model!$B$35*F813/1000,  IF(F813&lt;Model!$B$36,  Model!$B$33-6.5*F813/1000,  Model!$B$38)),     IF(F813&lt;=2000,  Model!$B$20-Model!$B$35*F813/1000,  IF(F813&lt;Model!$B$36,  Model!$B$33-5.4*F813/1000,   Model!$B$38)))</f>
        <v>-20</v>
      </c>
      <c r="K813" s="13">
        <f t="shared" si="252"/>
        <v>253</v>
      </c>
      <c r="L813" s="46">
        <f>IF(AB812-AA812*(B813-B812)&gt;0, L812-Y812*(B813-B812)*3600-AD813*Model!$B$16, 0)</f>
        <v>0</v>
      </c>
      <c r="M813" s="57">
        <f t="shared" si="235"/>
        <v>0</v>
      </c>
      <c r="N813" s="57">
        <f>Model!$B$13*I813*K813/(Model!$B$13*I813-L813*287*K813)</f>
        <v>253</v>
      </c>
      <c r="O813" s="57">
        <f t="shared" si="236"/>
        <v>253</v>
      </c>
      <c r="P813" s="57">
        <f t="shared" si="237"/>
        <v>-10</v>
      </c>
      <c r="Q813" s="63">
        <f t="shared" si="253"/>
        <v>2.2579999999999999E-2</v>
      </c>
      <c r="R813" s="17">
        <f t="shared" si="254"/>
        <v>1.152E-5</v>
      </c>
      <c r="S813" s="46">
        <f>0.37*Model!$B$10*(Q813^2*(N813-K813)*I813/(R813*O813^2))^0.33333*(N813-K813)</f>
        <v>0</v>
      </c>
      <c r="T813" s="51">
        <f>Model!$B$32+(90-Model!$B$6)*SIN(RADIANS(-15*(E813+6)))</f>
        <v>-31.619472402513487</v>
      </c>
      <c r="U813" s="46">
        <f t="shared" si="238"/>
        <v>0</v>
      </c>
      <c r="V813" s="51">
        <f t="shared" si="239"/>
        <v>99999</v>
      </c>
      <c r="W813" s="46">
        <f t="shared" si="240"/>
        <v>0</v>
      </c>
      <c r="X813" s="46">
        <f>0.3*W813*Model!$B$9</f>
        <v>0</v>
      </c>
      <c r="Y813" s="17">
        <f>(S813-X813)/Model!$B$11</f>
        <v>0</v>
      </c>
      <c r="Z813" s="46" t="e">
        <f t="shared" si="241"/>
        <v>#DIV/0!</v>
      </c>
      <c r="AA813" s="57">
        <f>Y813/Model!$B$12*3600</f>
        <v>0</v>
      </c>
      <c r="AB813" s="51">
        <f t="shared" si="246"/>
        <v>0</v>
      </c>
      <c r="AC813" s="51">
        <f t="shared" si="255"/>
        <v>1800</v>
      </c>
      <c r="AD813" s="13">
        <f>IF(AE813=0, Model!$B$19, 0 )</f>
        <v>0</v>
      </c>
      <c r="AE813" s="51">
        <f>IF(AE812+AB812-AB813&lt;Model!$B$19*Model!$B$18, AE812+AB812-AB813,  0)</f>
        <v>443.63457370611354</v>
      </c>
      <c r="AF813" s="13">
        <f t="shared" si="242"/>
        <v>1</v>
      </c>
      <c r="AG813" s="50">
        <f t="shared" si="243"/>
        <v>0</v>
      </c>
    </row>
    <row r="814" spans="2:33" x14ac:dyDescent="0.25">
      <c r="B814" s="15">
        <f t="shared" si="244"/>
        <v>1</v>
      </c>
      <c r="C814" s="15">
        <f>B814+Model!$B$4</f>
        <v>3</v>
      </c>
      <c r="D814" s="15">
        <f t="shared" si="245"/>
        <v>1</v>
      </c>
      <c r="E814" s="15">
        <f t="shared" si="251"/>
        <v>3</v>
      </c>
      <c r="F814" s="16">
        <f>IF(AB814&gt;0, VLOOKUP(B814,Model!$A$40:$B$60, 2), 0)</f>
        <v>0</v>
      </c>
      <c r="G814" s="15">
        <f>IF(AB814&gt;0, VLOOKUP(B814,Model!$A$39:$C$58, 3), 0)</f>
        <v>0</v>
      </c>
      <c r="H814" s="15">
        <f t="shared" si="234"/>
        <v>0</v>
      </c>
      <c r="I814" s="45">
        <f>Model!$B$21*EXP((-0.029*9.81*F814)/(8.31*(273+J814)))</f>
        <v>104500</v>
      </c>
      <c r="J814" s="15">
        <f>IF(Model!$B$31="Summer",  IF(F814&lt;=2000,  Model!$B$20-Model!$B$35*F814/1000,  IF(F814&lt;Model!$B$36,  Model!$B$33-6.5*F814/1000,  Model!$B$38)),     IF(F814&lt;=2000,  Model!$B$20-Model!$B$35*F814/1000,  IF(F814&lt;Model!$B$36,  Model!$B$33-5.4*F814/1000,   Model!$B$38)))</f>
        <v>-20</v>
      </c>
      <c r="K814" s="15">
        <f t="shared" si="252"/>
        <v>253</v>
      </c>
      <c r="L814" s="45">
        <f>IF(AB813-AA813*(B814-B813)&gt;0, L813-Y813*(B814-B813)*3600-AD814*Model!$B$16, 0)</f>
        <v>0</v>
      </c>
      <c r="M814" s="56">
        <f t="shared" si="235"/>
        <v>0</v>
      </c>
      <c r="N814" s="56">
        <f>Model!$B$13*I814*K814/(Model!$B$13*I814-L814*287*K814)</f>
        <v>253</v>
      </c>
      <c r="O814" s="56">
        <f t="shared" si="236"/>
        <v>253</v>
      </c>
      <c r="P814" s="56">
        <f t="shared" si="237"/>
        <v>-10</v>
      </c>
      <c r="Q814" s="62">
        <f t="shared" si="253"/>
        <v>2.2579999999999999E-2</v>
      </c>
      <c r="R814" s="33">
        <f t="shared" si="254"/>
        <v>1.152E-5</v>
      </c>
      <c r="S814" s="45">
        <f>0.37*Model!$B$10*(Q814^2*(N814-K814)*I814/(R814*O814^2))^0.33333*(N814-K814)</f>
        <v>0</v>
      </c>
      <c r="T814" s="50">
        <f>Model!$B$32+(90-Model!$B$6)*SIN(RADIANS(-15*(E814+6)))</f>
        <v>-31.619472402513487</v>
      </c>
      <c r="U814" s="45">
        <f t="shared" si="238"/>
        <v>0</v>
      </c>
      <c r="V814" s="50">
        <f t="shared" si="239"/>
        <v>99999</v>
      </c>
      <c r="W814" s="45">
        <f t="shared" si="240"/>
        <v>0</v>
      </c>
      <c r="X814" s="45">
        <f>0.3*W814*Model!$B$9</f>
        <v>0</v>
      </c>
      <c r="Y814" s="33">
        <f>(S814-X814)/Model!$B$11</f>
        <v>0</v>
      </c>
      <c r="Z814" s="45" t="e">
        <f t="shared" si="241"/>
        <v>#DIV/0!</v>
      </c>
      <c r="AA814" s="56">
        <f>Y814/Model!$B$12*3600</f>
        <v>0</v>
      </c>
      <c r="AB814" s="50">
        <f t="shared" si="246"/>
        <v>0</v>
      </c>
      <c r="AC814" s="50">
        <f t="shared" si="255"/>
        <v>1800</v>
      </c>
      <c r="AD814" s="15">
        <f>IF(AE814=0, Model!$B$19, 0 )</f>
        <v>0</v>
      </c>
      <c r="AE814" s="50">
        <f>IF(AE813+AB813-AB814&lt;Model!$B$19*Model!$B$18, AE813+AB813-AB814,  0)</f>
        <v>443.63457370611354</v>
      </c>
      <c r="AF814" s="15">
        <f t="shared" si="242"/>
        <v>1</v>
      </c>
      <c r="AG814" s="50">
        <f t="shared" si="243"/>
        <v>0</v>
      </c>
    </row>
    <row r="815" spans="2:33" x14ac:dyDescent="0.25">
      <c r="B815" s="13">
        <f t="shared" si="244"/>
        <v>1</v>
      </c>
      <c r="C815" s="13">
        <f>B815+Model!$B$4</f>
        <v>3</v>
      </c>
      <c r="D815" s="13">
        <f t="shared" si="245"/>
        <v>1</v>
      </c>
      <c r="E815" s="13">
        <f t="shared" si="251"/>
        <v>3</v>
      </c>
      <c r="F815" s="14">
        <f>IF(AB815&gt;0, VLOOKUP(B815,Model!$A$40:$B$60, 2), 0)</f>
        <v>0</v>
      </c>
      <c r="G815" s="13">
        <f>IF(AB815&gt;0, VLOOKUP(B815,Model!$A$39:$C$58, 3), 0)</f>
        <v>0</v>
      </c>
      <c r="H815" s="13">
        <f t="shared" si="234"/>
        <v>0</v>
      </c>
      <c r="I815" s="46">
        <f>Model!$B$21*EXP((-0.029*9.81*F815)/(8.31*(273+J815)))</f>
        <v>104500</v>
      </c>
      <c r="J815" s="13">
        <f>IF(Model!$B$31="Summer",  IF(F815&lt;=2000,  Model!$B$20-Model!$B$35*F815/1000,  IF(F815&lt;Model!$B$36,  Model!$B$33-6.5*F815/1000,  Model!$B$38)),     IF(F815&lt;=2000,  Model!$B$20-Model!$B$35*F815/1000,  IF(F815&lt;Model!$B$36,  Model!$B$33-5.4*F815/1000,   Model!$B$38)))</f>
        <v>-20</v>
      </c>
      <c r="K815" s="13">
        <f t="shared" si="252"/>
        <v>253</v>
      </c>
      <c r="L815" s="46">
        <f>IF(AB814-AA814*(B815-B814)&gt;0, L814-Y814*(B815-B814)*3600-AD815*Model!$B$16, 0)</f>
        <v>0</v>
      </c>
      <c r="M815" s="57">
        <f t="shared" si="235"/>
        <v>0</v>
      </c>
      <c r="N815" s="57">
        <f>Model!$B$13*I815*K815/(Model!$B$13*I815-L815*287*K815)</f>
        <v>253</v>
      </c>
      <c r="O815" s="57">
        <f t="shared" si="236"/>
        <v>253</v>
      </c>
      <c r="P815" s="57">
        <f t="shared" si="237"/>
        <v>-10</v>
      </c>
      <c r="Q815" s="63">
        <f t="shared" si="253"/>
        <v>2.2579999999999999E-2</v>
      </c>
      <c r="R815" s="17">
        <f t="shared" si="254"/>
        <v>1.152E-5</v>
      </c>
      <c r="S815" s="46">
        <f>0.37*Model!$B$10*(Q815^2*(N815-K815)*I815/(R815*O815^2))^0.33333*(N815-K815)</f>
        <v>0</v>
      </c>
      <c r="T815" s="51">
        <f>Model!$B$32+(90-Model!$B$6)*SIN(RADIANS(-15*(E815+6)))</f>
        <v>-31.619472402513487</v>
      </c>
      <c r="U815" s="46">
        <f t="shared" si="238"/>
        <v>0</v>
      </c>
      <c r="V815" s="51">
        <f t="shared" si="239"/>
        <v>99999</v>
      </c>
      <c r="W815" s="46">
        <f t="shared" si="240"/>
        <v>0</v>
      </c>
      <c r="X815" s="46">
        <f>0.3*W815*Model!$B$9</f>
        <v>0</v>
      </c>
      <c r="Y815" s="17">
        <f>(S815-X815)/Model!$B$11</f>
        <v>0</v>
      </c>
      <c r="Z815" s="46" t="e">
        <f t="shared" si="241"/>
        <v>#DIV/0!</v>
      </c>
      <c r="AA815" s="57">
        <f>Y815/Model!$B$12*3600</f>
        <v>0</v>
      </c>
      <c r="AB815" s="51">
        <f t="shared" si="246"/>
        <v>0</v>
      </c>
      <c r="AC815" s="51">
        <f t="shared" si="255"/>
        <v>1800</v>
      </c>
      <c r="AD815" s="13">
        <f>IF(AE815=0, Model!$B$19, 0 )</f>
        <v>0</v>
      </c>
      <c r="AE815" s="51">
        <f>IF(AE814+AB814-AB815&lt;Model!$B$19*Model!$B$18, AE814+AB814-AB815,  0)</f>
        <v>443.63457370611354</v>
      </c>
      <c r="AF815" s="13">
        <f t="shared" si="242"/>
        <v>1</v>
      </c>
      <c r="AG815" s="50">
        <f t="shared" si="243"/>
        <v>0</v>
      </c>
    </row>
    <row r="816" spans="2:33" x14ac:dyDescent="0.25">
      <c r="B816" s="15">
        <f t="shared" si="244"/>
        <v>1</v>
      </c>
      <c r="C816" s="15">
        <f>B816+Model!$B$4</f>
        <v>3</v>
      </c>
      <c r="D816" s="15">
        <f t="shared" si="245"/>
        <v>1</v>
      </c>
      <c r="E816" s="15">
        <f t="shared" si="251"/>
        <v>3</v>
      </c>
      <c r="F816" s="16">
        <f>IF(AB816&gt;0, VLOOKUP(B816,Model!$A$40:$B$60, 2), 0)</f>
        <v>0</v>
      </c>
      <c r="G816" s="15">
        <f>IF(AB816&gt;0, VLOOKUP(B816,Model!$A$39:$C$58, 3), 0)</f>
        <v>0</v>
      </c>
      <c r="H816" s="15">
        <f t="shared" si="234"/>
        <v>0</v>
      </c>
      <c r="I816" s="45">
        <f>Model!$B$21*EXP((-0.029*9.81*F816)/(8.31*(273+J816)))</f>
        <v>104500</v>
      </c>
      <c r="J816" s="15">
        <f>IF(Model!$B$31="Summer",  IF(F816&lt;=2000,  Model!$B$20-Model!$B$35*F816/1000,  IF(F816&lt;Model!$B$36,  Model!$B$33-6.5*F816/1000,  Model!$B$38)),     IF(F816&lt;=2000,  Model!$B$20-Model!$B$35*F816/1000,  IF(F816&lt;Model!$B$36,  Model!$B$33-5.4*F816/1000,   Model!$B$38)))</f>
        <v>-20</v>
      </c>
      <c r="K816" s="15">
        <f t="shared" si="252"/>
        <v>253</v>
      </c>
      <c r="L816" s="45">
        <f>IF(AB815-AA815*(B816-B815)&gt;0, L815-Y815*(B816-B815)*3600-AD816*Model!$B$16, 0)</f>
        <v>0</v>
      </c>
      <c r="M816" s="56">
        <f t="shared" si="235"/>
        <v>0</v>
      </c>
      <c r="N816" s="56">
        <f>Model!$B$13*I816*K816/(Model!$B$13*I816-L816*287*K816)</f>
        <v>253</v>
      </c>
      <c r="O816" s="56">
        <f t="shared" si="236"/>
        <v>253</v>
      </c>
      <c r="P816" s="56">
        <f t="shared" si="237"/>
        <v>-10</v>
      </c>
      <c r="Q816" s="62">
        <f t="shared" si="253"/>
        <v>2.2579999999999999E-2</v>
      </c>
      <c r="R816" s="33">
        <f t="shared" si="254"/>
        <v>1.152E-5</v>
      </c>
      <c r="S816" s="45">
        <f>0.37*Model!$B$10*(Q816^2*(N816-K816)*I816/(R816*O816^2))^0.33333*(N816-K816)</f>
        <v>0</v>
      </c>
      <c r="T816" s="50">
        <f>Model!$B$32+(90-Model!$B$6)*SIN(RADIANS(-15*(E816+6)))</f>
        <v>-31.619472402513487</v>
      </c>
      <c r="U816" s="45">
        <f t="shared" si="238"/>
        <v>0</v>
      </c>
      <c r="V816" s="50">
        <f t="shared" si="239"/>
        <v>99999</v>
      </c>
      <c r="W816" s="45">
        <f t="shared" si="240"/>
        <v>0</v>
      </c>
      <c r="X816" s="45">
        <f>0.3*W816*Model!$B$9</f>
        <v>0</v>
      </c>
      <c r="Y816" s="33">
        <f>(S816-X816)/Model!$B$11</f>
        <v>0</v>
      </c>
      <c r="Z816" s="45" t="e">
        <f t="shared" si="241"/>
        <v>#DIV/0!</v>
      </c>
      <c r="AA816" s="56">
        <f>Y816/Model!$B$12*3600</f>
        <v>0</v>
      </c>
      <c r="AB816" s="50">
        <f t="shared" si="246"/>
        <v>0</v>
      </c>
      <c r="AC816" s="50">
        <f t="shared" si="255"/>
        <v>1800</v>
      </c>
      <c r="AD816" s="15">
        <f>IF(AE816=0, Model!$B$19, 0 )</f>
        <v>0</v>
      </c>
      <c r="AE816" s="50">
        <f>IF(AE815+AB815-AB816&lt;Model!$B$19*Model!$B$18, AE815+AB815-AB816,  0)</f>
        <v>443.63457370611354</v>
      </c>
      <c r="AF816" s="15">
        <f t="shared" si="242"/>
        <v>1</v>
      </c>
      <c r="AG816" s="50">
        <f t="shared" si="243"/>
        <v>0</v>
      </c>
    </row>
    <row r="817" spans="2:33" x14ac:dyDescent="0.25">
      <c r="B817" s="13">
        <f t="shared" si="244"/>
        <v>1</v>
      </c>
      <c r="C817" s="13">
        <f>B817+Model!$B$4</f>
        <v>3</v>
      </c>
      <c r="D817" s="13">
        <f t="shared" si="245"/>
        <v>1</v>
      </c>
      <c r="E817" s="13">
        <f t="shared" si="251"/>
        <v>3</v>
      </c>
      <c r="F817" s="14">
        <f>IF(AB817&gt;0, VLOOKUP(B817,Model!$A$40:$B$60, 2), 0)</f>
        <v>0</v>
      </c>
      <c r="G817" s="13">
        <f>IF(AB817&gt;0, VLOOKUP(B817,Model!$A$39:$C$58, 3), 0)</f>
        <v>0</v>
      </c>
      <c r="H817" s="13">
        <f t="shared" si="234"/>
        <v>0</v>
      </c>
      <c r="I817" s="46">
        <f>Model!$B$21*EXP((-0.029*9.81*F817)/(8.31*(273+J817)))</f>
        <v>104500</v>
      </c>
      <c r="J817" s="13">
        <f>IF(Model!$B$31="Summer",  IF(F817&lt;=2000,  Model!$B$20-Model!$B$35*F817/1000,  IF(F817&lt;Model!$B$36,  Model!$B$33-6.5*F817/1000,  Model!$B$38)),     IF(F817&lt;=2000,  Model!$B$20-Model!$B$35*F817/1000,  IF(F817&lt;Model!$B$36,  Model!$B$33-5.4*F817/1000,   Model!$B$38)))</f>
        <v>-20</v>
      </c>
      <c r="K817" s="13">
        <f t="shared" ref="K817:K852" si="256">273+J817</f>
        <v>253</v>
      </c>
      <c r="L817" s="46">
        <f>IF(AB816-AA816*(B817-B816)&gt;0, L816-Y816*(B817-B816)*3600-AD817*Model!$B$16, 0)</f>
        <v>0</v>
      </c>
      <c r="M817" s="57">
        <f t="shared" si="235"/>
        <v>0</v>
      </c>
      <c r="N817" s="57">
        <f>Model!$B$13*I817*K817/(Model!$B$13*I817-L817*287*K817)</f>
        <v>253</v>
      </c>
      <c r="O817" s="57">
        <f t="shared" si="236"/>
        <v>253</v>
      </c>
      <c r="P817" s="57">
        <f t="shared" si="237"/>
        <v>-10</v>
      </c>
      <c r="Q817" s="63">
        <f t="shared" ref="Q817:Q852" si="257">(O817-273)*7.1*0.00001+0.024</f>
        <v>2.2579999999999999E-2</v>
      </c>
      <c r="R817" s="17">
        <f t="shared" ref="R817:R852" si="258">((O817-273)*0.104+13.6)*0.000001</f>
        <v>1.152E-5</v>
      </c>
      <c r="S817" s="46">
        <f>0.37*Model!$B$10*(Q817^2*(N817-K817)*I817/(R817*O817^2))^0.33333*(N817-K817)</f>
        <v>0</v>
      </c>
      <c r="T817" s="51">
        <f>Model!$B$32+(90-Model!$B$6)*SIN(RADIANS(-15*(E817+6)))</f>
        <v>-31.619472402513487</v>
      </c>
      <c r="U817" s="46">
        <f t="shared" si="238"/>
        <v>0</v>
      </c>
      <c r="V817" s="51">
        <f t="shared" si="239"/>
        <v>99999</v>
      </c>
      <c r="W817" s="46">
        <f t="shared" si="240"/>
        <v>0</v>
      </c>
      <c r="X817" s="46">
        <f>0.3*W817*Model!$B$9</f>
        <v>0</v>
      </c>
      <c r="Y817" s="17">
        <f>(S817-X817)/Model!$B$11</f>
        <v>0</v>
      </c>
      <c r="Z817" s="46" t="e">
        <f t="shared" si="241"/>
        <v>#DIV/0!</v>
      </c>
      <c r="AA817" s="57">
        <f>Y817/Model!$B$12*3600</f>
        <v>0</v>
      </c>
      <c r="AB817" s="51">
        <f t="shared" si="246"/>
        <v>0</v>
      </c>
      <c r="AC817" s="51">
        <f t="shared" ref="AC817:AC852" si="259">AC816+AB816-AB817</f>
        <v>1800</v>
      </c>
      <c r="AD817" s="13">
        <f>IF(AE817=0, Model!$B$19, 0 )</f>
        <v>0</v>
      </c>
      <c r="AE817" s="51">
        <f>IF(AE816+AB816-AB817&lt;Model!$B$19*Model!$B$18, AE816+AB816-AB817,  0)</f>
        <v>443.63457370611354</v>
      </c>
      <c r="AF817" s="13">
        <f t="shared" si="242"/>
        <v>1</v>
      </c>
      <c r="AG817" s="50">
        <f t="shared" si="243"/>
        <v>0</v>
      </c>
    </row>
    <row r="818" spans="2:33" x14ac:dyDescent="0.25">
      <c r="B818" s="15">
        <f t="shared" si="244"/>
        <v>1</v>
      </c>
      <c r="C818" s="15">
        <f>B818+Model!$B$4</f>
        <v>3</v>
      </c>
      <c r="D818" s="15">
        <f t="shared" si="245"/>
        <v>1</v>
      </c>
      <c r="E818" s="15">
        <f t="shared" si="251"/>
        <v>3</v>
      </c>
      <c r="F818" s="16">
        <f>IF(AB818&gt;0, VLOOKUP(B818,Model!$A$40:$B$60, 2), 0)</f>
        <v>0</v>
      </c>
      <c r="G818" s="15">
        <f>IF(AB818&gt;0, VLOOKUP(B818,Model!$A$39:$C$58, 3), 0)</f>
        <v>0</v>
      </c>
      <c r="H818" s="15">
        <f t="shared" si="234"/>
        <v>0</v>
      </c>
      <c r="I818" s="45">
        <f>Model!$B$21*EXP((-0.029*9.81*F818)/(8.31*(273+J818)))</f>
        <v>104500</v>
      </c>
      <c r="J818" s="15">
        <f>IF(Model!$B$31="Summer",  IF(F818&lt;=2000,  Model!$B$20-Model!$B$35*F818/1000,  IF(F818&lt;Model!$B$36,  Model!$B$33-6.5*F818/1000,  Model!$B$38)),     IF(F818&lt;=2000,  Model!$B$20-Model!$B$35*F818/1000,  IF(F818&lt;Model!$B$36,  Model!$B$33-5.4*F818/1000,   Model!$B$38)))</f>
        <v>-20</v>
      </c>
      <c r="K818" s="15">
        <f t="shared" si="256"/>
        <v>253</v>
      </c>
      <c r="L818" s="45">
        <f>IF(AB817-AA817*(B818-B817)&gt;0, L817-Y817*(B818-B817)*3600-AD818*Model!$B$16, 0)</f>
        <v>0</v>
      </c>
      <c r="M818" s="56">
        <f t="shared" si="235"/>
        <v>0</v>
      </c>
      <c r="N818" s="56">
        <f>Model!$B$13*I818*K818/(Model!$B$13*I818-L818*287*K818)</f>
        <v>253</v>
      </c>
      <c r="O818" s="56">
        <f t="shared" si="236"/>
        <v>253</v>
      </c>
      <c r="P818" s="56">
        <f t="shared" si="237"/>
        <v>-10</v>
      </c>
      <c r="Q818" s="62">
        <f t="shared" si="257"/>
        <v>2.2579999999999999E-2</v>
      </c>
      <c r="R818" s="33">
        <f t="shared" si="258"/>
        <v>1.152E-5</v>
      </c>
      <c r="S818" s="45">
        <f>0.37*Model!$B$10*(Q818^2*(N818-K818)*I818/(R818*O818^2))^0.33333*(N818-K818)</f>
        <v>0</v>
      </c>
      <c r="T818" s="50">
        <f>Model!$B$32+(90-Model!$B$6)*SIN(RADIANS(-15*(E818+6)))</f>
        <v>-31.619472402513487</v>
      </c>
      <c r="U818" s="45">
        <f t="shared" si="238"/>
        <v>0</v>
      </c>
      <c r="V818" s="50">
        <f t="shared" si="239"/>
        <v>99999</v>
      </c>
      <c r="W818" s="45">
        <f t="shared" si="240"/>
        <v>0</v>
      </c>
      <c r="X818" s="45">
        <f>0.3*W818*Model!$B$9</f>
        <v>0</v>
      </c>
      <c r="Y818" s="33">
        <f>(S818-X818)/Model!$B$11</f>
        <v>0</v>
      </c>
      <c r="Z818" s="45" t="e">
        <f t="shared" si="241"/>
        <v>#DIV/0!</v>
      </c>
      <c r="AA818" s="56">
        <f>Y818/Model!$B$12*3600</f>
        <v>0</v>
      </c>
      <c r="AB818" s="50">
        <f t="shared" si="246"/>
        <v>0</v>
      </c>
      <c r="AC818" s="50">
        <f t="shared" si="259"/>
        <v>1800</v>
      </c>
      <c r="AD818" s="15">
        <f>IF(AE818=0, Model!$B$19, 0 )</f>
        <v>0</v>
      </c>
      <c r="AE818" s="50">
        <f>IF(AE817+AB817-AB818&lt;Model!$B$19*Model!$B$18, AE817+AB817-AB818,  0)</f>
        <v>443.63457370611354</v>
      </c>
      <c r="AF818" s="15">
        <f t="shared" si="242"/>
        <v>1</v>
      </c>
      <c r="AG818" s="50">
        <f t="shared" si="243"/>
        <v>0</v>
      </c>
    </row>
    <row r="819" spans="2:33" x14ac:dyDescent="0.25">
      <c r="B819" s="13">
        <f t="shared" si="244"/>
        <v>1</v>
      </c>
      <c r="C819" s="13">
        <f>B819+Model!$B$4</f>
        <v>3</v>
      </c>
      <c r="D819" s="13">
        <f t="shared" si="245"/>
        <v>1</v>
      </c>
      <c r="E819" s="13">
        <f t="shared" si="251"/>
        <v>3</v>
      </c>
      <c r="F819" s="14">
        <f>IF(AB819&gt;0, VLOOKUP(B819,Model!$A$40:$B$60, 2), 0)</f>
        <v>0</v>
      </c>
      <c r="G819" s="13">
        <f>IF(AB819&gt;0, VLOOKUP(B819,Model!$A$39:$C$58, 3), 0)</f>
        <v>0</v>
      </c>
      <c r="H819" s="13">
        <f t="shared" si="234"/>
        <v>0</v>
      </c>
      <c r="I819" s="46">
        <f>Model!$B$21*EXP((-0.029*9.81*F819)/(8.31*(273+J819)))</f>
        <v>104500</v>
      </c>
      <c r="J819" s="13">
        <f>IF(Model!$B$31="Summer",  IF(F819&lt;=2000,  Model!$B$20-Model!$B$35*F819/1000,  IF(F819&lt;Model!$B$36,  Model!$B$33-6.5*F819/1000,  Model!$B$38)),     IF(F819&lt;=2000,  Model!$B$20-Model!$B$35*F819/1000,  IF(F819&lt;Model!$B$36,  Model!$B$33-5.4*F819/1000,   Model!$B$38)))</f>
        <v>-20</v>
      </c>
      <c r="K819" s="13">
        <f t="shared" si="256"/>
        <v>253</v>
      </c>
      <c r="L819" s="46">
        <f>IF(AB818-AA818*(B819-B818)&gt;0, L818-Y818*(B819-B818)*3600-AD819*Model!$B$16, 0)</f>
        <v>0</v>
      </c>
      <c r="M819" s="57">
        <f t="shared" si="235"/>
        <v>0</v>
      </c>
      <c r="N819" s="57">
        <f>Model!$B$13*I819*K819/(Model!$B$13*I819-L819*287*K819)</f>
        <v>253</v>
      </c>
      <c r="O819" s="57">
        <f t="shared" si="236"/>
        <v>253</v>
      </c>
      <c r="P819" s="57">
        <f t="shared" si="237"/>
        <v>-10</v>
      </c>
      <c r="Q819" s="63">
        <f t="shared" si="257"/>
        <v>2.2579999999999999E-2</v>
      </c>
      <c r="R819" s="17">
        <f t="shared" si="258"/>
        <v>1.152E-5</v>
      </c>
      <c r="S819" s="46">
        <f>0.37*Model!$B$10*(Q819^2*(N819-K819)*I819/(R819*O819^2))^0.33333*(N819-K819)</f>
        <v>0</v>
      </c>
      <c r="T819" s="51">
        <f>Model!$B$32+(90-Model!$B$6)*SIN(RADIANS(-15*(E819+6)))</f>
        <v>-31.619472402513487</v>
      </c>
      <c r="U819" s="46">
        <f t="shared" si="238"/>
        <v>0</v>
      </c>
      <c r="V819" s="51">
        <f t="shared" si="239"/>
        <v>99999</v>
      </c>
      <c r="W819" s="46">
        <f t="shared" si="240"/>
        <v>0</v>
      </c>
      <c r="X819" s="46">
        <f>0.3*W819*Model!$B$9</f>
        <v>0</v>
      </c>
      <c r="Y819" s="17">
        <f>(S819-X819)/Model!$B$11</f>
        <v>0</v>
      </c>
      <c r="Z819" s="46" t="e">
        <f t="shared" si="241"/>
        <v>#DIV/0!</v>
      </c>
      <c r="AA819" s="57">
        <f>Y819/Model!$B$12*3600</f>
        <v>0</v>
      </c>
      <c r="AB819" s="51">
        <f t="shared" si="246"/>
        <v>0</v>
      </c>
      <c r="AC819" s="51">
        <f t="shared" si="259"/>
        <v>1800</v>
      </c>
      <c r="AD819" s="13">
        <f>IF(AE819=0, Model!$B$19, 0 )</f>
        <v>0</v>
      </c>
      <c r="AE819" s="51">
        <f>IF(AE818+AB818-AB819&lt;Model!$B$19*Model!$B$18, AE818+AB818-AB819,  0)</f>
        <v>443.63457370611354</v>
      </c>
      <c r="AF819" s="13">
        <f t="shared" si="242"/>
        <v>1</v>
      </c>
      <c r="AG819" s="50">
        <f t="shared" si="243"/>
        <v>0</v>
      </c>
    </row>
    <row r="820" spans="2:33" x14ac:dyDescent="0.25">
      <c r="B820" s="15">
        <f t="shared" si="244"/>
        <v>1</v>
      </c>
      <c r="C820" s="15">
        <f>B820+Model!$B$4</f>
        <v>3</v>
      </c>
      <c r="D820" s="15">
        <f t="shared" si="245"/>
        <v>1</v>
      </c>
      <c r="E820" s="15">
        <f t="shared" si="251"/>
        <v>3</v>
      </c>
      <c r="F820" s="16">
        <f>IF(AB820&gt;0, VLOOKUP(B820,Model!$A$40:$B$60, 2), 0)</f>
        <v>0</v>
      </c>
      <c r="G820" s="15">
        <f>IF(AB820&gt;0, VLOOKUP(B820,Model!$A$39:$C$58, 3), 0)</f>
        <v>0</v>
      </c>
      <c r="H820" s="15">
        <f t="shared" si="234"/>
        <v>0</v>
      </c>
      <c r="I820" s="45">
        <f>Model!$B$21*EXP((-0.029*9.81*F820)/(8.31*(273+J820)))</f>
        <v>104500</v>
      </c>
      <c r="J820" s="15">
        <f>IF(Model!$B$31="Summer",  IF(F820&lt;=2000,  Model!$B$20-Model!$B$35*F820/1000,  IF(F820&lt;Model!$B$36,  Model!$B$33-6.5*F820/1000,  Model!$B$38)),     IF(F820&lt;=2000,  Model!$B$20-Model!$B$35*F820/1000,  IF(F820&lt;Model!$B$36,  Model!$B$33-5.4*F820/1000,   Model!$B$38)))</f>
        <v>-20</v>
      </c>
      <c r="K820" s="15">
        <f t="shared" si="256"/>
        <v>253</v>
      </c>
      <c r="L820" s="45">
        <f>IF(AB819-AA819*(B820-B819)&gt;0, L819-Y819*(B820-B819)*3600-AD820*Model!$B$16, 0)</f>
        <v>0</v>
      </c>
      <c r="M820" s="56">
        <f t="shared" si="235"/>
        <v>0</v>
      </c>
      <c r="N820" s="56">
        <f>Model!$B$13*I820*K820/(Model!$B$13*I820-L820*287*K820)</f>
        <v>253</v>
      </c>
      <c r="O820" s="56">
        <f t="shared" si="236"/>
        <v>253</v>
      </c>
      <c r="P820" s="56">
        <f t="shared" si="237"/>
        <v>-10</v>
      </c>
      <c r="Q820" s="62">
        <f t="shared" si="257"/>
        <v>2.2579999999999999E-2</v>
      </c>
      <c r="R820" s="33">
        <f t="shared" si="258"/>
        <v>1.152E-5</v>
      </c>
      <c r="S820" s="45">
        <f>0.37*Model!$B$10*(Q820^2*(N820-K820)*I820/(R820*O820^2))^0.33333*(N820-K820)</f>
        <v>0</v>
      </c>
      <c r="T820" s="50">
        <f>Model!$B$32+(90-Model!$B$6)*SIN(RADIANS(-15*(E820+6)))</f>
        <v>-31.619472402513487</v>
      </c>
      <c r="U820" s="45">
        <f t="shared" si="238"/>
        <v>0</v>
      </c>
      <c r="V820" s="50">
        <f t="shared" si="239"/>
        <v>99999</v>
      </c>
      <c r="W820" s="45">
        <f t="shared" si="240"/>
        <v>0</v>
      </c>
      <c r="X820" s="45">
        <f>0.3*W820*Model!$B$9</f>
        <v>0</v>
      </c>
      <c r="Y820" s="33">
        <f>(S820-X820)/Model!$B$11</f>
        <v>0</v>
      </c>
      <c r="Z820" s="45" t="e">
        <f t="shared" si="241"/>
        <v>#DIV/0!</v>
      </c>
      <c r="AA820" s="56">
        <f>Y820/Model!$B$12*3600</f>
        <v>0</v>
      </c>
      <c r="AB820" s="50">
        <f t="shared" si="246"/>
        <v>0</v>
      </c>
      <c r="AC820" s="50">
        <f t="shared" si="259"/>
        <v>1800</v>
      </c>
      <c r="AD820" s="15">
        <f>IF(AE820=0, Model!$B$19, 0 )</f>
        <v>0</v>
      </c>
      <c r="AE820" s="50">
        <f>IF(AE819+AB819-AB820&lt;Model!$B$19*Model!$B$18, AE819+AB819-AB820,  0)</f>
        <v>443.63457370611354</v>
      </c>
      <c r="AF820" s="15">
        <f t="shared" si="242"/>
        <v>1</v>
      </c>
      <c r="AG820" s="50">
        <f t="shared" si="243"/>
        <v>0</v>
      </c>
    </row>
    <row r="821" spans="2:33" x14ac:dyDescent="0.25">
      <c r="B821" s="13">
        <f t="shared" si="244"/>
        <v>1</v>
      </c>
      <c r="C821" s="13">
        <f>B821+Model!$B$4</f>
        <v>3</v>
      </c>
      <c r="D821" s="13">
        <f t="shared" si="245"/>
        <v>1</v>
      </c>
      <c r="E821" s="13">
        <f t="shared" si="251"/>
        <v>3</v>
      </c>
      <c r="F821" s="14">
        <f>IF(AB821&gt;0, VLOOKUP(B821,Model!$A$40:$B$60, 2), 0)</f>
        <v>0</v>
      </c>
      <c r="G821" s="13">
        <f>IF(AB821&gt;0, VLOOKUP(B821,Model!$A$39:$C$58, 3), 0)</f>
        <v>0</v>
      </c>
      <c r="H821" s="13">
        <f t="shared" si="234"/>
        <v>0</v>
      </c>
      <c r="I821" s="46">
        <f>Model!$B$21*EXP((-0.029*9.81*F821)/(8.31*(273+J821)))</f>
        <v>104500</v>
      </c>
      <c r="J821" s="13">
        <f>IF(Model!$B$31="Summer",  IF(F821&lt;=2000,  Model!$B$20-Model!$B$35*F821/1000,  IF(F821&lt;Model!$B$36,  Model!$B$33-6.5*F821/1000,  Model!$B$38)),     IF(F821&lt;=2000,  Model!$B$20-Model!$B$35*F821/1000,  IF(F821&lt;Model!$B$36,  Model!$B$33-5.4*F821/1000,   Model!$B$38)))</f>
        <v>-20</v>
      </c>
      <c r="K821" s="13">
        <f t="shared" si="256"/>
        <v>253</v>
      </c>
      <c r="L821" s="46">
        <f>IF(AB820-AA820*(B821-B820)&gt;0, L820-Y820*(B821-B820)*3600-AD821*Model!$B$16, 0)</f>
        <v>0</v>
      </c>
      <c r="M821" s="57">
        <f t="shared" si="235"/>
        <v>0</v>
      </c>
      <c r="N821" s="57">
        <f>Model!$B$13*I821*K821/(Model!$B$13*I821-L821*287*K821)</f>
        <v>253</v>
      </c>
      <c r="O821" s="57">
        <f t="shared" si="236"/>
        <v>253</v>
      </c>
      <c r="P821" s="57">
        <f t="shared" si="237"/>
        <v>-10</v>
      </c>
      <c r="Q821" s="63">
        <f t="shared" si="257"/>
        <v>2.2579999999999999E-2</v>
      </c>
      <c r="R821" s="17">
        <f t="shared" si="258"/>
        <v>1.152E-5</v>
      </c>
      <c r="S821" s="46">
        <f>0.37*Model!$B$10*(Q821^2*(N821-K821)*I821/(R821*O821^2))^0.33333*(N821-K821)</f>
        <v>0</v>
      </c>
      <c r="T821" s="51">
        <f>Model!$B$32+(90-Model!$B$6)*SIN(RADIANS(-15*(E821+6)))</f>
        <v>-31.619472402513487</v>
      </c>
      <c r="U821" s="46">
        <f t="shared" si="238"/>
        <v>0</v>
      </c>
      <c r="V821" s="51">
        <f t="shared" si="239"/>
        <v>99999</v>
      </c>
      <c r="W821" s="46">
        <f t="shared" si="240"/>
        <v>0</v>
      </c>
      <c r="X821" s="46">
        <f>0.3*W821*Model!$B$9</f>
        <v>0</v>
      </c>
      <c r="Y821" s="17">
        <f>(S821-X821)/Model!$B$11</f>
        <v>0</v>
      </c>
      <c r="Z821" s="46" t="e">
        <f t="shared" si="241"/>
        <v>#DIV/0!</v>
      </c>
      <c r="AA821" s="57">
        <f>Y821/Model!$B$12*3600</f>
        <v>0</v>
      </c>
      <c r="AB821" s="51">
        <f t="shared" si="246"/>
        <v>0</v>
      </c>
      <c r="AC821" s="51">
        <f t="shared" si="259"/>
        <v>1800</v>
      </c>
      <c r="AD821" s="13">
        <f>IF(AE821=0, Model!$B$19, 0 )</f>
        <v>0</v>
      </c>
      <c r="AE821" s="51">
        <f>IF(AE820+AB820-AB821&lt;Model!$B$19*Model!$B$18, AE820+AB820-AB821,  0)</f>
        <v>443.63457370611354</v>
      </c>
      <c r="AF821" s="13">
        <f t="shared" si="242"/>
        <v>1</v>
      </c>
      <c r="AG821" s="50">
        <f t="shared" si="243"/>
        <v>0</v>
      </c>
    </row>
    <row r="822" spans="2:33" x14ac:dyDescent="0.25">
      <c r="B822" s="15">
        <f t="shared" si="244"/>
        <v>1</v>
      </c>
      <c r="C822" s="15">
        <f>B822+Model!$B$4</f>
        <v>3</v>
      </c>
      <c r="D822" s="15">
        <f t="shared" si="245"/>
        <v>1</v>
      </c>
      <c r="E822" s="15">
        <f t="shared" si="251"/>
        <v>3</v>
      </c>
      <c r="F822" s="16">
        <f>IF(AB822&gt;0, VLOOKUP(B822,Model!$A$40:$B$60, 2), 0)</f>
        <v>0</v>
      </c>
      <c r="G822" s="15">
        <f>IF(AB822&gt;0, VLOOKUP(B822,Model!$A$39:$C$58, 3), 0)</f>
        <v>0</v>
      </c>
      <c r="H822" s="15">
        <f t="shared" si="234"/>
        <v>0</v>
      </c>
      <c r="I822" s="45">
        <f>Model!$B$21*EXP((-0.029*9.81*F822)/(8.31*(273+J822)))</f>
        <v>104500</v>
      </c>
      <c r="J822" s="15">
        <f>IF(Model!$B$31="Summer",  IF(F822&lt;=2000,  Model!$B$20-Model!$B$35*F822/1000,  IF(F822&lt;Model!$B$36,  Model!$B$33-6.5*F822/1000,  Model!$B$38)),     IF(F822&lt;=2000,  Model!$B$20-Model!$B$35*F822/1000,  IF(F822&lt;Model!$B$36,  Model!$B$33-5.4*F822/1000,   Model!$B$38)))</f>
        <v>-20</v>
      </c>
      <c r="K822" s="15">
        <f t="shared" si="256"/>
        <v>253</v>
      </c>
      <c r="L822" s="45">
        <f>IF(AB821-AA821*(B822-B821)&gt;0, L821-Y821*(B822-B821)*3600-AD822*Model!$B$16, 0)</f>
        <v>0</v>
      </c>
      <c r="M822" s="56">
        <f t="shared" si="235"/>
        <v>0</v>
      </c>
      <c r="N822" s="56">
        <f>Model!$B$13*I822*K822/(Model!$B$13*I822-L822*287*K822)</f>
        <v>253</v>
      </c>
      <c r="O822" s="56">
        <f t="shared" si="236"/>
        <v>253</v>
      </c>
      <c r="P822" s="56">
        <f t="shared" si="237"/>
        <v>-10</v>
      </c>
      <c r="Q822" s="62">
        <f t="shared" si="257"/>
        <v>2.2579999999999999E-2</v>
      </c>
      <c r="R822" s="33">
        <f t="shared" si="258"/>
        <v>1.152E-5</v>
      </c>
      <c r="S822" s="45">
        <f>0.37*Model!$B$10*(Q822^2*(N822-K822)*I822/(R822*O822^2))^0.33333*(N822-K822)</f>
        <v>0</v>
      </c>
      <c r="T822" s="50">
        <f>Model!$B$32+(90-Model!$B$6)*SIN(RADIANS(-15*(E822+6)))</f>
        <v>-31.619472402513487</v>
      </c>
      <c r="U822" s="45">
        <f t="shared" si="238"/>
        <v>0</v>
      </c>
      <c r="V822" s="50">
        <f t="shared" si="239"/>
        <v>99999</v>
      </c>
      <c r="W822" s="45">
        <f t="shared" si="240"/>
        <v>0</v>
      </c>
      <c r="X822" s="45">
        <f>0.3*W822*Model!$B$9</f>
        <v>0</v>
      </c>
      <c r="Y822" s="33">
        <f>(S822-X822)/Model!$B$11</f>
        <v>0</v>
      </c>
      <c r="Z822" s="45" t="e">
        <f t="shared" si="241"/>
        <v>#DIV/0!</v>
      </c>
      <c r="AA822" s="56">
        <f>Y822/Model!$B$12*3600</f>
        <v>0</v>
      </c>
      <c r="AB822" s="50">
        <f t="shared" si="246"/>
        <v>0</v>
      </c>
      <c r="AC822" s="50">
        <f t="shared" si="259"/>
        <v>1800</v>
      </c>
      <c r="AD822" s="15">
        <f>IF(AE822=0, Model!$B$19, 0 )</f>
        <v>0</v>
      </c>
      <c r="AE822" s="50">
        <f>IF(AE821+AB821-AB822&lt;Model!$B$19*Model!$B$18, AE821+AB821-AB822,  0)</f>
        <v>443.63457370611354</v>
      </c>
      <c r="AF822" s="15">
        <f t="shared" si="242"/>
        <v>1</v>
      </c>
      <c r="AG822" s="50">
        <f t="shared" si="243"/>
        <v>0</v>
      </c>
    </row>
    <row r="823" spans="2:33" x14ac:dyDescent="0.25">
      <c r="B823" s="13">
        <f t="shared" si="244"/>
        <v>1</v>
      </c>
      <c r="C823" s="13">
        <f>B823+Model!$B$4</f>
        <v>3</v>
      </c>
      <c r="D823" s="13">
        <f t="shared" si="245"/>
        <v>1</v>
      </c>
      <c r="E823" s="13">
        <f t="shared" si="251"/>
        <v>3</v>
      </c>
      <c r="F823" s="14">
        <f>IF(AB823&gt;0, VLOOKUP(B823,Model!$A$40:$B$60, 2), 0)</f>
        <v>0</v>
      </c>
      <c r="G823" s="13">
        <f>IF(AB823&gt;0, VLOOKUP(B823,Model!$A$39:$C$58, 3), 0)</f>
        <v>0</v>
      </c>
      <c r="H823" s="13">
        <f t="shared" si="234"/>
        <v>0</v>
      </c>
      <c r="I823" s="46">
        <f>Model!$B$21*EXP((-0.029*9.81*F823)/(8.31*(273+J823)))</f>
        <v>104500</v>
      </c>
      <c r="J823" s="13">
        <f>IF(Model!$B$31="Summer",  IF(F823&lt;=2000,  Model!$B$20-Model!$B$35*F823/1000,  IF(F823&lt;Model!$B$36,  Model!$B$33-6.5*F823/1000,  Model!$B$38)),     IF(F823&lt;=2000,  Model!$B$20-Model!$B$35*F823/1000,  IF(F823&lt;Model!$B$36,  Model!$B$33-5.4*F823/1000,   Model!$B$38)))</f>
        <v>-20</v>
      </c>
      <c r="K823" s="13">
        <f t="shared" si="256"/>
        <v>253</v>
      </c>
      <c r="L823" s="46">
        <f>IF(AB822-AA822*(B823-B822)&gt;0, L822-Y822*(B823-B822)*3600-AD823*Model!$B$16, 0)</f>
        <v>0</v>
      </c>
      <c r="M823" s="57">
        <f t="shared" si="235"/>
        <v>0</v>
      </c>
      <c r="N823" s="57">
        <f>Model!$B$13*I823*K823/(Model!$B$13*I823-L823*287*K823)</f>
        <v>253</v>
      </c>
      <c r="O823" s="57">
        <f t="shared" si="236"/>
        <v>253</v>
      </c>
      <c r="P823" s="57">
        <f t="shared" si="237"/>
        <v>-10</v>
      </c>
      <c r="Q823" s="63">
        <f t="shared" si="257"/>
        <v>2.2579999999999999E-2</v>
      </c>
      <c r="R823" s="17">
        <f t="shared" si="258"/>
        <v>1.152E-5</v>
      </c>
      <c r="S823" s="46">
        <f>0.37*Model!$B$10*(Q823^2*(N823-K823)*I823/(R823*O823^2))^0.33333*(N823-K823)</f>
        <v>0</v>
      </c>
      <c r="T823" s="51">
        <f>Model!$B$32+(90-Model!$B$6)*SIN(RADIANS(-15*(E823+6)))</f>
        <v>-31.619472402513487</v>
      </c>
      <c r="U823" s="46">
        <f t="shared" si="238"/>
        <v>0</v>
      </c>
      <c r="V823" s="51">
        <f t="shared" si="239"/>
        <v>99999</v>
      </c>
      <c r="W823" s="46">
        <f t="shared" si="240"/>
        <v>0</v>
      </c>
      <c r="X823" s="46">
        <f>0.3*W823*Model!$B$9</f>
        <v>0</v>
      </c>
      <c r="Y823" s="17">
        <f>(S823-X823)/Model!$B$11</f>
        <v>0</v>
      </c>
      <c r="Z823" s="46" t="e">
        <f t="shared" si="241"/>
        <v>#DIV/0!</v>
      </c>
      <c r="AA823" s="57">
        <f>Y823/Model!$B$12*3600</f>
        <v>0</v>
      </c>
      <c r="AB823" s="51">
        <f t="shared" si="246"/>
        <v>0</v>
      </c>
      <c r="AC823" s="51">
        <f t="shared" si="259"/>
        <v>1800</v>
      </c>
      <c r="AD823" s="13">
        <f>IF(AE823=0, Model!$B$19, 0 )</f>
        <v>0</v>
      </c>
      <c r="AE823" s="51">
        <f>IF(AE822+AB822-AB823&lt;Model!$B$19*Model!$B$18, AE822+AB822-AB823,  0)</f>
        <v>443.63457370611354</v>
      </c>
      <c r="AF823" s="13">
        <f t="shared" si="242"/>
        <v>1</v>
      </c>
      <c r="AG823" s="50">
        <f t="shared" si="243"/>
        <v>0</v>
      </c>
    </row>
    <row r="824" spans="2:33" x14ac:dyDescent="0.25">
      <c r="B824" s="15">
        <f t="shared" si="244"/>
        <v>1</v>
      </c>
      <c r="C824" s="15">
        <f>B824+Model!$B$4</f>
        <v>3</v>
      </c>
      <c r="D824" s="15">
        <f t="shared" si="245"/>
        <v>1</v>
      </c>
      <c r="E824" s="15">
        <f t="shared" si="251"/>
        <v>3</v>
      </c>
      <c r="F824" s="16">
        <f>IF(AB824&gt;0, VLOOKUP(B824,Model!$A$40:$B$60, 2), 0)</f>
        <v>0</v>
      </c>
      <c r="G824" s="15">
        <f>IF(AB824&gt;0, VLOOKUP(B824,Model!$A$39:$C$58, 3), 0)</f>
        <v>0</v>
      </c>
      <c r="H824" s="15">
        <f t="shared" si="234"/>
        <v>0</v>
      </c>
      <c r="I824" s="45">
        <f>Model!$B$21*EXP((-0.029*9.81*F824)/(8.31*(273+J824)))</f>
        <v>104500</v>
      </c>
      <c r="J824" s="15">
        <f>IF(Model!$B$31="Summer",  IF(F824&lt;=2000,  Model!$B$20-Model!$B$35*F824/1000,  IF(F824&lt;Model!$B$36,  Model!$B$33-6.5*F824/1000,  Model!$B$38)),     IF(F824&lt;=2000,  Model!$B$20-Model!$B$35*F824/1000,  IF(F824&lt;Model!$B$36,  Model!$B$33-5.4*F824/1000,   Model!$B$38)))</f>
        <v>-20</v>
      </c>
      <c r="K824" s="15">
        <f t="shared" si="256"/>
        <v>253</v>
      </c>
      <c r="L824" s="45">
        <f>IF(AB823-AA823*(B824-B823)&gt;0, L823-Y823*(B824-B823)*3600-AD824*Model!$B$16, 0)</f>
        <v>0</v>
      </c>
      <c r="M824" s="56">
        <f t="shared" si="235"/>
        <v>0</v>
      </c>
      <c r="N824" s="56">
        <f>Model!$B$13*I824*K824/(Model!$B$13*I824-L824*287*K824)</f>
        <v>253</v>
      </c>
      <c r="O824" s="56">
        <f t="shared" si="236"/>
        <v>253</v>
      </c>
      <c r="P824" s="56">
        <f t="shared" si="237"/>
        <v>-10</v>
      </c>
      <c r="Q824" s="62">
        <f t="shared" si="257"/>
        <v>2.2579999999999999E-2</v>
      </c>
      <c r="R824" s="33">
        <f t="shared" si="258"/>
        <v>1.152E-5</v>
      </c>
      <c r="S824" s="45">
        <f>0.37*Model!$B$10*(Q824^2*(N824-K824)*I824/(R824*O824^2))^0.33333*(N824-K824)</f>
        <v>0</v>
      </c>
      <c r="T824" s="50">
        <f>Model!$B$32+(90-Model!$B$6)*SIN(RADIANS(-15*(E824+6)))</f>
        <v>-31.619472402513487</v>
      </c>
      <c r="U824" s="45">
        <f t="shared" si="238"/>
        <v>0</v>
      </c>
      <c r="V824" s="50">
        <f t="shared" si="239"/>
        <v>99999</v>
      </c>
      <c r="W824" s="45">
        <f t="shared" si="240"/>
        <v>0</v>
      </c>
      <c r="X824" s="45">
        <f>0.3*W824*Model!$B$9</f>
        <v>0</v>
      </c>
      <c r="Y824" s="33">
        <f>(S824-X824)/Model!$B$11</f>
        <v>0</v>
      </c>
      <c r="Z824" s="45" t="e">
        <f t="shared" si="241"/>
        <v>#DIV/0!</v>
      </c>
      <c r="AA824" s="56">
        <f>Y824/Model!$B$12*3600</f>
        <v>0</v>
      </c>
      <c r="AB824" s="50">
        <f t="shared" si="246"/>
        <v>0</v>
      </c>
      <c r="AC824" s="50">
        <f t="shared" si="259"/>
        <v>1800</v>
      </c>
      <c r="AD824" s="15">
        <f>IF(AE824=0, Model!$B$19, 0 )</f>
        <v>0</v>
      </c>
      <c r="AE824" s="50">
        <f>IF(AE823+AB823-AB824&lt;Model!$B$19*Model!$B$18, AE823+AB823-AB824,  0)</f>
        <v>443.63457370611354</v>
      </c>
      <c r="AF824" s="15">
        <f t="shared" si="242"/>
        <v>1</v>
      </c>
      <c r="AG824" s="50">
        <f t="shared" si="243"/>
        <v>0</v>
      </c>
    </row>
    <row r="825" spans="2:33" x14ac:dyDescent="0.25">
      <c r="B825" s="13">
        <f t="shared" si="244"/>
        <v>1</v>
      </c>
      <c r="C825" s="13">
        <f>B825+Model!$B$4</f>
        <v>3</v>
      </c>
      <c r="D825" s="13">
        <f t="shared" si="245"/>
        <v>1</v>
      </c>
      <c r="E825" s="13">
        <f t="shared" si="251"/>
        <v>3</v>
      </c>
      <c r="F825" s="14">
        <f>IF(AB825&gt;0, VLOOKUP(B825,Model!$A$40:$B$60, 2), 0)</f>
        <v>0</v>
      </c>
      <c r="G825" s="13">
        <f>IF(AB825&gt;0, VLOOKUP(B825,Model!$A$39:$C$58, 3), 0)</f>
        <v>0</v>
      </c>
      <c r="H825" s="13">
        <f t="shared" si="234"/>
        <v>0</v>
      </c>
      <c r="I825" s="46">
        <f>Model!$B$21*EXP((-0.029*9.81*F825)/(8.31*(273+J825)))</f>
        <v>104500</v>
      </c>
      <c r="J825" s="13">
        <f>IF(Model!$B$31="Summer",  IF(F825&lt;=2000,  Model!$B$20-Model!$B$35*F825/1000,  IF(F825&lt;Model!$B$36,  Model!$B$33-6.5*F825/1000,  Model!$B$38)),     IF(F825&lt;=2000,  Model!$B$20-Model!$B$35*F825/1000,  IF(F825&lt;Model!$B$36,  Model!$B$33-5.4*F825/1000,   Model!$B$38)))</f>
        <v>-20</v>
      </c>
      <c r="K825" s="13">
        <f t="shared" si="256"/>
        <v>253</v>
      </c>
      <c r="L825" s="46">
        <f>IF(AB824-AA824*(B825-B824)&gt;0, L824-Y824*(B825-B824)*3600-AD825*Model!$B$16, 0)</f>
        <v>0</v>
      </c>
      <c r="M825" s="57">
        <f t="shared" si="235"/>
        <v>0</v>
      </c>
      <c r="N825" s="57">
        <f>Model!$B$13*I825*K825/(Model!$B$13*I825-L825*287*K825)</f>
        <v>253</v>
      </c>
      <c r="O825" s="57">
        <f t="shared" si="236"/>
        <v>253</v>
      </c>
      <c r="P825" s="57">
        <f t="shared" si="237"/>
        <v>-10</v>
      </c>
      <c r="Q825" s="63">
        <f t="shared" si="257"/>
        <v>2.2579999999999999E-2</v>
      </c>
      <c r="R825" s="17">
        <f t="shared" si="258"/>
        <v>1.152E-5</v>
      </c>
      <c r="S825" s="46">
        <f>0.37*Model!$B$10*(Q825^2*(N825-K825)*I825/(R825*O825^2))^0.33333*(N825-K825)</f>
        <v>0</v>
      </c>
      <c r="T825" s="51">
        <f>Model!$B$32+(90-Model!$B$6)*SIN(RADIANS(-15*(E825+6)))</f>
        <v>-31.619472402513487</v>
      </c>
      <c r="U825" s="46">
        <f t="shared" si="238"/>
        <v>0</v>
      </c>
      <c r="V825" s="51">
        <f t="shared" si="239"/>
        <v>99999</v>
      </c>
      <c r="W825" s="46">
        <f t="shared" si="240"/>
        <v>0</v>
      </c>
      <c r="X825" s="46">
        <f>0.3*W825*Model!$B$9</f>
        <v>0</v>
      </c>
      <c r="Y825" s="17">
        <f>(S825-X825)/Model!$B$11</f>
        <v>0</v>
      </c>
      <c r="Z825" s="46" t="e">
        <f t="shared" si="241"/>
        <v>#DIV/0!</v>
      </c>
      <c r="AA825" s="57">
        <f>Y825/Model!$B$12*3600</f>
        <v>0</v>
      </c>
      <c r="AB825" s="51">
        <f t="shared" si="246"/>
        <v>0</v>
      </c>
      <c r="AC825" s="51">
        <f t="shared" si="259"/>
        <v>1800</v>
      </c>
      <c r="AD825" s="13">
        <f>IF(AE825=0, Model!$B$19, 0 )</f>
        <v>0</v>
      </c>
      <c r="AE825" s="51">
        <f>IF(AE824+AB824-AB825&lt;Model!$B$19*Model!$B$18, AE824+AB824-AB825,  0)</f>
        <v>443.63457370611354</v>
      </c>
      <c r="AF825" s="13">
        <f t="shared" si="242"/>
        <v>1</v>
      </c>
      <c r="AG825" s="50">
        <f t="shared" si="243"/>
        <v>0</v>
      </c>
    </row>
    <row r="826" spans="2:33" x14ac:dyDescent="0.25">
      <c r="B826" s="15">
        <f t="shared" si="244"/>
        <v>1</v>
      </c>
      <c r="C826" s="15">
        <f>B826+Model!$B$4</f>
        <v>3</v>
      </c>
      <c r="D826" s="15">
        <f t="shared" si="245"/>
        <v>1</v>
      </c>
      <c r="E826" s="15">
        <f t="shared" si="251"/>
        <v>3</v>
      </c>
      <c r="F826" s="16">
        <f>IF(AB826&gt;0, VLOOKUP(B826,Model!$A$40:$B$60, 2), 0)</f>
        <v>0</v>
      </c>
      <c r="G826" s="15">
        <f>IF(AB826&gt;0, VLOOKUP(B826,Model!$A$39:$C$58, 3), 0)</f>
        <v>0</v>
      </c>
      <c r="H826" s="15">
        <f t="shared" si="234"/>
        <v>0</v>
      </c>
      <c r="I826" s="45">
        <f>Model!$B$21*EXP((-0.029*9.81*F826)/(8.31*(273+J826)))</f>
        <v>104500</v>
      </c>
      <c r="J826" s="15">
        <f>IF(Model!$B$31="Summer",  IF(F826&lt;=2000,  Model!$B$20-Model!$B$35*F826/1000,  IF(F826&lt;Model!$B$36,  Model!$B$33-6.5*F826/1000,  Model!$B$38)),     IF(F826&lt;=2000,  Model!$B$20-Model!$B$35*F826/1000,  IF(F826&lt;Model!$B$36,  Model!$B$33-5.4*F826/1000,   Model!$B$38)))</f>
        <v>-20</v>
      </c>
      <c r="K826" s="15">
        <f t="shared" si="256"/>
        <v>253</v>
      </c>
      <c r="L826" s="45">
        <f>IF(AB825-AA825*(B826-B825)&gt;0, L825-Y825*(B826-B825)*3600-AD826*Model!$B$16, 0)</f>
        <v>0</v>
      </c>
      <c r="M826" s="56">
        <f t="shared" si="235"/>
        <v>0</v>
      </c>
      <c r="N826" s="56">
        <f>Model!$B$13*I826*K826/(Model!$B$13*I826-L826*287*K826)</f>
        <v>253</v>
      </c>
      <c r="O826" s="56">
        <f t="shared" si="236"/>
        <v>253</v>
      </c>
      <c r="P826" s="56">
        <f t="shared" si="237"/>
        <v>-10</v>
      </c>
      <c r="Q826" s="62">
        <f t="shared" si="257"/>
        <v>2.2579999999999999E-2</v>
      </c>
      <c r="R826" s="33">
        <f t="shared" si="258"/>
        <v>1.152E-5</v>
      </c>
      <c r="S826" s="45">
        <f>0.37*Model!$B$10*(Q826^2*(N826-K826)*I826/(R826*O826^2))^0.33333*(N826-K826)</f>
        <v>0</v>
      </c>
      <c r="T826" s="50">
        <f>Model!$B$32+(90-Model!$B$6)*SIN(RADIANS(-15*(E826+6)))</f>
        <v>-31.619472402513487</v>
      </c>
      <c r="U826" s="45">
        <f t="shared" si="238"/>
        <v>0</v>
      </c>
      <c r="V826" s="50">
        <f t="shared" si="239"/>
        <v>99999</v>
      </c>
      <c r="W826" s="45">
        <f t="shared" si="240"/>
        <v>0</v>
      </c>
      <c r="X826" s="45">
        <f>0.3*W826*Model!$B$9</f>
        <v>0</v>
      </c>
      <c r="Y826" s="33">
        <f>(S826-X826)/Model!$B$11</f>
        <v>0</v>
      </c>
      <c r="Z826" s="45" t="e">
        <f t="shared" si="241"/>
        <v>#DIV/0!</v>
      </c>
      <c r="AA826" s="56">
        <f>Y826/Model!$B$12*3600</f>
        <v>0</v>
      </c>
      <c r="AB826" s="50">
        <f t="shared" si="246"/>
        <v>0</v>
      </c>
      <c r="AC826" s="50">
        <f t="shared" si="259"/>
        <v>1800</v>
      </c>
      <c r="AD826" s="15">
        <f>IF(AE826=0, Model!$B$19, 0 )</f>
        <v>0</v>
      </c>
      <c r="AE826" s="50">
        <f>IF(AE825+AB825-AB826&lt;Model!$B$19*Model!$B$18, AE825+AB825-AB826,  0)</f>
        <v>443.63457370611354</v>
      </c>
      <c r="AF826" s="15">
        <f t="shared" si="242"/>
        <v>1</v>
      </c>
      <c r="AG826" s="50">
        <f t="shared" si="243"/>
        <v>0</v>
      </c>
    </row>
    <row r="827" spans="2:33" x14ac:dyDescent="0.25">
      <c r="B827" s="13">
        <f t="shared" si="244"/>
        <v>1</v>
      </c>
      <c r="C827" s="13">
        <f>B827+Model!$B$4</f>
        <v>3</v>
      </c>
      <c r="D827" s="13">
        <f t="shared" si="245"/>
        <v>1</v>
      </c>
      <c r="E827" s="13">
        <f t="shared" si="251"/>
        <v>3</v>
      </c>
      <c r="F827" s="14">
        <f>IF(AB827&gt;0, VLOOKUP(B827,Model!$A$40:$B$60, 2), 0)</f>
        <v>0</v>
      </c>
      <c r="G827" s="13">
        <f>IF(AB827&gt;0, VLOOKUP(B827,Model!$A$39:$C$58, 3), 0)</f>
        <v>0</v>
      </c>
      <c r="H827" s="13">
        <f t="shared" si="234"/>
        <v>0</v>
      </c>
      <c r="I827" s="46">
        <f>Model!$B$21*EXP((-0.029*9.81*F827)/(8.31*(273+J827)))</f>
        <v>104500</v>
      </c>
      <c r="J827" s="13">
        <f>IF(Model!$B$31="Summer",  IF(F827&lt;=2000,  Model!$B$20-Model!$B$35*F827/1000,  IF(F827&lt;Model!$B$36,  Model!$B$33-6.5*F827/1000,  Model!$B$38)),     IF(F827&lt;=2000,  Model!$B$20-Model!$B$35*F827/1000,  IF(F827&lt;Model!$B$36,  Model!$B$33-5.4*F827/1000,   Model!$B$38)))</f>
        <v>-20</v>
      </c>
      <c r="K827" s="13">
        <f t="shared" si="256"/>
        <v>253</v>
      </c>
      <c r="L827" s="46">
        <f>IF(AB826-AA826*(B827-B826)&gt;0, L826-Y826*(B827-B826)*3600-AD827*Model!$B$16, 0)</f>
        <v>0</v>
      </c>
      <c r="M827" s="57">
        <f t="shared" si="235"/>
        <v>0</v>
      </c>
      <c r="N827" s="57">
        <f>Model!$B$13*I827*K827/(Model!$B$13*I827-L827*287*K827)</f>
        <v>253</v>
      </c>
      <c r="O827" s="57">
        <f t="shared" si="236"/>
        <v>253</v>
      </c>
      <c r="P827" s="57">
        <f t="shared" si="237"/>
        <v>-10</v>
      </c>
      <c r="Q827" s="63">
        <f t="shared" si="257"/>
        <v>2.2579999999999999E-2</v>
      </c>
      <c r="R827" s="17">
        <f t="shared" si="258"/>
        <v>1.152E-5</v>
      </c>
      <c r="S827" s="46">
        <f>0.37*Model!$B$10*(Q827^2*(N827-K827)*I827/(R827*O827^2))^0.33333*(N827-K827)</f>
        <v>0</v>
      </c>
      <c r="T827" s="51">
        <f>Model!$B$32+(90-Model!$B$6)*SIN(RADIANS(-15*(E827+6)))</f>
        <v>-31.619472402513487</v>
      </c>
      <c r="U827" s="46">
        <f t="shared" si="238"/>
        <v>0</v>
      </c>
      <c r="V827" s="51">
        <f t="shared" si="239"/>
        <v>99999</v>
      </c>
      <c r="W827" s="46">
        <f t="shared" si="240"/>
        <v>0</v>
      </c>
      <c r="X827" s="46">
        <f>0.3*W827*Model!$B$9</f>
        <v>0</v>
      </c>
      <c r="Y827" s="17">
        <f>(S827-X827)/Model!$B$11</f>
        <v>0</v>
      </c>
      <c r="Z827" s="46" t="e">
        <f t="shared" si="241"/>
        <v>#DIV/0!</v>
      </c>
      <c r="AA827" s="57">
        <f>Y827/Model!$B$12*3600</f>
        <v>0</v>
      </c>
      <c r="AB827" s="51">
        <f t="shared" si="246"/>
        <v>0</v>
      </c>
      <c r="AC827" s="51">
        <f t="shared" si="259"/>
        <v>1800</v>
      </c>
      <c r="AD827" s="13">
        <f>IF(AE827=0, Model!$B$19, 0 )</f>
        <v>0</v>
      </c>
      <c r="AE827" s="51">
        <f>IF(AE826+AB826-AB827&lt;Model!$B$19*Model!$B$18, AE826+AB826-AB827,  0)</f>
        <v>443.63457370611354</v>
      </c>
      <c r="AF827" s="13">
        <f t="shared" si="242"/>
        <v>1</v>
      </c>
      <c r="AG827" s="50">
        <f t="shared" si="243"/>
        <v>0</v>
      </c>
    </row>
    <row r="828" spans="2:33" x14ac:dyDescent="0.25">
      <c r="B828" s="15">
        <f t="shared" si="244"/>
        <v>1</v>
      </c>
      <c r="C828" s="15">
        <f>B828+Model!$B$4</f>
        <v>3</v>
      </c>
      <c r="D828" s="15">
        <f t="shared" si="245"/>
        <v>1</v>
      </c>
      <c r="E828" s="15">
        <f t="shared" si="251"/>
        <v>3</v>
      </c>
      <c r="F828" s="16">
        <f>IF(AB828&gt;0, VLOOKUP(B828,Model!$A$40:$B$60, 2), 0)</f>
        <v>0</v>
      </c>
      <c r="G828" s="15">
        <f>IF(AB828&gt;0, VLOOKUP(B828,Model!$A$39:$C$58, 3), 0)</f>
        <v>0</v>
      </c>
      <c r="H828" s="15">
        <f t="shared" si="234"/>
        <v>0</v>
      </c>
      <c r="I828" s="45">
        <f>Model!$B$21*EXP((-0.029*9.81*F828)/(8.31*(273+J828)))</f>
        <v>104500</v>
      </c>
      <c r="J828" s="15">
        <f>IF(Model!$B$31="Summer",  IF(F828&lt;=2000,  Model!$B$20-Model!$B$35*F828/1000,  IF(F828&lt;Model!$B$36,  Model!$B$33-6.5*F828/1000,  Model!$B$38)),     IF(F828&lt;=2000,  Model!$B$20-Model!$B$35*F828/1000,  IF(F828&lt;Model!$B$36,  Model!$B$33-5.4*F828/1000,   Model!$B$38)))</f>
        <v>-20</v>
      </c>
      <c r="K828" s="15">
        <f t="shared" si="256"/>
        <v>253</v>
      </c>
      <c r="L828" s="45">
        <f>IF(AB827-AA827*(B828-B827)&gt;0, L827-Y827*(B828-B827)*3600-AD828*Model!$B$16, 0)</f>
        <v>0</v>
      </c>
      <c r="M828" s="56">
        <f t="shared" si="235"/>
        <v>0</v>
      </c>
      <c r="N828" s="56">
        <f>Model!$B$13*I828*K828/(Model!$B$13*I828-L828*287*K828)</f>
        <v>253</v>
      </c>
      <c r="O828" s="56">
        <f t="shared" si="236"/>
        <v>253</v>
      </c>
      <c r="P828" s="56">
        <f t="shared" si="237"/>
        <v>-10</v>
      </c>
      <c r="Q828" s="62">
        <f t="shared" si="257"/>
        <v>2.2579999999999999E-2</v>
      </c>
      <c r="R828" s="33">
        <f t="shared" si="258"/>
        <v>1.152E-5</v>
      </c>
      <c r="S828" s="45">
        <f>0.37*Model!$B$10*(Q828^2*(N828-K828)*I828/(R828*O828^2))^0.33333*(N828-K828)</f>
        <v>0</v>
      </c>
      <c r="T828" s="50">
        <f>Model!$B$32+(90-Model!$B$6)*SIN(RADIANS(-15*(E828+6)))</f>
        <v>-31.619472402513487</v>
      </c>
      <c r="U828" s="45">
        <f t="shared" si="238"/>
        <v>0</v>
      </c>
      <c r="V828" s="50">
        <f t="shared" si="239"/>
        <v>99999</v>
      </c>
      <c r="W828" s="45">
        <f t="shared" si="240"/>
        <v>0</v>
      </c>
      <c r="X828" s="45">
        <f>0.3*W828*Model!$B$9</f>
        <v>0</v>
      </c>
      <c r="Y828" s="33">
        <f>(S828-X828)/Model!$B$11</f>
        <v>0</v>
      </c>
      <c r="Z828" s="45" t="e">
        <f t="shared" si="241"/>
        <v>#DIV/0!</v>
      </c>
      <c r="AA828" s="56">
        <f>Y828/Model!$B$12*3600</f>
        <v>0</v>
      </c>
      <c r="AB828" s="50">
        <f t="shared" si="246"/>
        <v>0</v>
      </c>
      <c r="AC828" s="50">
        <f t="shared" si="259"/>
        <v>1800</v>
      </c>
      <c r="AD828" s="15">
        <f>IF(AE828=0, Model!$B$19, 0 )</f>
        <v>0</v>
      </c>
      <c r="AE828" s="50">
        <f>IF(AE827+AB827-AB828&lt;Model!$B$19*Model!$B$18, AE827+AB827-AB828,  0)</f>
        <v>443.63457370611354</v>
      </c>
      <c r="AF828" s="15">
        <f t="shared" si="242"/>
        <v>1</v>
      </c>
      <c r="AG828" s="50">
        <f t="shared" si="243"/>
        <v>0</v>
      </c>
    </row>
    <row r="829" spans="2:33" x14ac:dyDescent="0.25">
      <c r="B829" s="13">
        <f t="shared" si="244"/>
        <v>1</v>
      </c>
      <c r="C829" s="13">
        <f>B829+Model!$B$4</f>
        <v>3</v>
      </c>
      <c r="D829" s="13">
        <f t="shared" si="245"/>
        <v>1</v>
      </c>
      <c r="E829" s="13">
        <f t="shared" si="251"/>
        <v>3</v>
      </c>
      <c r="F829" s="14">
        <f>IF(AB829&gt;0, VLOOKUP(B829,Model!$A$40:$B$60, 2), 0)</f>
        <v>0</v>
      </c>
      <c r="G829" s="13">
        <f>IF(AB829&gt;0, VLOOKUP(B829,Model!$A$39:$C$58, 3), 0)</f>
        <v>0</v>
      </c>
      <c r="H829" s="13">
        <f t="shared" si="234"/>
        <v>0</v>
      </c>
      <c r="I829" s="46">
        <f>Model!$B$21*EXP((-0.029*9.81*F829)/(8.31*(273+J829)))</f>
        <v>104500</v>
      </c>
      <c r="J829" s="13">
        <f>IF(Model!$B$31="Summer",  IF(F829&lt;=2000,  Model!$B$20-Model!$B$35*F829/1000,  IF(F829&lt;Model!$B$36,  Model!$B$33-6.5*F829/1000,  Model!$B$38)),     IF(F829&lt;=2000,  Model!$B$20-Model!$B$35*F829/1000,  IF(F829&lt;Model!$B$36,  Model!$B$33-5.4*F829/1000,   Model!$B$38)))</f>
        <v>-20</v>
      </c>
      <c r="K829" s="13">
        <f t="shared" si="256"/>
        <v>253</v>
      </c>
      <c r="L829" s="46">
        <f>IF(AB828-AA828*(B829-B828)&gt;0, L828-Y828*(B829-B828)*3600-AD829*Model!$B$16, 0)</f>
        <v>0</v>
      </c>
      <c r="M829" s="57">
        <f t="shared" si="235"/>
        <v>0</v>
      </c>
      <c r="N829" s="57">
        <f>Model!$B$13*I829*K829/(Model!$B$13*I829-L829*287*K829)</f>
        <v>253</v>
      </c>
      <c r="O829" s="57">
        <f t="shared" si="236"/>
        <v>253</v>
      </c>
      <c r="P829" s="57">
        <f t="shared" si="237"/>
        <v>-10</v>
      </c>
      <c r="Q829" s="63">
        <f t="shared" si="257"/>
        <v>2.2579999999999999E-2</v>
      </c>
      <c r="R829" s="17">
        <f t="shared" si="258"/>
        <v>1.152E-5</v>
      </c>
      <c r="S829" s="46">
        <f>0.37*Model!$B$10*(Q829^2*(N829-K829)*I829/(R829*O829^2))^0.33333*(N829-K829)</f>
        <v>0</v>
      </c>
      <c r="T829" s="51">
        <f>Model!$B$32+(90-Model!$B$6)*SIN(RADIANS(-15*(E829+6)))</f>
        <v>-31.619472402513487</v>
      </c>
      <c r="U829" s="46">
        <f t="shared" si="238"/>
        <v>0</v>
      </c>
      <c r="V829" s="51">
        <f t="shared" si="239"/>
        <v>99999</v>
      </c>
      <c r="W829" s="46">
        <f t="shared" si="240"/>
        <v>0</v>
      </c>
      <c r="X829" s="46">
        <f>0.3*W829*Model!$B$9</f>
        <v>0</v>
      </c>
      <c r="Y829" s="17">
        <f>(S829-X829)/Model!$B$11</f>
        <v>0</v>
      </c>
      <c r="Z829" s="46" t="e">
        <f t="shared" si="241"/>
        <v>#DIV/0!</v>
      </c>
      <c r="AA829" s="57">
        <f>Y829/Model!$B$12*3600</f>
        <v>0</v>
      </c>
      <c r="AB829" s="51">
        <f t="shared" si="246"/>
        <v>0</v>
      </c>
      <c r="AC829" s="51">
        <f t="shared" si="259"/>
        <v>1800</v>
      </c>
      <c r="AD829" s="13">
        <f>IF(AE829=0, Model!$B$19, 0 )</f>
        <v>0</v>
      </c>
      <c r="AE829" s="51">
        <f>IF(AE828+AB828-AB829&lt;Model!$B$19*Model!$B$18, AE828+AB828-AB829,  0)</f>
        <v>443.63457370611354</v>
      </c>
      <c r="AF829" s="13">
        <f t="shared" si="242"/>
        <v>1</v>
      </c>
      <c r="AG829" s="50">
        <f t="shared" si="243"/>
        <v>0</v>
      </c>
    </row>
    <row r="830" spans="2:33" x14ac:dyDescent="0.25">
      <c r="B830" s="15">
        <f t="shared" si="244"/>
        <v>1</v>
      </c>
      <c r="C830" s="15">
        <f>B830+Model!$B$4</f>
        <v>3</v>
      </c>
      <c r="D830" s="15">
        <f t="shared" si="245"/>
        <v>1</v>
      </c>
      <c r="E830" s="15">
        <f t="shared" si="251"/>
        <v>3</v>
      </c>
      <c r="F830" s="16">
        <f>IF(AB830&gt;0, VLOOKUP(B830,Model!$A$40:$B$60, 2), 0)</f>
        <v>0</v>
      </c>
      <c r="G830" s="15">
        <f>IF(AB830&gt;0, VLOOKUP(B830,Model!$A$39:$C$58, 3), 0)</f>
        <v>0</v>
      </c>
      <c r="H830" s="15">
        <f t="shared" si="234"/>
        <v>0</v>
      </c>
      <c r="I830" s="45">
        <f>Model!$B$21*EXP((-0.029*9.81*F830)/(8.31*(273+J830)))</f>
        <v>104500</v>
      </c>
      <c r="J830" s="15">
        <f>IF(Model!$B$31="Summer",  IF(F830&lt;=2000,  Model!$B$20-Model!$B$35*F830/1000,  IF(F830&lt;Model!$B$36,  Model!$B$33-6.5*F830/1000,  Model!$B$38)),     IF(F830&lt;=2000,  Model!$B$20-Model!$B$35*F830/1000,  IF(F830&lt;Model!$B$36,  Model!$B$33-5.4*F830/1000,   Model!$B$38)))</f>
        <v>-20</v>
      </c>
      <c r="K830" s="15">
        <f t="shared" si="256"/>
        <v>253</v>
      </c>
      <c r="L830" s="45">
        <f>IF(AB829-AA829*(B830-B829)&gt;0, L829-Y829*(B830-B829)*3600-AD830*Model!$B$16, 0)</f>
        <v>0</v>
      </c>
      <c r="M830" s="56">
        <f t="shared" si="235"/>
        <v>0</v>
      </c>
      <c r="N830" s="56">
        <f>Model!$B$13*I830*K830/(Model!$B$13*I830-L830*287*K830)</f>
        <v>253</v>
      </c>
      <c r="O830" s="56">
        <f t="shared" si="236"/>
        <v>253</v>
      </c>
      <c r="P830" s="56">
        <f t="shared" si="237"/>
        <v>-10</v>
      </c>
      <c r="Q830" s="62">
        <f t="shared" si="257"/>
        <v>2.2579999999999999E-2</v>
      </c>
      <c r="R830" s="33">
        <f t="shared" si="258"/>
        <v>1.152E-5</v>
      </c>
      <c r="S830" s="45">
        <f>0.37*Model!$B$10*(Q830^2*(N830-K830)*I830/(R830*O830^2))^0.33333*(N830-K830)</f>
        <v>0</v>
      </c>
      <c r="T830" s="50">
        <f>Model!$B$32+(90-Model!$B$6)*SIN(RADIANS(-15*(E830+6)))</f>
        <v>-31.619472402513487</v>
      </c>
      <c r="U830" s="45">
        <f t="shared" si="238"/>
        <v>0</v>
      </c>
      <c r="V830" s="50">
        <f t="shared" si="239"/>
        <v>99999</v>
      </c>
      <c r="W830" s="45">
        <f t="shared" si="240"/>
        <v>0</v>
      </c>
      <c r="X830" s="45">
        <f>0.3*W830*Model!$B$9</f>
        <v>0</v>
      </c>
      <c r="Y830" s="33">
        <f>(S830-X830)/Model!$B$11</f>
        <v>0</v>
      </c>
      <c r="Z830" s="45" t="e">
        <f t="shared" si="241"/>
        <v>#DIV/0!</v>
      </c>
      <c r="AA830" s="56">
        <f>Y830/Model!$B$12*3600</f>
        <v>0</v>
      </c>
      <c r="AB830" s="50">
        <f t="shared" si="246"/>
        <v>0</v>
      </c>
      <c r="AC830" s="50">
        <f t="shared" si="259"/>
        <v>1800</v>
      </c>
      <c r="AD830" s="15">
        <f>IF(AE830=0, Model!$B$19, 0 )</f>
        <v>0</v>
      </c>
      <c r="AE830" s="50">
        <f>IF(AE829+AB829-AB830&lt;Model!$B$19*Model!$B$18, AE829+AB829-AB830,  0)</f>
        <v>443.63457370611354</v>
      </c>
      <c r="AF830" s="15">
        <f t="shared" si="242"/>
        <v>1</v>
      </c>
      <c r="AG830" s="50">
        <f t="shared" si="243"/>
        <v>0</v>
      </c>
    </row>
    <row r="831" spans="2:33" x14ac:dyDescent="0.25">
      <c r="B831" s="13">
        <f t="shared" si="244"/>
        <v>1</v>
      </c>
      <c r="C831" s="13">
        <f>B831+Model!$B$4</f>
        <v>3</v>
      </c>
      <c r="D831" s="13">
        <f t="shared" si="245"/>
        <v>1</v>
      </c>
      <c r="E831" s="13">
        <f t="shared" si="251"/>
        <v>3</v>
      </c>
      <c r="F831" s="14">
        <f>IF(AB831&gt;0, VLOOKUP(B831,Model!$A$40:$B$60, 2), 0)</f>
        <v>0</v>
      </c>
      <c r="G831" s="13">
        <f>IF(AB831&gt;0, VLOOKUP(B831,Model!$A$39:$C$58, 3), 0)</f>
        <v>0</v>
      </c>
      <c r="H831" s="13">
        <f t="shared" si="234"/>
        <v>0</v>
      </c>
      <c r="I831" s="46">
        <f>Model!$B$21*EXP((-0.029*9.81*F831)/(8.31*(273+J831)))</f>
        <v>104500</v>
      </c>
      <c r="J831" s="13">
        <f>IF(Model!$B$31="Summer",  IF(F831&lt;=2000,  Model!$B$20-Model!$B$35*F831/1000,  IF(F831&lt;Model!$B$36,  Model!$B$33-6.5*F831/1000,  Model!$B$38)),     IF(F831&lt;=2000,  Model!$B$20-Model!$B$35*F831/1000,  IF(F831&lt;Model!$B$36,  Model!$B$33-5.4*F831/1000,   Model!$B$38)))</f>
        <v>-20</v>
      </c>
      <c r="K831" s="13">
        <f t="shared" si="256"/>
        <v>253</v>
      </c>
      <c r="L831" s="46">
        <f>IF(AB830-AA830*(B831-B830)&gt;0, L830-Y830*(B831-B830)*3600-AD831*Model!$B$16, 0)</f>
        <v>0</v>
      </c>
      <c r="M831" s="57">
        <f t="shared" si="235"/>
        <v>0</v>
      </c>
      <c r="N831" s="57">
        <f>Model!$B$13*I831*K831/(Model!$B$13*I831-L831*287*K831)</f>
        <v>253</v>
      </c>
      <c r="O831" s="57">
        <f t="shared" si="236"/>
        <v>253</v>
      </c>
      <c r="P831" s="57">
        <f t="shared" si="237"/>
        <v>-10</v>
      </c>
      <c r="Q831" s="63">
        <f t="shared" si="257"/>
        <v>2.2579999999999999E-2</v>
      </c>
      <c r="R831" s="17">
        <f t="shared" si="258"/>
        <v>1.152E-5</v>
      </c>
      <c r="S831" s="46">
        <f>0.37*Model!$B$10*(Q831^2*(N831-K831)*I831/(R831*O831^2))^0.33333*(N831-K831)</f>
        <v>0</v>
      </c>
      <c r="T831" s="51">
        <f>Model!$B$32+(90-Model!$B$6)*SIN(RADIANS(-15*(E831+6)))</f>
        <v>-31.619472402513487</v>
      </c>
      <c r="U831" s="46">
        <f t="shared" si="238"/>
        <v>0</v>
      </c>
      <c r="V831" s="51">
        <f t="shared" si="239"/>
        <v>99999</v>
      </c>
      <c r="W831" s="46">
        <f t="shared" si="240"/>
        <v>0</v>
      </c>
      <c r="X831" s="46">
        <f>0.3*W831*Model!$B$9</f>
        <v>0</v>
      </c>
      <c r="Y831" s="17">
        <f>(S831-X831)/Model!$B$11</f>
        <v>0</v>
      </c>
      <c r="Z831" s="46" t="e">
        <f t="shared" si="241"/>
        <v>#DIV/0!</v>
      </c>
      <c r="AA831" s="57">
        <f>Y831/Model!$B$12*3600</f>
        <v>0</v>
      </c>
      <c r="AB831" s="51">
        <f t="shared" si="246"/>
        <v>0</v>
      </c>
      <c r="AC831" s="51">
        <f t="shared" si="259"/>
        <v>1800</v>
      </c>
      <c r="AD831" s="13">
        <f>IF(AE831=0, Model!$B$19, 0 )</f>
        <v>0</v>
      </c>
      <c r="AE831" s="51">
        <f>IF(AE830+AB830-AB831&lt;Model!$B$19*Model!$B$18, AE830+AB830-AB831,  0)</f>
        <v>443.63457370611354</v>
      </c>
      <c r="AF831" s="13">
        <f t="shared" si="242"/>
        <v>1</v>
      </c>
      <c r="AG831" s="50">
        <f t="shared" si="243"/>
        <v>0</v>
      </c>
    </row>
    <row r="832" spans="2:33" x14ac:dyDescent="0.25">
      <c r="B832" s="15">
        <f t="shared" si="244"/>
        <v>1</v>
      </c>
      <c r="C832" s="15">
        <f>B832+Model!$B$4</f>
        <v>3</v>
      </c>
      <c r="D832" s="15">
        <f t="shared" si="245"/>
        <v>1</v>
      </c>
      <c r="E832" s="15">
        <f t="shared" si="251"/>
        <v>3</v>
      </c>
      <c r="F832" s="16">
        <f>IF(AB832&gt;0, VLOOKUP(B832,Model!$A$40:$B$60, 2), 0)</f>
        <v>0</v>
      </c>
      <c r="G832" s="15">
        <f>IF(AB832&gt;0, VLOOKUP(B832,Model!$A$39:$C$58, 3), 0)</f>
        <v>0</v>
      </c>
      <c r="H832" s="15">
        <f t="shared" si="234"/>
        <v>0</v>
      </c>
      <c r="I832" s="45">
        <f>Model!$B$21*EXP((-0.029*9.81*F832)/(8.31*(273+J832)))</f>
        <v>104500</v>
      </c>
      <c r="J832" s="15">
        <f>IF(Model!$B$31="Summer",  IF(F832&lt;=2000,  Model!$B$20-Model!$B$35*F832/1000,  IF(F832&lt;Model!$B$36,  Model!$B$33-6.5*F832/1000,  Model!$B$38)),     IF(F832&lt;=2000,  Model!$B$20-Model!$B$35*F832/1000,  IF(F832&lt;Model!$B$36,  Model!$B$33-5.4*F832/1000,   Model!$B$38)))</f>
        <v>-20</v>
      </c>
      <c r="K832" s="15">
        <f t="shared" si="256"/>
        <v>253</v>
      </c>
      <c r="L832" s="45">
        <f>IF(AB831-AA831*(B832-B831)&gt;0, L831-Y831*(B832-B831)*3600-AD832*Model!$B$16, 0)</f>
        <v>0</v>
      </c>
      <c r="M832" s="56">
        <f t="shared" si="235"/>
        <v>0</v>
      </c>
      <c r="N832" s="56">
        <f>Model!$B$13*I832*K832/(Model!$B$13*I832-L832*287*K832)</f>
        <v>253</v>
      </c>
      <c r="O832" s="56">
        <f t="shared" si="236"/>
        <v>253</v>
      </c>
      <c r="P832" s="56">
        <f t="shared" si="237"/>
        <v>-10</v>
      </c>
      <c r="Q832" s="62">
        <f t="shared" si="257"/>
        <v>2.2579999999999999E-2</v>
      </c>
      <c r="R832" s="33">
        <f t="shared" si="258"/>
        <v>1.152E-5</v>
      </c>
      <c r="S832" s="45">
        <f>0.37*Model!$B$10*(Q832^2*(N832-K832)*I832/(R832*O832^2))^0.33333*(N832-K832)</f>
        <v>0</v>
      </c>
      <c r="T832" s="50">
        <f>Model!$B$32+(90-Model!$B$6)*SIN(RADIANS(-15*(E832+6)))</f>
        <v>-31.619472402513487</v>
      </c>
      <c r="U832" s="45">
        <f t="shared" si="238"/>
        <v>0</v>
      </c>
      <c r="V832" s="50">
        <f t="shared" si="239"/>
        <v>99999</v>
      </c>
      <c r="W832" s="45">
        <f t="shared" si="240"/>
        <v>0</v>
      </c>
      <c r="X832" s="45">
        <f>0.3*W832*Model!$B$9</f>
        <v>0</v>
      </c>
      <c r="Y832" s="33">
        <f>(S832-X832)/Model!$B$11</f>
        <v>0</v>
      </c>
      <c r="Z832" s="45" t="e">
        <f t="shared" si="241"/>
        <v>#DIV/0!</v>
      </c>
      <c r="AA832" s="56">
        <f>Y832/Model!$B$12*3600</f>
        <v>0</v>
      </c>
      <c r="AB832" s="50">
        <f t="shared" si="246"/>
        <v>0</v>
      </c>
      <c r="AC832" s="50">
        <f t="shared" si="259"/>
        <v>1800</v>
      </c>
      <c r="AD832" s="15">
        <f>IF(AE832=0, Model!$B$19, 0 )</f>
        <v>0</v>
      </c>
      <c r="AE832" s="50">
        <f>IF(AE831+AB831-AB832&lt;Model!$B$19*Model!$B$18, AE831+AB831-AB832,  0)</f>
        <v>443.63457370611354</v>
      </c>
      <c r="AF832" s="15">
        <f t="shared" si="242"/>
        <v>1</v>
      </c>
      <c r="AG832" s="50">
        <f t="shared" si="243"/>
        <v>0</v>
      </c>
    </row>
    <row r="833" spans="2:33" x14ac:dyDescent="0.25">
      <c r="B833" s="13">
        <f t="shared" si="244"/>
        <v>1</v>
      </c>
      <c r="C833" s="13">
        <f>B833+Model!$B$4</f>
        <v>3</v>
      </c>
      <c r="D833" s="13">
        <f t="shared" si="245"/>
        <v>1</v>
      </c>
      <c r="E833" s="13">
        <f t="shared" si="251"/>
        <v>3</v>
      </c>
      <c r="F833" s="14">
        <f>IF(AB833&gt;0, VLOOKUP(B833,Model!$A$40:$B$60, 2), 0)</f>
        <v>0</v>
      </c>
      <c r="G833" s="13">
        <f>IF(AB833&gt;0, VLOOKUP(B833,Model!$A$39:$C$58, 3), 0)</f>
        <v>0</v>
      </c>
      <c r="H833" s="13">
        <f t="shared" si="234"/>
        <v>0</v>
      </c>
      <c r="I833" s="46">
        <f>Model!$B$21*EXP((-0.029*9.81*F833)/(8.31*(273+J833)))</f>
        <v>104500</v>
      </c>
      <c r="J833" s="13">
        <f>IF(Model!$B$31="Summer",  IF(F833&lt;=2000,  Model!$B$20-Model!$B$35*F833/1000,  IF(F833&lt;Model!$B$36,  Model!$B$33-6.5*F833/1000,  Model!$B$38)),     IF(F833&lt;=2000,  Model!$B$20-Model!$B$35*F833/1000,  IF(F833&lt;Model!$B$36,  Model!$B$33-5.4*F833/1000,   Model!$B$38)))</f>
        <v>-20</v>
      </c>
      <c r="K833" s="13">
        <f t="shared" si="256"/>
        <v>253</v>
      </c>
      <c r="L833" s="46">
        <f>IF(AB832-AA832*(B833-B832)&gt;0, L832-Y832*(B833-B832)*3600-AD833*Model!$B$16, 0)</f>
        <v>0</v>
      </c>
      <c r="M833" s="57">
        <f t="shared" si="235"/>
        <v>0</v>
      </c>
      <c r="N833" s="57">
        <f>Model!$B$13*I833*K833/(Model!$B$13*I833-L833*287*K833)</f>
        <v>253</v>
      </c>
      <c r="O833" s="57">
        <f t="shared" si="236"/>
        <v>253</v>
      </c>
      <c r="P833" s="57">
        <f t="shared" si="237"/>
        <v>-10</v>
      </c>
      <c r="Q833" s="63">
        <f t="shared" si="257"/>
        <v>2.2579999999999999E-2</v>
      </c>
      <c r="R833" s="17">
        <f t="shared" si="258"/>
        <v>1.152E-5</v>
      </c>
      <c r="S833" s="46">
        <f>0.37*Model!$B$10*(Q833^2*(N833-K833)*I833/(R833*O833^2))^0.33333*(N833-K833)</f>
        <v>0</v>
      </c>
      <c r="T833" s="51">
        <f>Model!$B$32+(90-Model!$B$6)*SIN(RADIANS(-15*(E833+6)))</f>
        <v>-31.619472402513487</v>
      </c>
      <c r="U833" s="46">
        <f t="shared" si="238"/>
        <v>0</v>
      </c>
      <c r="V833" s="51">
        <f t="shared" si="239"/>
        <v>99999</v>
      </c>
      <c r="W833" s="46">
        <f t="shared" si="240"/>
        <v>0</v>
      </c>
      <c r="X833" s="46">
        <f>0.3*W833*Model!$B$9</f>
        <v>0</v>
      </c>
      <c r="Y833" s="17">
        <f>(S833-X833)/Model!$B$11</f>
        <v>0</v>
      </c>
      <c r="Z833" s="46" t="e">
        <f t="shared" si="241"/>
        <v>#DIV/0!</v>
      </c>
      <c r="AA833" s="57">
        <f>Y833/Model!$B$12*3600</f>
        <v>0</v>
      </c>
      <c r="AB833" s="51">
        <f t="shared" si="246"/>
        <v>0</v>
      </c>
      <c r="AC833" s="51">
        <f t="shared" si="259"/>
        <v>1800</v>
      </c>
      <c r="AD833" s="13">
        <f>IF(AE833=0, Model!$B$19, 0 )</f>
        <v>0</v>
      </c>
      <c r="AE833" s="51">
        <f>IF(AE832+AB832-AB833&lt;Model!$B$19*Model!$B$18, AE832+AB832-AB833,  0)</f>
        <v>443.63457370611354</v>
      </c>
      <c r="AF833" s="13">
        <f t="shared" si="242"/>
        <v>1</v>
      </c>
      <c r="AG833" s="50">
        <f t="shared" si="243"/>
        <v>0</v>
      </c>
    </row>
    <row r="834" spans="2:33" x14ac:dyDescent="0.25">
      <c r="B834" s="15">
        <f t="shared" si="244"/>
        <v>1</v>
      </c>
      <c r="C834" s="15">
        <f>B834+Model!$B$4</f>
        <v>3</v>
      </c>
      <c r="D834" s="15">
        <f t="shared" si="245"/>
        <v>1</v>
      </c>
      <c r="E834" s="15">
        <f t="shared" si="251"/>
        <v>3</v>
      </c>
      <c r="F834" s="16">
        <f>IF(AB834&gt;0, VLOOKUP(B834,Model!$A$40:$B$60, 2), 0)</f>
        <v>0</v>
      </c>
      <c r="G834" s="15">
        <f>IF(AB834&gt;0, VLOOKUP(B834,Model!$A$39:$C$58, 3), 0)</f>
        <v>0</v>
      </c>
      <c r="H834" s="15">
        <f t="shared" ref="H834:H897" si="260">IF(B834=1, 0, G834*97)</f>
        <v>0</v>
      </c>
      <c r="I834" s="45">
        <f>Model!$B$21*EXP((-0.029*9.81*F834)/(8.31*(273+J834)))</f>
        <v>104500</v>
      </c>
      <c r="J834" s="15">
        <f>IF(Model!$B$31="Summer",  IF(F834&lt;=2000,  Model!$B$20-Model!$B$35*F834/1000,  IF(F834&lt;Model!$B$36,  Model!$B$33-6.5*F834/1000,  Model!$B$38)),     IF(F834&lt;=2000,  Model!$B$20-Model!$B$35*F834/1000,  IF(F834&lt;Model!$B$36,  Model!$B$33-5.4*F834/1000,   Model!$B$38)))</f>
        <v>-20</v>
      </c>
      <c r="K834" s="15">
        <f t="shared" si="256"/>
        <v>253</v>
      </c>
      <c r="L834" s="45">
        <f>IF(AB833-AA833*(B834-B833)&gt;0, L833-Y833*(B834-B833)*3600-AD834*Model!$B$16, 0)</f>
        <v>0</v>
      </c>
      <c r="M834" s="56">
        <f t="shared" ref="M834:M897" si="261">IF(AB834=0, 0, N834-273)</f>
        <v>0</v>
      </c>
      <c r="N834" s="56">
        <f>Model!$B$13*I834*K834/(Model!$B$13*I834-L834*287*K834)</f>
        <v>253</v>
      </c>
      <c r="O834" s="56">
        <f t="shared" ref="O834:O897" si="262">(K834+N834)/2</f>
        <v>253</v>
      </c>
      <c r="P834" s="56">
        <f t="shared" ref="P834:P897" si="263">(J834+M834)/2+W833/150</f>
        <v>-10</v>
      </c>
      <c r="Q834" s="62">
        <f t="shared" si="257"/>
        <v>2.2579999999999999E-2</v>
      </c>
      <c r="R834" s="33">
        <f t="shared" si="258"/>
        <v>1.152E-5</v>
      </c>
      <c r="S834" s="45">
        <f>0.37*Model!$B$10*(Q834^2*(N834-K834)*I834/(R834*O834^2))^0.33333*(N834-K834)</f>
        <v>0</v>
      </c>
      <c r="T834" s="50">
        <f>Model!$B$32+(90-Model!$B$6)*SIN(RADIANS(-15*(E834+6)))</f>
        <v>-31.619472402513487</v>
      </c>
      <c r="U834" s="45">
        <f t="shared" ref="U834:U897" si="264">IF(OR(T834&lt;0, AB834=0),  0, T834)</f>
        <v>0</v>
      </c>
      <c r="V834" s="50">
        <f t="shared" ref="V834:V897" si="265">IF(T834&lt;0,99999,1/SIN(RADIANS(T834)))</f>
        <v>99999</v>
      </c>
      <c r="W834" s="45">
        <f t="shared" ref="W834:W897" si="266">IF(G834=0,0, 1353*((1+F834/7100)*0.7^V834^0.678)+F834/7100)</f>
        <v>0</v>
      </c>
      <c r="X834" s="45">
        <f>0.3*W834*Model!$B$9</f>
        <v>0</v>
      </c>
      <c r="Y834" s="33">
        <f>(S834-X834)/Model!$B$11</f>
        <v>0</v>
      </c>
      <c r="Z834" s="45" t="e">
        <f t="shared" ref="Z834:Z897" si="267">100*X834/S834</f>
        <v>#DIV/0!</v>
      </c>
      <c r="AA834" s="56">
        <f>Y834/Model!$B$12*3600</f>
        <v>0</v>
      </c>
      <c r="AB834" s="50">
        <f t="shared" si="246"/>
        <v>0</v>
      </c>
      <c r="AC834" s="50">
        <f t="shared" si="259"/>
        <v>1800</v>
      </c>
      <c r="AD834" s="15">
        <f>IF(AE834=0, Model!$B$19, 0 )</f>
        <v>0</v>
      </c>
      <c r="AE834" s="50">
        <f>IF(AE833+AB833-AB834&lt;Model!$B$19*Model!$B$18, AE833+AB833-AB834,  0)</f>
        <v>443.63457370611354</v>
      </c>
      <c r="AF834" s="15">
        <f t="shared" ref="AF834:AF897" si="268">B834</f>
        <v>1</v>
      </c>
      <c r="AG834" s="50">
        <f t="shared" ref="AG834:AG897" si="269">IF(OR(P834&gt;0, AB834&lt;=0),0, IF(P834&lt;-2,0.99,ABS(P834/2)))</f>
        <v>0</v>
      </c>
    </row>
    <row r="835" spans="2:33" x14ac:dyDescent="0.25">
      <c r="B835" s="13">
        <f t="shared" ref="B835:B898" si="270">IF(AB834&gt;0, B834+0.05, 1)</f>
        <v>1</v>
      </c>
      <c r="C835" s="13">
        <f>B835+Model!$B$4</f>
        <v>3</v>
      </c>
      <c r="D835" s="13">
        <f t="shared" ref="D835:D898" si="271">INT(C835/24+1)</f>
        <v>1</v>
      </c>
      <c r="E835" s="13">
        <f t="shared" si="251"/>
        <v>3</v>
      </c>
      <c r="F835" s="14">
        <f>IF(AB835&gt;0, VLOOKUP(B835,Model!$A$40:$B$60, 2), 0)</f>
        <v>0</v>
      </c>
      <c r="G835" s="13">
        <f>IF(AB835&gt;0, VLOOKUP(B835,Model!$A$39:$C$58, 3), 0)</f>
        <v>0</v>
      </c>
      <c r="H835" s="13">
        <f t="shared" si="260"/>
        <v>0</v>
      </c>
      <c r="I835" s="46">
        <f>Model!$B$21*EXP((-0.029*9.81*F835)/(8.31*(273+J835)))</f>
        <v>104500</v>
      </c>
      <c r="J835" s="13">
        <f>IF(Model!$B$31="Summer",  IF(F835&lt;=2000,  Model!$B$20-Model!$B$35*F835/1000,  IF(F835&lt;Model!$B$36,  Model!$B$33-6.5*F835/1000,  Model!$B$38)),     IF(F835&lt;=2000,  Model!$B$20-Model!$B$35*F835/1000,  IF(F835&lt;Model!$B$36,  Model!$B$33-5.4*F835/1000,   Model!$B$38)))</f>
        <v>-20</v>
      </c>
      <c r="K835" s="13">
        <f t="shared" si="256"/>
        <v>253</v>
      </c>
      <c r="L835" s="46">
        <f>IF(AB834-AA834*(B835-B834)&gt;0, L834-Y834*(B835-B834)*3600-AD835*Model!$B$16, 0)</f>
        <v>0</v>
      </c>
      <c r="M835" s="57">
        <f t="shared" si="261"/>
        <v>0</v>
      </c>
      <c r="N835" s="57">
        <f>Model!$B$13*I835*K835/(Model!$B$13*I835-L835*287*K835)</f>
        <v>253</v>
      </c>
      <c r="O835" s="57">
        <f t="shared" si="262"/>
        <v>253</v>
      </c>
      <c r="P835" s="57">
        <f t="shared" si="263"/>
        <v>-10</v>
      </c>
      <c r="Q835" s="63">
        <f t="shared" si="257"/>
        <v>2.2579999999999999E-2</v>
      </c>
      <c r="R835" s="17">
        <f t="shared" si="258"/>
        <v>1.152E-5</v>
      </c>
      <c r="S835" s="46">
        <f>0.37*Model!$B$10*(Q835^2*(N835-K835)*I835/(R835*O835^2))^0.33333*(N835-K835)</f>
        <v>0</v>
      </c>
      <c r="T835" s="51">
        <f>Model!$B$32+(90-Model!$B$6)*SIN(RADIANS(-15*(E835+6)))</f>
        <v>-31.619472402513487</v>
      </c>
      <c r="U835" s="46">
        <f t="shared" si="264"/>
        <v>0</v>
      </c>
      <c r="V835" s="51">
        <f t="shared" si="265"/>
        <v>99999</v>
      </c>
      <c r="W835" s="46">
        <f t="shared" si="266"/>
        <v>0</v>
      </c>
      <c r="X835" s="46">
        <f>0.3*W835*Model!$B$9</f>
        <v>0</v>
      </c>
      <c r="Y835" s="17">
        <f>(S835-X835)/Model!$B$11</f>
        <v>0</v>
      </c>
      <c r="Z835" s="46" t="e">
        <f t="shared" si="267"/>
        <v>#DIV/0!</v>
      </c>
      <c r="AA835" s="57">
        <f>Y835/Model!$B$12*3600</f>
        <v>0</v>
      </c>
      <c r="AB835" s="51">
        <f t="shared" ref="AB835:AB898" si="272">IF(AB834-AA834*(B835-B834)&gt;0, AB834-AA834*(B835-B834), 0)</f>
        <v>0</v>
      </c>
      <c r="AC835" s="51">
        <f t="shared" si="259"/>
        <v>1800</v>
      </c>
      <c r="AD835" s="13">
        <f>IF(AE835=0, Model!$B$19, 0 )</f>
        <v>0</v>
      </c>
      <c r="AE835" s="51">
        <f>IF(AE834+AB834-AB835&lt;Model!$B$19*Model!$B$18, AE834+AB834-AB835,  0)</f>
        <v>443.63457370611354</v>
      </c>
      <c r="AF835" s="13">
        <f t="shared" si="268"/>
        <v>1</v>
      </c>
      <c r="AG835" s="50">
        <f t="shared" si="269"/>
        <v>0</v>
      </c>
    </row>
    <row r="836" spans="2:33" x14ac:dyDescent="0.25">
      <c r="B836" s="15">
        <f t="shared" si="270"/>
        <v>1</v>
      </c>
      <c r="C836" s="15">
        <f>B836+Model!$B$4</f>
        <v>3</v>
      </c>
      <c r="D836" s="15">
        <f t="shared" si="271"/>
        <v>1</v>
      </c>
      <c r="E836" s="15">
        <f t="shared" si="251"/>
        <v>3</v>
      </c>
      <c r="F836" s="16">
        <f>IF(AB836&gt;0, VLOOKUP(B836,Model!$A$40:$B$60, 2), 0)</f>
        <v>0</v>
      </c>
      <c r="G836" s="15">
        <f>IF(AB836&gt;0, VLOOKUP(B836,Model!$A$39:$C$58, 3), 0)</f>
        <v>0</v>
      </c>
      <c r="H836" s="15">
        <f t="shared" si="260"/>
        <v>0</v>
      </c>
      <c r="I836" s="45">
        <f>Model!$B$21*EXP((-0.029*9.81*F836)/(8.31*(273+J836)))</f>
        <v>104500</v>
      </c>
      <c r="J836" s="15">
        <f>IF(Model!$B$31="Summer",  IF(F836&lt;=2000,  Model!$B$20-Model!$B$35*F836/1000,  IF(F836&lt;Model!$B$36,  Model!$B$33-6.5*F836/1000,  Model!$B$38)),     IF(F836&lt;=2000,  Model!$B$20-Model!$B$35*F836/1000,  IF(F836&lt;Model!$B$36,  Model!$B$33-5.4*F836/1000,   Model!$B$38)))</f>
        <v>-20</v>
      </c>
      <c r="K836" s="15">
        <f t="shared" si="256"/>
        <v>253</v>
      </c>
      <c r="L836" s="45">
        <f>IF(AB835-AA835*(B836-B835)&gt;0, L835-Y835*(B836-B835)*3600-AD836*Model!$B$16, 0)</f>
        <v>0</v>
      </c>
      <c r="M836" s="56">
        <f t="shared" si="261"/>
        <v>0</v>
      </c>
      <c r="N836" s="56">
        <f>Model!$B$13*I836*K836/(Model!$B$13*I836-L836*287*K836)</f>
        <v>253</v>
      </c>
      <c r="O836" s="56">
        <f t="shared" si="262"/>
        <v>253</v>
      </c>
      <c r="P836" s="56">
        <f t="shared" si="263"/>
        <v>-10</v>
      </c>
      <c r="Q836" s="62">
        <f t="shared" si="257"/>
        <v>2.2579999999999999E-2</v>
      </c>
      <c r="R836" s="33">
        <f t="shared" si="258"/>
        <v>1.152E-5</v>
      </c>
      <c r="S836" s="45">
        <f>0.37*Model!$B$10*(Q836^2*(N836-K836)*I836/(R836*O836^2))^0.33333*(N836-K836)</f>
        <v>0</v>
      </c>
      <c r="T836" s="50">
        <f>Model!$B$32+(90-Model!$B$6)*SIN(RADIANS(-15*(E836+6)))</f>
        <v>-31.619472402513487</v>
      </c>
      <c r="U836" s="45">
        <f t="shared" si="264"/>
        <v>0</v>
      </c>
      <c r="V836" s="50">
        <f t="shared" si="265"/>
        <v>99999</v>
      </c>
      <c r="W836" s="45">
        <f t="shared" si="266"/>
        <v>0</v>
      </c>
      <c r="X836" s="45">
        <f>0.3*W836*Model!$B$9</f>
        <v>0</v>
      </c>
      <c r="Y836" s="33">
        <f>(S836-X836)/Model!$B$11</f>
        <v>0</v>
      </c>
      <c r="Z836" s="45" t="e">
        <f t="shared" si="267"/>
        <v>#DIV/0!</v>
      </c>
      <c r="AA836" s="56">
        <f>Y836/Model!$B$12*3600</f>
        <v>0</v>
      </c>
      <c r="AB836" s="50">
        <f t="shared" si="272"/>
        <v>0</v>
      </c>
      <c r="AC836" s="50">
        <f t="shared" si="259"/>
        <v>1800</v>
      </c>
      <c r="AD836" s="15">
        <f>IF(AE836=0, Model!$B$19, 0 )</f>
        <v>0</v>
      </c>
      <c r="AE836" s="50">
        <f>IF(AE835+AB835-AB836&lt;Model!$B$19*Model!$B$18, AE835+AB835-AB836,  0)</f>
        <v>443.63457370611354</v>
      </c>
      <c r="AF836" s="15">
        <f t="shared" si="268"/>
        <v>1</v>
      </c>
      <c r="AG836" s="50">
        <f t="shared" si="269"/>
        <v>0</v>
      </c>
    </row>
    <row r="837" spans="2:33" x14ac:dyDescent="0.25">
      <c r="B837" s="13">
        <f t="shared" si="270"/>
        <v>1</v>
      </c>
      <c r="C837" s="13">
        <f>B837+Model!$B$4</f>
        <v>3</v>
      </c>
      <c r="D837" s="13">
        <f t="shared" si="271"/>
        <v>1</v>
      </c>
      <c r="E837" s="13">
        <f t="shared" si="251"/>
        <v>3</v>
      </c>
      <c r="F837" s="14">
        <f>IF(AB837&gt;0, VLOOKUP(B837,Model!$A$40:$B$60, 2), 0)</f>
        <v>0</v>
      </c>
      <c r="G837" s="13">
        <f>IF(AB837&gt;0, VLOOKUP(B837,Model!$A$39:$C$58, 3), 0)</f>
        <v>0</v>
      </c>
      <c r="H837" s="13">
        <f t="shared" si="260"/>
        <v>0</v>
      </c>
      <c r="I837" s="46">
        <f>Model!$B$21*EXP((-0.029*9.81*F837)/(8.31*(273+J837)))</f>
        <v>104500</v>
      </c>
      <c r="J837" s="13">
        <f>IF(Model!$B$31="Summer",  IF(F837&lt;=2000,  Model!$B$20-Model!$B$35*F837/1000,  IF(F837&lt;Model!$B$36,  Model!$B$33-6.5*F837/1000,  Model!$B$38)),     IF(F837&lt;=2000,  Model!$B$20-Model!$B$35*F837/1000,  IF(F837&lt;Model!$B$36,  Model!$B$33-5.4*F837/1000,   Model!$B$38)))</f>
        <v>-20</v>
      </c>
      <c r="K837" s="13">
        <f t="shared" si="256"/>
        <v>253</v>
      </c>
      <c r="L837" s="46">
        <f>IF(AB836-AA836*(B837-B836)&gt;0, L836-Y836*(B837-B836)*3600-AD837*Model!$B$16, 0)</f>
        <v>0</v>
      </c>
      <c r="M837" s="57">
        <f t="shared" si="261"/>
        <v>0</v>
      </c>
      <c r="N837" s="57">
        <f>Model!$B$13*I837*K837/(Model!$B$13*I837-L837*287*K837)</f>
        <v>253</v>
      </c>
      <c r="O837" s="57">
        <f t="shared" si="262"/>
        <v>253</v>
      </c>
      <c r="P837" s="57">
        <f t="shared" si="263"/>
        <v>-10</v>
      </c>
      <c r="Q837" s="63">
        <f t="shared" si="257"/>
        <v>2.2579999999999999E-2</v>
      </c>
      <c r="R837" s="17">
        <f t="shared" si="258"/>
        <v>1.152E-5</v>
      </c>
      <c r="S837" s="46">
        <f>0.37*Model!$B$10*(Q837^2*(N837-K837)*I837/(R837*O837^2))^0.33333*(N837-K837)</f>
        <v>0</v>
      </c>
      <c r="T837" s="51">
        <f>Model!$B$32+(90-Model!$B$6)*SIN(RADIANS(-15*(E837+6)))</f>
        <v>-31.619472402513487</v>
      </c>
      <c r="U837" s="46">
        <f t="shared" si="264"/>
        <v>0</v>
      </c>
      <c r="V837" s="51">
        <f t="shared" si="265"/>
        <v>99999</v>
      </c>
      <c r="W837" s="46">
        <f t="shared" si="266"/>
        <v>0</v>
      </c>
      <c r="X837" s="46">
        <f>0.3*W837*Model!$B$9</f>
        <v>0</v>
      </c>
      <c r="Y837" s="17">
        <f>(S837-X837)/Model!$B$11</f>
        <v>0</v>
      </c>
      <c r="Z837" s="46" t="e">
        <f t="shared" si="267"/>
        <v>#DIV/0!</v>
      </c>
      <c r="AA837" s="57">
        <f>Y837/Model!$B$12*3600</f>
        <v>0</v>
      </c>
      <c r="AB837" s="51">
        <f t="shared" si="272"/>
        <v>0</v>
      </c>
      <c r="AC837" s="51">
        <f t="shared" si="259"/>
        <v>1800</v>
      </c>
      <c r="AD837" s="13">
        <f>IF(AE837=0, Model!$B$19, 0 )</f>
        <v>0</v>
      </c>
      <c r="AE837" s="51">
        <f>IF(AE836+AB836-AB837&lt;Model!$B$19*Model!$B$18, AE836+AB836-AB837,  0)</f>
        <v>443.63457370611354</v>
      </c>
      <c r="AF837" s="13">
        <f t="shared" si="268"/>
        <v>1</v>
      </c>
      <c r="AG837" s="50">
        <f t="shared" si="269"/>
        <v>0</v>
      </c>
    </row>
    <row r="838" spans="2:33" x14ac:dyDescent="0.25">
      <c r="B838" s="15">
        <f t="shared" si="270"/>
        <v>1</v>
      </c>
      <c r="C838" s="15">
        <f>B838+Model!$B$4</f>
        <v>3</v>
      </c>
      <c r="D838" s="15">
        <f t="shared" si="271"/>
        <v>1</v>
      </c>
      <c r="E838" s="15">
        <f t="shared" si="251"/>
        <v>3</v>
      </c>
      <c r="F838" s="16">
        <f>IF(AB838&gt;0, VLOOKUP(B838,Model!$A$40:$B$60, 2), 0)</f>
        <v>0</v>
      </c>
      <c r="G838" s="15">
        <f>IF(AB838&gt;0, VLOOKUP(B838,Model!$A$39:$C$58, 3), 0)</f>
        <v>0</v>
      </c>
      <c r="H838" s="15">
        <f t="shared" si="260"/>
        <v>0</v>
      </c>
      <c r="I838" s="45">
        <f>Model!$B$21*EXP((-0.029*9.81*F838)/(8.31*(273+J838)))</f>
        <v>104500</v>
      </c>
      <c r="J838" s="15">
        <f>IF(Model!$B$31="Summer",  IF(F838&lt;=2000,  Model!$B$20-Model!$B$35*F838/1000,  IF(F838&lt;Model!$B$36,  Model!$B$33-6.5*F838/1000,  Model!$B$38)),     IF(F838&lt;=2000,  Model!$B$20-Model!$B$35*F838/1000,  IF(F838&lt;Model!$B$36,  Model!$B$33-5.4*F838/1000,   Model!$B$38)))</f>
        <v>-20</v>
      </c>
      <c r="K838" s="15">
        <f t="shared" si="256"/>
        <v>253</v>
      </c>
      <c r="L838" s="45">
        <f>IF(AB837-AA837*(B838-B837)&gt;0, L837-Y837*(B838-B837)*3600-AD838*Model!$B$16, 0)</f>
        <v>0</v>
      </c>
      <c r="M838" s="56">
        <f t="shared" si="261"/>
        <v>0</v>
      </c>
      <c r="N838" s="56">
        <f>Model!$B$13*I838*K838/(Model!$B$13*I838-L838*287*K838)</f>
        <v>253</v>
      </c>
      <c r="O838" s="56">
        <f t="shared" si="262"/>
        <v>253</v>
      </c>
      <c r="P838" s="56">
        <f t="shared" si="263"/>
        <v>-10</v>
      </c>
      <c r="Q838" s="62">
        <f t="shared" si="257"/>
        <v>2.2579999999999999E-2</v>
      </c>
      <c r="R838" s="33">
        <f t="shared" si="258"/>
        <v>1.152E-5</v>
      </c>
      <c r="S838" s="45">
        <f>0.37*Model!$B$10*(Q838^2*(N838-K838)*I838/(R838*O838^2))^0.33333*(N838-K838)</f>
        <v>0</v>
      </c>
      <c r="T838" s="50">
        <f>Model!$B$32+(90-Model!$B$6)*SIN(RADIANS(-15*(E838+6)))</f>
        <v>-31.619472402513487</v>
      </c>
      <c r="U838" s="45">
        <f t="shared" si="264"/>
        <v>0</v>
      </c>
      <c r="V838" s="50">
        <f t="shared" si="265"/>
        <v>99999</v>
      </c>
      <c r="W838" s="45">
        <f t="shared" si="266"/>
        <v>0</v>
      </c>
      <c r="X838" s="45">
        <f>0.3*W838*Model!$B$9</f>
        <v>0</v>
      </c>
      <c r="Y838" s="33">
        <f>(S838-X838)/Model!$B$11</f>
        <v>0</v>
      </c>
      <c r="Z838" s="45" t="e">
        <f t="shared" si="267"/>
        <v>#DIV/0!</v>
      </c>
      <c r="AA838" s="56">
        <f>Y838/Model!$B$12*3600</f>
        <v>0</v>
      </c>
      <c r="AB838" s="50">
        <f t="shared" si="272"/>
        <v>0</v>
      </c>
      <c r="AC838" s="50">
        <f t="shared" si="259"/>
        <v>1800</v>
      </c>
      <c r="AD838" s="15">
        <f>IF(AE838=0, Model!$B$19, 0 )</f>
        <v>0</v>
      </c>
      <c r="AE838" s="50">
        <f>IF(AE837+AB837-AB838&lt;Model!$B$19*Model!$B$18, AE837+AB837-AB838,  0)</f>
        <v>443.63457370611354</v>
      </c>
      <c r="AF838" s="15">
        <f t="shared" si="268"/>
        <v>1</v>
      </c>
      <c r="AG838" s="50">
        <f t="shared" si="269"/>
        <v>0</v>
      </c>
    </row>
    <row r="839" spans="2:33" x14ac:dyDescent="0.25">
      <c r="B839" s="13">
        <f t="shared" si="270"/>
        <v>1</v>
      </c>
      <c r="C839" s="13">
        <f>B839+Model!$B$4</f>
        <v>3</v>
      </c>
      <c r="D839" s="13">
        <f t="shared" si="271"/>
        <v>1</v>
      </c>
      <c r="E839" s="13">
        <f t="shared" si="251"/>
        <v>3</v>
      </c>
      <c r="F839" s="14">
        <f>IF(AB839&gt;0, VLOOKUP(B839,Model!$A$40:$B$60, 2), 0)</f>
        <v>0</v>
      </c>
      <c r="G839" s="13">
        <f>IF(AB839&gt;0, VLOOKUP(B839,Model!$A$39:$C$58, 3), 0)</f>
        <v>0</v>
      </c>
      <c r="H839" s="13">
        <f t="shared" si="260"/>
        <v>0</v>
      </c>
      <c r="I839" s="46">
        <f>Model!$B$21*EXP((-0.029*9.81*F839)/(8.31*(273+J839)))</f>
        <v>104500</v>
      </c>
      <c r="J839" s="13">
        <f>IF(Model!$B$31="Summer",  IF(F839&lt;=2000,  Model!$B$20-Model!$B$35*F839/1000,  IF(F839&lt;Model!$B$36,  Model!$B$33-6.5*F839/1000,  Model!$B$38)),     IF(F839&lt;=2000,  Model!$B$20-Model!$B$35*F839/1000,  IF(F839&lt;Model!$B$36,  Model!$B$33-5.4*F839/1000,   Model!$B$38)))</f>
        <v>-20</v>
      </c>
      <c r="K839" s="13">
        <f t="shared" si="256"/>
        <v>253</v>
      </c>
      <c r="L839" s="46">
        <f>IF(AB838-AA838*(B839-B838)&gt;0, L838-Y838*(B839-B838)*3600-AD839*Model!$B$16, 0)</f>
        <v>0</v>
      </c>
      <c r="M839" s="57">
        <f t="shared" si="261"/>
        <v>0</v>
      </c>
      <c r="N839" s="57">
        <f>Model!$B$13*I839*K839/(Model!$B$13*I839-L839*287*K839)</f>
        <v>253</v>
      </c>
      <c r="O839" s="57">
        <f t="shared" si="262"/>
        <v>253</v>
      </c>
      <c r="P839" s="57">
        <f t="shared" si="263"/>
        <v>-10</v>
      </c>
      <c r="Q839" s="63">
        <f t="shared" si="257"/>
        <v>2.2579999999999999E-2</v>
      </c>
      <c r="R839" s="17">
        <f t="shared" si="258"/>
        <v>1.152E-5</v>
      </c>
      <c r="S839" s="46">
        <f>0.37*Model!$B$10*(Q839^2*(N839-K839)*I839/(R839*O839^2))^0.33333*(N839-K839)</f>
        <v>0</v>
      </c>
      <c r="T839" s="51">
        <f>Model!$B$32+(90-Model!$B$6)*SIN(RADIANS(-15*(E839+6)))</f>
        <v>-31.619472402513487</v>
      </c>
      <c r="U839" s="46">
        <f t="shared" si="264"/>
        <v>0</v>
      </c>
      <c r="V839" s="51">
        <f t="shared" si="265"/>
        <v>99999</v>
      </c>
      <c r="W839" s="46">
        <f t="shared" si="266"/>
        <v>0</v>
      </c>
      <c r="X839" s="46">
        <f>0.3*W839*Model!$B$9</f>
        <v>0</v>
      </c>
      <c r="Y839" s="17">
        <f>(S839-X839)/Model!$B$11</f>
        <v>0</v>
      </c>
      <c r="Z839" s="46" t="e">
        <f t="shared" si="267"/>
        <v>#DIV/0!</v>
      </c>
      <c r="AA839" s="57">
        <f>Y839/Model!$B$12*3600</f>
        <v>0</v>
      </c>
      <c r="AB839" s="51">
        <f t="shared" si="272"/>
        <v>0</v>
      </c>
      <c r="AC839" s="51">
        <f t="shared" si="259"/>
        <v>1800</v>
      </c>
      <c r="AD839" s="13">
        <f>IF(AE839=0, Model!$B$19, 0 )</f>
        <v>0</v>
      </c>
      <c r="AE839" s="51">
        <f>IF(AE838+AB838-AB839&lt;Model!$B$19*Model!$B$18, AE838+AB838-AB839,  0)</f>
        <v>443.63457370611354</v>
      </c>
      <c r="AF839" s="13">
        <f t="shared" si="268"/>
        <v>1</v>
      </c>
      <c r="AG839" s="50">
        <f t="shared" si="269"/>
        <v>0</v>
      </c>
    </row>
    <row r="840" spans="2:33" x14ac:dyDescent="0.25">
      <c r="B840" s="15">
        <f t="shared" si="270"/>
        <v>1</v>
      </c>
      <c r="C840" s="15">
        <f>B840+Model!$B$4</f>
        <v>3</v>
      </c>
      <c r="D840" s="15">
        <f t="shared" si="271"/>
        <v>1</v>
      </c>
      <c r="E840" s="15">
        <f t="shared" si="251"/>
        <v>3</v>
      </c>
      <c r="F840" s="16">
        <f>IF(AB840&gt;0, VLOOKUP(B840,Model!$A$40:$B$60, 2), 0)</f>
        <v>0</v>
      </c>
      <c r="G840" s="15">
        <f>IF(AB840&gt;0, VLOOKUP(B840,Model!$A$39:$C$58, 3), 0)</f>
        <v>0</v>
      </c>
      <c r="H840" s="15">
        <f t="shared" si="260"/>
        <v>0</v>
      </c>
      <c r="I840" s="45">
        <f>Model!$B$21*EXP((-0.029*9.81*F840)/(8.31*(273+J840)))</f>
        <v>104500</v>
      </c>
      <c r="J840" s="15">
        <f>IF(Model!$B$31="Summer",  IF(F840&lt;=2000,  Model!$B$20-Model!$B$35*F840/1000,  IF(F840&lt;Model!$B$36,  Model!$B$33-6.5*F840/1000,  Model!$B$38)),     IF(F840&lt;=2000,  Model!$B$20-Model!$B$35*F840/1000,  IF(F840&lt;Model!$B$36,  Model!$B$33-5.4*F840/1000,   Model!$B$38)))</f>
        <v>-20</v>
      </c>
      <c r="K840" s="15">
        <f t="shared" si="256"/>
        <v>253</v>
      </c>
      <c r="L840" s="45">
        <f>IF(AB839-AA839*(B840-B839)&gt;0, L839-Y839*(B840-B839)*3600-AD840*Model!$B$16, 0)</f>
        <v>0</v>
      </c>
      <c r="M840" s="56">
        <f t="shared" si="261"/>
        <v>0</v>
      </c>
      <c r="N840" s="56">
        <f>Model!$B$13*I840*K840/(Model!$B$13*I840-L840*287*K840)</f>
        <v>253</v>
      </c>
      <c r="O840" s="56">
        <f t="shared" si="262"/>
        <v>253</v>
      </c>
      <c r="P840" s="56">
        <f t="shared" si="263"/>
        <v>-10</v>
      </c>
      <c r="Q840" s="62">
        <f t="shared" si="257"/>
        <v>2.2579999999999999E-2</v>
      </c>
      <c r="R840" s="33">
        <f t="shared" si="258"/>
        <v>1.152E-5</v>
      </c>
      <c r="S840" s="45">
        <f>0.37*Model!$B$10*(Q840^2*(N840-K840)*I840/(R840*O840^2))^0.33333*(N840-K840)</f>
        <v>0</v>
      </c>
      <c r="T840" s="50">
        <f>Model!$B$32+(90-Model!$B$6)*SIN(RADIANS(-15*(E840+6)))</f>
        <v>-31.619472402513487</v>
      </c>
      <c r="U840" s="45">
        <f t="shared" si="264"/>
        <v>0</v>
      </c>
      <c r="V840" s="50">
        <f t="shared" si="265"/>
        <v>99999</v>
      </c>
      <c r="W840" s="45">
        <f t="shared" si="266"/>
        <v>0</v>
      </c>
      <c r="X840" s="45">
        <f>0.3*W840*Model!$B$9</f>
        <v>0</v>
      </c>
      <c r="Y840" s="33">
        <f>(S840-X840)/Model!$B$11</f>
        <v>0</v>
      </c>
      <c r="Z840" s="45" t="e">
        <f t="shared" si="267"/>
        <v>#DIV/0!</v>
      </c>
      <c r="AA840" s="56">
        <f>Y840/Model!$B$12*3600</f>
        <v>0</v>
      </c>
      <c r="AB840" s="50">
        <f t="shared" si="272"/>
        <v>0</v>
      </c>
      <c r="AC840" s="50">
        <f t="shared" si="259"/>
        <v>1800</v>
      </c>
      <c r="AD840" s="15">
        <f>IF(AE840=0, Model!$B$19, 0 )</f>
        <v>0</v>
      </c>
      <c r="AE840" s="50">
        <f>IF(AE839+AB839-AB840&lt;Model!$B$19*Model!$B$18, AE839+AB839-AB840,  0)</f>
        <v>443.63457370611354</v>
      </c>
      <c r="AF840" s="15">
        <f t="shared" si="268"/>
        <v>1</v>
      </c>
      <c r="AG840" s="50">
        <f t="shared" si="269"/>
        <v>0</v>
      </c>
    </row>
    <row r="841" spans="2:33" x14ac:dyDescent="0.25">
      <c r="B841" s="13">
        <f t="shared" si="270"/>
        <v>1</v>
      </c>
      <c r="C841" s="13">
        <f>B841+Model!$B$4</f>
        <v>3</v>
      </c>
      <c r="D841" s="13">
        <f t="shared" si="271"/>
        <v>1</v>
      </c>
      <c r="E841" s="13">
        <f t="shared" si="251"/>
        <v>3</v>
      </c>
      <c r="F841" s="14">
        <f>IF(AB841&gt;0, VLOOKUP(B841,Model!$A$40:$B$60, 2), 0)</f>
        <v>0</v>
      </c>
      <c r="G841" s="13">
        <f>IF(AB841&gt;0, VLOOKUP(B841,Model!$A$39:$C$58, 3), 0)</f>
        <v>0</v>
      </c>
      <c r="H841" s="13">
        <f t="shared" si="260"/>
        <v>0</v>
      </c>
      <c r="I841" s="46">
        <f>Model!$B$21*EXP((-0.029*9.81*F841)/(8.31*(273+J841)))</f>
        <v>104500</v>
      </c>
      <c r="J841" s="13">
        <f>IF(Model!$B$31="Summer",  IF(F841&lt;=2000,  Model!$B$20-Model!$B$35*F841/1000,  IF(F841&lt;Model!$B$36,  Model!$B$33-6.5*F841/1000,  Model!$B$38)),     IF(F841&lt;=2000,  Model!$B$20-Model!$B$35*F841/1000,  IF(F841&lt;Model!$B$36,  Model!$B$33-5.4*F841/1000,   Model!$B$38)))</f>
        <v>-20</v>
      </c>
      <c r="K841" s="13">
        <f t="shared" si="256"/>
        <v>253</v>
      </c>
      <c r="L841" s="46">
        <f>IF(AB840-AA840*(B841-B840)&gt;0, L840-Y840*(B841-B840)*3600-AD841*Model!$B$16, 0)</f>
        <v>0</v>
      </c>
      <c r="M841" s="57">
        <f t="shared" si="261"/>
        <v>0</v>
      </c>
      <c r="N841" s="57">
        <f>Model!$B$13*I841*K841/(Model!$B$13*I841-L841*287*K841)</f>
        <v>253</v>
      </c>
      <c r="O841" s="57">
        <f t="shared" si="262"/>
        <v>253</v>
      </c>
      <c r="P841" s="57">
        <f t="shared" si="263"/>
        <v>-10</v>
      </c>
      <c r="Q841" s="63">
        <f t="shared" si="257"/>
        <v>2.2579999999999999E-2</v>
      </c>
      <c r="R841" s="17">
        <f t="shared" si="258"/>
        <v>1.152E-5</v>
      </c>
      <c r="S841" s="46">
        <f>0.37*Model!$B$10*(Q841^2*(N841-K841)*I841/(R841*O841^2))^0.33333*(N841-K841)</f>
        <v>0</v>
      </c>
      <c r="T841" s="51">
        <f>Model!$B$32+(90-Model!$B$6)*SIN(RADIANS(-15*(E841+6)))</f>
        <v>-31.619472402513487</v>
      </c>
      <c r="U841" s="46">
        <f t="shared" si="264"/>
        <v>0</v>
      </c>
      <c r="V841" s="51">
        <f t="shared" si="265"/>
        <v>99999</v>
      </c>
      <c r="W841" s="46">
        <f t="shared" si="266"/>
        <v>0</v>
      </c>
      <c r="X841" s="46">
        <f>0.3*W841*Model!$B$9</f>
        <v>0</v>
      </c>
      <c r="Y841" s="17">
        <f>(S841-X841)/Model!$B$11</f>
        <v>0</v>
      </c>
      <c r="Z841" s="46" t="e">
        <f t="shared" si="267"/>
        <v>#DIV/0!</v>
      </c>
      <c r="AA841" s="57">
        <f>Y841/Model!$B$12*3600</f>
        <v>0</v>
      </c>
      <c r="AB841" s="51">
        <f t="shared" si="272"/>
        <v>0</v>
      </c>
      <c r="AC841" s="51">
        <f t="shared" si="259"/>
        <v>1800</v>
      </c>
      <c r="AD841" s="13">
        <f>IF(AE841=0, Model!$B$19, 0 )</f>
        <v>0</v>
      </c>
      <c r="AE841" s="51">
        <f>IF(AE840+AB840-AB841&lt;Model!$B$19*Model!$B$18, AE840+AB840-AB841,  0)</f>
        <v>443.63457370611354</v>
      </c>
      <c r="AF841" s="13">
        <f t="shared" si="268"/>
        <v>1</v>
      </c>
      <c r="AG841" s="50">
        <f t="shared" si="269"/>
        <v>0</v>
      </c>
    </row>
    <row r="842" spans="2:33" x14ac:dyDescent="0.25">
      <c r="B842" s="15">
        <f t="shared" si="270"/>
        <v>1</v>
      </c>
      <c r="C842" s="15">
        <f>B842+Model!$B$4</f>
        <v>3</v>
      </c>
      <c r="D842" s="15">
        <f t="shared" si="271"/>
        <v>1</v>
      </c>
      <c r="E842" s="15">
        <f t="shared" si="251"/>
        <v>3</v>
      </c>
      <c r="F842" s="16">
        <f>IF(AB842&gt;0, VLOOKUP(B842,Model!$A$40:$B$60, 2), 0)</f>
        <v>0</v>
      </c>
      <c r="G842" s="15">
        <f>IF(AB842&gt;0, VLOOKUP(B842,Model!$A$39:$C$58, 3), 0)</f>
        <v>0</v>
      </c>
      <c r="H842" s="15">
        <f t="shared" si="260"/>
        <v>0</v>
      </c>
      <c r="I842" s="45">
        <f>Model!$B$21*EXP((-0.029*9.81*F842)/(8.31*(273+J842)))</f>
        <v>104500</v>
      </c>
      <c r="J842" s="15">
        <f>IF(Model!$B$31="Summer",  IF(F842&lt;=2000,  Model!$B$20-Model!$B$35*F842/1000,  IF(F842&lt;Model!$B$36,  Model!$B$33-6.5*F842/1000,  Model!$B$38)),     IF(F842&lt;=2000,  Model!$B$20-Model!$B$35*F842/1000,  IF(F842&lt;Model!$B$36,  Model!$B$33-5.4*F842/1000,   Model!$B$38)))</f>
        <v>-20</v>
      </c>
      <c r="K842" s="15">
        <f t="shared" si="256"/>
        <v>253</v>
      </c>
      <c r="L842" s="45">
        <f>IF(AB841-AA841*(B842-B841)&gt;0, L841-Y841*(B842-B841)*3600-AD842*Model!$B$16, 0)</f>
        <v>0</v>
      </c>
      <c r="M842" s="56">
        <f t="shared" si="261"/>
        <v>0</v>
      </c>
      <c r="N842" s="56">
        <f>Model!$B$13*I842*K842/(Model!$B$13*I842-L842*287*K842)</f>
        <v>253</v>
      </c>
      <c r="O842" s="56">
        <f t="shared" si="262"/>
        <v>253</v>
      </c>
      <c r="P842" s="56">
        <f t="shared" si="263"/>
        <v>-10</v>
      </c>
      <c r="Q842" s="62">
        <f t="shared" si="257"/>
        <v>2.2579999999999999E-2</v>
      </c>
      <c r="R842" s="33">
        <f t="shared" si="258"/>
        <v>1.152E-5</v>
      </c>
      <c r="S842" s="45">
        <f>0.37*Model!$B$10*(Q842^2*(N842-K842)*I842/(R842*O842^2))^0.33333*(N842-K842)</f>
        <v>0</v>
      </c>
      <c r="T842" s="50">
        <f>Model!$B$32+(90-Model!$B$6)*SIN(RADIANS(-15*(E842+6)))</f>
        <v>-31.619472402513487</v>
      </c>
      <c r="U842" s="45">
        <f t="shared" si="264"/>
        <v>0</v>
      </c>
      <c r="V842" s="50">
        <f t="shared" si="265"/>
        <v>99999</v>
      </c>
      <c r="W842" s="45">
        <f t="shared" si="266"/>
        <v>0</v>
      </c>
      <c r="X842" s="45">
        <f>0.3*W842*Model!$B$9</f>
        <v>0</v>
      </c>
      <c r="Y842" s="33">
        <f>(S842-X842)/Model!$B$11</f>
        <v>0</v>
      </c>
      <c r="Z842" s="45" t="e">
        <f t="shared" si="267"/>
        <v>#DIV/0!</v>
      </c>
      <c r="AA842" s="56">
        <f>Y842/Model!$B$12*3600</f>
        <v>0</v>
      </c>
      <c r="AB842" s="50">
        <f t="shared" si="272"/>
        <v>0</v>
      </c>
      <c r="AC842" s="50">
        <f t="shared" si="259"/>
        <v>1800</v>
      </c>
      <c r="AD842" s="15">
        <f>IF(AE842=0, Model!$B$19, 0 )</f>
        <v>0</v>
      </c>
      <c r="AE842" s="50">
        <f>IF(AE841+AB841-AB842&lt;Model!$B$19*Model!$B$18, AE841+AB841-AB842,  0)</f>
        <v>443.63457370611354</v>
      </c>
      <c r="AF842" s="15">
        <f t="shared" si="268"/>
        <v>1</v>
      </c>
      <c r="AG842" s="50">
        <f t="shared" si="269"/>
        <v>0</v>
      </c>
    </row>
    <row r="843" spans="2:33" x14ac:dyDescent="0.25">
      <c r="B843" s="13">
        <f t="shared" si="270"/>
        <v>1</v>
      </c>
      <c r="C843" s="13">
        <f>B843+Model!$B$4</f>
        <v>3</v>
      </c>
      <c r="D843" s="13">
        <f t="shared" si="271"/>
        <v>1</v>
      </c>
      <c r="E843" s="13">
        <f t="shared" si="251"/>
        <v>3</v>
      </c>
      <c r="F843" s="14">
        <f>IF(AB843&gt;0, VLOOKUP(B843,Model!$A$40:$B$60, 2), 0)</f>
        <v>0</v>
      </c>
      <c r="G843" s="13">
        <f>IF(AB843&gt;0, VLOOKUP(B843,Model!$A$39:$C$58, 3), 0)</f>
        <v>0</v>
      </c>
      <c r="H843" s="13">
        <f t="shared" si="260"/>
        <v>0</v>
      </c>
      <c r="I843" s="46">
        <f>Model!$B$21*EXP((-0.029*9.81*F843)/(8.31*(273+J843)))</f>
        <v>104500</v>
      </c>
      <c r="J843" s="13">
        <f>IF(Model!$B$31="Summer",  IF(F843&lt;=2000,  Model!$B$20-Model!$B$35*F843/1000,  IF(F843&lt;Model!$B$36,  Model!$B$33-6.5*F843/1000,  Model!$B$38)),     IF(F843&lt;=2000,  Model!$B$20-Model!$B$35*F843/1000,  IF(F843&lt;Model!$B$36,  Model!$B$33-5.4*F843/1000,   Model!$B$38)))</f>
        <v>-20</v>
      </c>
      <c r="K843" s="13">
        <f t="shared" si="256"/>
        <v>253</v>
      </c>
      <c r="L843" s="46">
        <f>IF(AB842-AA842*(B843-B842)&gt;0, L842-Y842*(B843-B842)*3600-AD843*Model!$B$16, 0)</f>
        <v>0</v>
      </c>
      <c r="M843" s="57">
        <f t="shared" si="261"/>
        <v>0</v>
      </c>
      <c r="N843" s="57">
        <f>Model!$B$13*I843*K843/(Model!$B$13*I843-L843*287*K843)</f>
        <v>253</v>
      </c>
      <c r="O843" s="57">
        <f t="shared" si="262"/>
        <v>253</v>
      </c>
      <c r="P843" s="57">
        <f t="shared" si="263"/>
        <v>-10</v>
      </c>
      <c r="Q843" s="63">
        <f t="shared" si="257"/>
        <v>2.2579999999999999E-2</v>
      </c>
      <c r="R843" s="17">
        <f t="shared" si="258"/>
        <v>1.152E-5</v>
      </c>
      <c r="S843" s="46">
        <f>0.37*Model!$B$10*(Q843^2*(N843-K843)*I843/(R843*O843^2))^0.33333*(N843-K843)</f>
        <v>0</v>
      </c>
      <c r="T843" s="51">
        <f>Model!$B$32+(90-Model!$B$6)*SIN(RADIANS(-15*(E843+6)))</f>
        <v>-31.619472402513487</v>
      </c>
      <c r="U843" s="46">
        <f t="shared" si="264"/>
        <v>0</v>
      </c>
      <c r="V843" s="51">
        <f t="shared" si="265"/>
        <v>99999</v>
      </c>
      <c r="W843" s="46">
        <f t="shared" si="266"/>
        <v>0</v>
      </c>
      <c r="X843" s="46">
        <f>0.3*W843*Model!$B$9</f>
        <v>0</v>
      </c>
      <c r="Y843" s="17">
        <f>(S843-X843)/Model!$B$11</f>
        <v>0</v>
      </c>
      <c r="Z843" s="46" t="e">
        <f t="shared" si="267"/>
        <v>#DIV/0!</v>
      </c>
      <c r="AA843" s="57">
        <f>Y843/Model!$B$12*3600</f>
        <v>0</v>
      </c>
      <c r="AB843" s="51">
        <f t="shared" si="272"/>
        <v>0</v>
      </c>
      <c r="AC843" s="51">
        <f t="shared" si="259"/>
        <v>1800</v>
      </c>
      <c r="AD843" s="13">
        <f>IF(AE843=0, Model!$B$19, 0 )</f>
        <v>0</v>
      </c>
      <c r="AE843" s="51">
        <f>IF(AE842+AB842-AB843&lt;Model!$B$19*Model!$B$18, AE842+AB842-AB843,  0)</f>
        <v>443.63457370611354</v>
      </c>
      <c r="AF843" s="13">
        <f t="shared" si="268"/>
        <v>1</v>
      </c>
      <c r="AG843" s="50">
        <f t="shared" si="269"/>
        <v>0</v>
      </c>
    </row>
    <row r="844" spans="2:33" x14ac:dyDescent="0.25">
      <c r="B844" s="15">
        <f t="shared" si="270"/>
        <v>1</v>
      </c>
      <c r="C844" s="15">
        <f>B844+Model!$B$4</f>
        <v>3</v>
      </c>
      <c r="D844" s="15">
        <f t="shared" si="271"/>
        <v>1</v>
      </c>
      <c r="E844" s="15">
        <f t="shared" si="251"/>
        <v>3</v>
      </c>
      <c r="F844" s="16">
        <f>IF(AB844&gt;0, VLOOKUP(B844,Model!$A$40:$B$60, 2), 0)</f>
        <v>0</v>
      </c>
      <c r="G844" s="15">
        <f>IF(AB844&gt;0, VLOOKUP(B844,Model!$A$39:$C$58, 3), 0)</f>
        <v>0</v>
      </c>
      <c r="H844" s="15">
        <f t="shared" si="260"/>
        <v>0</v>
      </c>
      <c r="I844" s="45">
        <f>Model!$B$21*EXP((-0.029*9.81*F844)/(8.31*(273+J844)))</f>
        <v>104500</v>
      </c>
      <c r="J844" s="15">
        <f>IF(Model!$B$31="Summer",  IF(F844&lt;=2000,  Model!$B$20-Model!$B$35*F844/1000,  IF(F844&lt;Model!$B$36,  Model!$B$33-6.5*F844/1000,  Model!$B$38)),     IF(F844&lt;=2000,  Model!$B$20-Model!$B$35*F844/1000,  IF(F844&lt;Model!$B$36,  Model!$B$33-5.4*F844/1000,   Model!$B$38)))</f>
        <v>-20</v>
      </c>
      <c r="K844" s="15">
        <f t="shared" si="256"/>
        <v>253</v>
      </c>
      <c r="L844" s="45">
        <f>IF(AB843-AA843*(B844-B843)&gt;0, L843-Y843*(B844-B843)*3600-AD844*Model!$B$16, 0)</f>
        <v>0</v>
      </c>
      <c r="M844" s="56">
        <f t="shared" si="261"/>
        <v>0</v>
      </c>
      <c r="N844" s="56">
        <f>Model!$B$13*I844*K844/(Model!$B$13*I844-L844*287*K844)</f>
        <v>253</v>
      </c>
      <c r="O844" s="56">
        <f t="shared" si="262"/>
        <v>253</v>
      </c>
      <c r="P844" s="56">
        <f t="shared" si="263"/>
        <v>-10</v>
      </c>
      <c r="Q844" s="62">
        <f t="shared" si="257"/>
        <v>2.2579999999999999E-2</v>
      </c>
      <c r="R844" s="33">
        <f t="shared" si="258"/>
        <v>1.152E-5</v>
      </c>
      <c r="S844" s="45">
        <f>0.37*Model!$B$10*(Q844^2*(N844-K844)*I844/(R844*O844^2))^0.33333*(N844-K844)</f>
        <v>0</v>
      </c>
      <c r="T844" s="50">
        <f>Model!$B$32+(90-Model!$B$6)*SIN(RADIANS(-15*(E844+6)))</f>
        <v>-31.619472402513487</v>
      </c>
      <c r="U844" s="45">
        <f t="shared" si="264"/>
        <v>0</v>
      </c>
      <c r="V844" s="50">
        <f t="shared" si="265"/>
        <v>99999</v>
      </c>
      <c r="W844" s="45">
        <f t="shared" si="266"/>
        <v>0</v>
      </c>
      <c r="X844" s="45">
        <f>0.3*W844*Model!$B$9</f>
        <v>0</v>
      </c>
      <c r="Y844" s="33">
        <f>(S844-X844)/Model!$B$11</f>
        <v>0</v>
      </c>
      <c r="Z844" s="45" t="e">
        <f t="shared" si="267"/>
        <v>#DIV/0!</v>
      </c>
      <c r="AA844" s="56">
        <f>Y844/Model!$B$12*3600</f>
        <v>0</v>
      </c>
      <c r="AB844" s="50">
        <f t="shared" si="272"/>
        <v>0</v>
      </c>
      <c r="AC844" s="50">
        <f t="shared" si="259"/>
        <v>1800</v>
      </c>
      <c r="AD844" s="15">
        <f>IF(AE844=0, Model!$B$19, 0 )</f>
        <v>0</v>
      </c>
      <c r="AE844" s="50">
        <f>IF(AE843+AB843-AB844&lt;Model!$B$19*Model!$B$18, AE843+AB843-AB844,  0)</f>
        <v>443.63457370611354</v>
      </c>
      <c r="AF844" s="15">
        <f t="shared" si="268"/>
        <v>1</v>
      </c>
      <c r="AG844" s="50">
        <f t="shared" si="269"/>
        <v>0</v>
      </c>
    </row>
    <row r="845" spans="2:33" x14ac:dyDescent="0.25">
      <c r="B845" s="13">
        <f t="shared" si="270"/>
        <v>1</v>
      </c>
      <c r="C845" s="13">
        <f>B845+Model!$B$4</f>
        <v>3</v>
      </c>
      <c r="D845" s="13">
        <f t="shared" si="271"/>
        <v>1</v>
      </c>
      <c r="E845" s="13">
        <f t="shared" si="251"/>
        <v>3</v>
      </c>
      <c r="F845" s="14">
        <f>IF(AB845&gt;0, VLOOKUP(B845,Model!$A$40:$B$60, 2), 0)</f>
        <v>0</v>
      </c>
      <c r="G845" s="13">
        <f>IF(AB845&gt;0, VLOOKUP(B845,Model!$A$39:$C$58, 3), 0)</f>
        <v>0</v>
      </c>
      <c r="H845" s="13">
        <f t="shared" si="260"/>
        <v>0</v>
      </c>
      <c r="I845" s="46">
        <f>Model!$B$21*EXP((-0.029*9.81*F845)/(8.31*(273+J845)))</f>
        <v>104500</v>
      </c>
      <c r="J845" s="13">
        <f>IF(Model!$B$31="Summer",  IF(F845&lt;=2000,  Model!$B$20-Model!$B$35*F845/1000,  IF(F845&lt;Model!$B$36,  Model!$B$33-6.5*F845/1000,  Model!$B$38)),     IF(F845&lt;=2000,  Model!$B$20-Model!$B$35*F845/1000,  IF(F845&lt;Model!$B$36,  Model!$B$33-5.4*F845/1000,   Model!$B$38)))</f>
        <v>-20</v>
      </c>
      <c r="K845" s="13">
        <f t="shared" si="256"/>
        <v>253</v>
      </c>
      <c r="L845" s="46">
        <f>IF(AB844-AA844*(B845-B844)&gt;0, L844-Y844*(B845-B844)*3600-AD845*Model!$B$16, 0)</f>
        <v>0</v>
      </c>
      <c r="M845" s="57">
        <f t="shared" si="261"/>
        <v>0</v>
      </c>
      <c r="N845" s="57">
        <f>Model!$B$13*I845*K845/(Model!$B$13*I845-L845*287*K845)</f>
        <v>253</v>
      </c>
      <c r="O845" s="57">
        <f t="shared" si="262"/>
        <v>253</v>
      </c>
      <c r="P845" s="57">
        <f t="shared" si="263"/>
        <v>-10</v>
      </c>
      <c r="Q845" s="63">
        <f t="shared" si="257"/>
        <v>2.2579999999999999E-2</v>
      </c>
      <c r="R845" s="17">
        <f t="shared" si="258"/>
        <v>1.152E-5</v>
      </c>
      <c r="S845" s="46">
        <f>0.37*Model!$B$10*(Q845^2*(N845-K845)*I845/(R845*O845^2))^0.33333*(N845-K845)</f>
        <v>0</v>
      </c>
      <c r="T845" s="51">
        <f>Model!$B$32+(90-Model!$B$6)*SIN(RADIANS(-15*(E845+6)))</f>
        <v>-31.619472402513487</v>
      </c>
      <c r="U845" s="46">
        <f t="shared" si="264"/>
        <v>0</v>
      </c>
      <c r="V845" s="51">
        <f t="shared" si="265"/>
        <v>99999</v>
      </c>
      <c r="W845" s="46">
        <f t="shared" si="266"/>
        <v>0</v>
      </c>
      <c r="X845" s="46">
        <f>0.3*W845*Model!$B$9</f>
        <v>0</v>
      </c>
      <c r="Y845" s="17">
        <f>(S845-X845)/Model!$B$11</f>
        <v>0</v>
      </c>
      <c r="Z845" s="46" t="e">
        <f t="shared" si="267"/>
        <v>#DIV/0!</v>
      </c>
      <c r="AA845" s="57">
        <f>Y845/Model!$B$12*3600</f>
        <v>0</v>
      </c>
      <c r="AB845" s="51">
        <f t="shared" si="272"/>
        <v>0</v>
      </c>
      <c r="AC845" s="51">
        <f t="shared" si="259"/>
        <v>1800</v>
      </c>
      <c r="AD845" s="13">
        <f>IF(AE845=0, Model!$B$19, 0 )</f>
        <v>0</v>
      </c>
      <c r="AE845" s="51">
        <f>IF(AE844+AB844-AB845&lt;Model!$B$19*Model!$B$18, AE844+AB844-AB845,  0)</f>
        <v>443.63457370611354</v>
      </c>
      <c r="AF845" s="13">
        <f t="shared" si="268"/>
        <v>1</v>
      </c>
      <c r="AG845" s="50">
        <f t="shared" si="269"/>
        <v>0</v>
      </c>
    </row>
    <row r="846" spans="2:33" x14ac:dyDescent="0.25">
      <c r="B846" s="15">
        <f t="shared" si="270"/>
        <v>1</v>
      </c>
      <c r="C846" s="15">
        <f>B846+Model!$B$4</f>
        <v>3</v>
      </c>
      <c r="D846" s="15">
        <f t="shared" si="271"/>
        <v>1</v>
      </c>
      <c r="E846" s="15">
        <f t="shared" si="251"/>
        <v>3</v>
      </c>
      <c r="F846" s="16">
        <f>IF(AB846&gt;0, VLOOKUP(B846,Model!$A$40:$B$60, 2), 0)</f>
        <v>0</v>
      </c>
      <c r="G846" s="15">
        <f>IF(AB846&gt;0, VLOOKUP(B846,Model!$A$39:$C$58, 3), 0)</f>
        <v>0</v>
      </c>
      <c r="H846" s="15">
        <f t="shared" si="260"/>
        <v>0</v>
      </c>
      <c r="I846" s="45">
        <f>Model!$B$21*EXP((-0.029*9.81*F846)/(8.31*(273+J846)))</f>
        <v>104500</v>
      </c>
      <c r="J846" s="15">
        <f>IF(Model!$B$31="Summer",  IF(F846&lt;=2000,  Model!$B$20-Model!$B$35*F846/1000,  IF(F846&lt;Model!$B$36,  Model!$B$33-6.5*F846/1000,  Model!$B$38)),     IF(F846&lt;=2000,  Model!$B$20-Model!$B$35*F846/1000,  IF(F846&lt;Model!$B$36,  Model!$B$33-5.4*F846/1000,   Model!$B$38)))</f>
        <v>-20</v>
      </c>
      <c r="K846" s="15">
        <f t="shared" si="256"/>
        <v>253</v>
      </c>
      <c r="L846" s="45">
        <f>IF(AB845-AA845*(B846-B845)&gt;0, L845-Y845*(B846-B845)*3600-AD846*Model!$B$16, 0)</f>
        <v>0</v>
      </c>
      <c r="M846" s="56">
        <f t="shared" si="261"/>
        <v>0</v>
      </c>
      <c r="N846" s="56">
        <f>Model!$B$13*I846*K846/(Model!$B$13*I846-L846*287*K846)</f>
        <v>253</v>
      </c>
      <c r="O846" s="56">
        <f t="shared" si="262"/>
        <v>253</v>
      </c>
      <c r="P846" s="56">
        <f t="shared" si="263"/>
        <v>-10</v>
      </c>
      <c r="Q846" s="62">
        <f t="shared" si="257"/>
        <v>2.2579999999999999E-2</v>
      </c>
      <c r="R846" s="33">
        <f t="shared" si="258"/>
        <v>1.152E-5</v>
      </c>
      <c r="S846" s="45">
        <f>0.37*Model!$B$10*(Q846^2*(N846-K846)*I846/(R846*O846^2))^0.33333*(N846-K846)</f>
        <v>0</v>
      </c>
      <c r="T846" s="50">
        <f>Model!$B$32+(90-Model!$B$6)*SIN(RADIANS(-15*(E846+6)))</f>
        <v>-31.619472402513487</v>
      </c>
      <c r="U846" s="45">
        <f t="shared" si="264"/>
        <v>0</v>
      </c>
      <c r="V846" s="50">
        <f t="shared" si="265"/>
        <v>99999</v>
      </c>
      <c r="W846" s="45">
        <f t="shared" si="266"/>
        <v>0</v>
      </c>
      <c r="X846" s="45">
        <f>0.3*W846*Model!$B$9</f>
        <v>0</v>
      </c>
      <c r="Y846" s="33">
        <f>(S846-X846)/Model!$B$11</f>
        <v>0</v>
      </c>
      <c r="Z846" s="45" t="e">
        <f t="shared" si="267"/>
        <v>#DIV/0!</v>
      </c>
      <c r="AA846" s="56">
        <f>Y846/Model!$B$12*3600</f>
        <v>0</v>
      </c>
      <c r="AB846" s="50">
        <f t="shared" si="272"/>
        <v>0</v>
      </c>
      <c r="AC846" s="50">
        <f t="shared" si="259"/>
        <v>1800</v>
      </c>
      <c r="AD846" s="15">
        <f>IF(AE846=0, Model!$B$19, 0 )</f>
        <v>0</v>
      </c>
      <c r="AE846" s="50">
        <f>IF(AE845+AB845-AB846&lt;Model!$B$19*Model!$B$18, AE845+AB845-AB846,  0)</f>
        <v>443.63457370611354</v>
      </c>
      <c r="AF846" s="15">
        <f t="shared" si="268"/>
        <v>1</v>
      </c>
      <c r="AG846" s="50">
        <f t="shared" si="269"/>
        <v>0</v>
      </c>
    </row>
    <row r="847" spans="2:33" x14ac:dyDescent="0.25">
      <c r="B847" s="13">
        <f t="shared" si="270"/>
        <v>1</v>
      </c>
      <c r="C847" s="13">
        <f>B847+Model!$B$4</f>
        <v>3</v>
      </c>
      <c r="D847" s="13">
        <f t="shared" si="271"/>
        <v>1</v>
      </c>
      <c r="E847" s="13">
        <f t="shared" si="251"/>
        <v>3</v>
      </c>
      <c r="F847" s="14">
        <f>IF(AB847&gt;0, VLOOKUP(B847,Model!$A$40:$B$60, 2), 0)</f>
        <v>0</v>
      </c>
      <c r="G847" s="13">
        <f>IF(AB847&gt;0, VLOOKUP(B847,Model!$A$39:$C$58, 3), 0)</f>
        <v>0</v>
      </c>
      <c r="H847" s="13">
        <f t="shared" si="260"/>
        <v>0</v>
      </c>
      <c r="I847" s="46">
        <f>Model!$B$21*EXP((-0.029*9.81*F847)/(8.31*(273+J847)))</f>
        <v>104500</v>
      </c>
      <c r="J847" s="13">
        <f>IF(Model!$B$31="Summer",  IF(F847&lt;=2000,  Model!$B$20-Model!$B$35*F847/1000,  IF(F847&lt;Model!$B$36,  Model!$B$33-6.5*F847/1000,  Model!$B$38)),     IF(F847&lt;=2000,  Model!$B$20-Model!$B$35*F847/1000,  IF(F847&lt;Model!$B$36,  Model!$B$33-5.4*F847/1000,   Model!$B$38)))</f>
        <v>-20</v>
      </c>
      <c r="K847" s="13">
        <f t="shared" si="256"/>
        <v>253</v>
      </c>
      <c r="L847" s="46">
        <f>IF(AB846-AA846*(B847-B846)&gt;0, L846-Y846*(B847-B846)*3600-AD847*Model!$B$16, 0)</f>
        <v>0</v>
      </c>
      <c r="M847" s="57">
        <f t="shared" si="261"/>
        <v>0</v>
      </c>
      <c r="N847" s="57">
        <f>Model!$B$13*I847*K847/(Model!$B$13*I847-L847*287*K847)</f>
        <v>253</v>
      </c>
      <c r="O847" s="57">
        <f t="shared" si="262"/>
        <v>253</v>
      </c>
      <c r="P847" s="57">
        <f t="shared" si="263"/>
        <v>-10</v>
      </c>
      <c r="Q847" s="63">
        <f t="shared" si="257"/>
        <v>2.2579999999999999E-2</v>
      </c>
      <c r="R847" s="17">
        <f t="shared" si="258"/>
        <v>1.152E-5</v>
      </c>
      <c r="S847" s="46">
        <f>0.37*Model!$B$10*(Q847^2*(N847-K847)*I847/(R847*O847^2))^0.33333*(N847-K847)</f>
        <v>0</v>
      </c>
      <c r="T847" s="51">
        <f>Model!$B$32+(90-Model!$B$6)*SIN(RADIANS(-15*(E847+6)))</f>
        <v>-31.619472402513487</v>
      </c>
      <c r="U847" s="46">
        <f t="shared" si="264"/>
        <v>0</v>
      </c>
      <c r="V847" s="51">
        <f t="shared" si="265"/>
        <v>99999</v>
      </c>
      <c r="W847" s="46">
        <f t="shared" si="266"/>
        <v>0</v>
      </c>
      <c r="X847" s="46">
        <f>0.3*W847*Model!$B$9</f>
        <v>0</v>
      </c>
      <c r="Y847" s="17">
        <f>(S847-X847)/Model!$B$11</f>
        <v>0</v>
      </c>
      <c r="Z847" s="46" t="e">
        <f t="shared" si="267"/>
        <v>#DIV/0!</v>
      </c>
      <c r="AA847" s="57">
        <f>Y847/Model!$B$12*3600</f>
        <v>0</v>
      </c>
      <c r="AB847" s="51">
        <f t="shared" si="272"/>
        <v>0</v>
      </c>
      <c r="AC847" s="51">
        <f t="shared" si="259"/>
        <v>1800</v>
      </c>
      <c r="AD847" s="13">
        <f>IF(AE847=0, Model!$B$19, 0 )</f>
        <v>0</v>
      </c>
      <c r="AE847" s="51">
        <f>IF(AE846+AB846-AB847&lt;Model!$B$19*Model!$B$18, AE846+AB846-AB847,  0)</f>
        <v>443.63457370611354</v>
      </c>
      <c r="AF847" s="13">
        <f t="shared" si="268"/>
        <v>1</v>
      </c>
      <c r="AG847" s="50">
        <f t="shared" si="269"/>
        <v>0</v>
      </c>
    </row>
    <row r="848" spans="2:33" x14ac:dyDescent="0.25">
      <c r="B848" s="15">
        <f t="shared" si="270"/>
        <v>1</v>
      </c>
      <c r="C848" s="15">
        <f>B848+Model!$B$4</f>
        <v>3</v>
      </c>
      <c r="D848" s="15">
        <f t="shared" si="271"/>
        <v>1</v>
      </c>
      <c r="E848" s="15">
        <f t="shared" si="251"/>
        <v>3</v>
      </c>
      <c r="F848" s="16">
        <f>IF(AB848&gt;0, VLOOKUP(B848,Model!$A$40:$B$60, 2), 0)</f>
        <v>0</v>
      </c>
      <c r="G848" s="15">
        <f>IF(AB848&gt;0, VLOOKUP(B848,Model!$A$39:$C$58, 3), 0)</f>
        <v>0</v>
      </c>
      <c r="H848" s="15">
        <f t="shared" si="260"/>
        <v>0</v>
      </c>
      <c r="I848" s="45">
        <f>Model!$B$21*EXP((-0.029*9.81*F848)/(8.31*(273+J848)))</f>
        <v>104500</v>
      </c>
      <c r="J848" s="15">
        <f>IF(Model!$B$31="Summer",  IF(F848&lt;=2000,  Model!$B$20-Model!$B$35*F848/1000,  IF(F848&lt;Model!$B$36,  Model!$B$33-6.5*F848/1000,  Model!$B$38)),     IF(F848&lt;=2000,  Model!$B$20-Model!$B$35*F848/1000,  IF(F848&lt;Model!$B$36,  Model!$B$33-5.4*F848/1000,   Model!$B$38)))</f>
        <v>-20</v>
      </c>
      <c r="K848" s="15">
        <f t="shared" si="256"/>
        <v>253</v>
      </c>
      <c r="L848" s="45">
        <f>IF(AB847-AA847*(B848-B847)&gt;0, L847-Y847*(B848-B847)*3600-AD848*Model!$B$16, 0)</f>
        <v>0</v>
      </c>
      <c r="M848" s="56">
        <f t="shared" si="261"/>
        <v>0</v>
      </c>
      <c r="N848" s="56">
        <f>Model!$B$13*I848*K848/(Model!$B$13*I848-L848*287*K848)</f>
        <v>253</v>
      </c>
      <c r="O848" s="56">
        <f t="shared" si="262"/>
        <v>253</v>
      </c>
      <c r="P848" s="56">
        <f t="shared" si="263"/>
        <v>-10</v>
      </c>
      <c r="Q848" s="62">
        <f t="shared" si="257"/>
        <v>2.2579999999999999E-2</v>
      </c>
      <c r="R848" s="33">
        <f t="shared" si="258"/>
        <v>1.152E-5</v>
      </c>
      <c r="S848" s="45">
        <f>0.37*Model!$B$10*(Q848^2*(N848-K848)*I848/(R848*O848^2))^0.33333*(N848-K848)</f>
        <v>0</v>
      </c>
      <c r="T848" s="50">
        <f>Model!$B$32+(90-Model!$B$6)*SIN(RADIANS(-15*(E848+6)))</f>
        <v>-31.619472402513487</v>
      </c>
      <c r="U848" s="45">
        <f t="shared" si="264"/>
        <v>0</v>
      </c>
      <c r="V848" s="50">
        <f t="shared" si="265"/>
        <v>99999</v>
      </c>
      <c r="W848" s="45">
        <f t="shared" si="266"/>
        <v>0</v>
      </c>
      <c r="X848" s="45">
        <f>0.3*W848*Model!$B$9</f>
        <v>0</v>
      </c>
      <c r="Y848" s="33">
        <f>(S848-X848)/Model!$B$11</f>
        <v>0</v>
      </c>
      <c r="Z848" s="45" t="e">
        <f t="shared" si="267"/>
        <v>#DIV/0!</v>
      </c>
      <c r="AA848" s="56">
        <f>Y848/Model!$B$12*3600</f>
        <v>0</v>
      </c>
      <c r="AB848" s="50">
        <f t="shared" si="272"/>
        <v>0</v>
      </c>
      <c r="AC848" s="50">
        <f t="shared" si="259"/>
        <v>1800</v>
      </c>
      <c r="AD848" s="15">
        <f>IF(AE848=0, Model!$B$19, 0 )</f>
        <v>0</v>
      </c>
      <c r="AE848" s="50">
        <f>IF(AE847+AB847-AB848&lt;Model!$B$19*Model!$B$18, AE847+AB847-AB848,  0)</f>
        <v>443.63457370611354</v>
      </c>
      <c r="AF848" s="15">
        <f t="shared" si="268"/>
        <v>1</v>
      </c>
      <c r="AG848" s="50">
        <f t="shared" si="269"/>
        <v>0</v>
      </c>
    </row>
    <row r="849" spans="2:33" x14ac:dyDescent="0.25">
      <c r="B849" s="13">
        <f t="shared" si="270"/>
        <v>1</v>
      </c>
      <c r="C849" s="13">
        <f>B849+Model!$B$4</f>
        <v>3</v>
      </c>
      <c r="D849" s="13">
        <f t="shared" si="271"/>
        <v>1</v>
      </c>
      <c r="E849" s="13">
        <f t="shared" si="251"/>
        <v>3</v>
      </c>
      <c r="F849" s="14">
        <f>IF(AB849&gt;0, VLOOKUP(B849,Model!$A$40:$B$60, 2), 0)</f>
        <v>0</v>
      </c>
      <c r="G849" s="13">
        <f>IF(AB849&gt;0, VLOOKUP(B849,Model!$A$39:$C$58, 3), 0)</f>
        <v>0</v>
      </c>
      <c r="H849" s="13">
        <f t="shared" si="260"/>
        <v>0</v>
      </c>
      <c r="I849" s="46">
        <f>Model!$B$21*EXP((-0.029*9.81*F849)/(8.31*(273+J849)))</f>
        <v>104500</v>
      </c>
      <c r="J849" s="13">
        <f>IF(Model!$B$31="Summer",  IF(F849&lt;=2000,  Model!$B$20-Model!$B$35*F849/1000,  IF(F849&lt;Model!$B$36,  Model!$B$33-6.5*F849/1000,  Model!$B$38)),     IF(F849&lt;=2000,  Model!$B$20-Model!$B$35*F849/1000,  IF(F849&lt;Model!$B$36,  Model!$B$33-5.4*F849/1000,   Model!$B$38)))</f>
        <v>-20</v>
      </c>
      <c r="K849" s="13">
        <f t="shared" si="256"/>
        <v>253</v>
      </c>
      <c r="L849" s="46">
        <f>IF(AB848-AA848*(B849-B848)&gt;0, L848-Y848*(B849-B848)*3600-AD849*Model!$B$16, 0)</f>
        <v>0</v>
      </c>
      <c r="M849" s="57">
        <f t="shared" si="261"/>
        <v>0</v>
      </c>
      <c r="N849" s="57">
        <f>Model!$B$13*I849*K849/(Model!$B$13*I849-L849*287*K849)</f>
        <v>253</v>
      </c>
      <c r="O849" s="57">
        <f t="shared" si="262"/>
        <v>253</v>
      </c>
      <c r="P849" s="57">
        <f t="shared" si="263"/>
        <v>-10</v>
      </c>
      <c r="Q849" s="63">
        <f t="shared" si="257"/>
        <v>2.2579999999999999E-2</v>
      </c>
      <c r="R849" s="17">
        <f t="shared" si="258"/>
        <v>1.152E-5</v>
      </c>
      <c r="S849" s="46">
        <f>0.37*Model!$B$10*(Q849^2*(N849-K849)*I849/(R849*O849^2))^0.33333*(N849-K849)</f>
        <v>0</v>
      </c>
      <c r="T849" s="51">
        <f>Model!$B$32+(90-Model!$B$6)*SIN(RADIANS(-15*(E849+6)))</f>
        <v>-31.619472402513487</v>
      </c>
      <c r="U849" s="46">
        <f t="shared" si="264"/>
        <v>0</v>
      </c>
      <c r="V849" s="51">
        <f t="shared" si="265"/>
        <v>99999</v>
      </c>
      <c r="W849" s="46">
        <f t="shared" si="266"/>
        <v>0</v>
      </c>
      <c r="X849" s="46">
        <f>0.3*W849*Model!$B$9</f>
        <v>0</v>
      </c>
      <c r="Y849" s="17">
        <f>(S849-X849)/Model!$B$11</f>
        <v>0</v>
      </c>
      <c r="Z849" s="46" t="e">
        <f t="shared" si="267"/>
        <v>#DIV/0!</v>
      </c>
      <c r="AA849" s="57">
        <f>Y849/Model!$B$12*3600</f>
        <v>0</v>
      </c>
      <c r="AB849" s="51">
        <f t="shared" si="272"/>
        <v>0</v>
      </c>
      <c r="AC849" s="51">
        <f t="shared" si="259"/>
        <v>1800</v>
      </c>
      <c r="AD849" s="13">
        <f>IF(AE849=0, Model!$B$19, 0 )</f>
        <v>0</v>
      </c>
      <c r="AE849" s="51">
        <f>IF(AE848+AB848-AB849&lt;Model!$B$19*Model!$B$18, AE848+AB848-AB849,  0)</f>
        <v>443.63457370611354</v>
      </c>
      <c r="AF849" s="13">
        <f t="shared" si="268"/>
        <v>1</v>
      </c>
      <c r="AG849" s="50">
        <f t="shared" si="269"/>
        <v>0</v>
      </c>
    </row>
    <row r="850" spans="2:33" x14ac:dyDescent="0.25">
      <c r="B850" s="15">
        <f t="shared" si="270"/>
        <v>1</v>
      </c>
      <c r="C850" s="15">
        <f>B850+Model!$B$4</f>
        <v>3</v>
      </c>
      <c r="D850" s="15">
        <f t="shared" si="271"/>
        <v>1</v>
      </c>
      <c r="E850" s="15">
        <f t="shared" si="251"/>
        <v>3</v>
      </c>
      <c r="F850" s="16">
        <f>IF(AB850&gt;0, VLOOKUP(B850,Model!$A$40:$B$60, 2), 0)</f>
        <v>0</v>
      </c>
      <c r="G850" s="15">
        <f>IF(AB850&gt;0, VLOOKUP(B850,Model!$A$39:$C$58, 3), 0)</f>
        <v>0</v>
      </c>
      <c r="H850" s="15">
        <f t="shared" si="260"/>
        <v>0</v>
      </c>
      <c r="I850" s="45">
        <f>Model!$B$21*EXP((-0.029*9.81*F850)/(8.31*(273+J850)))</f>
        <v>104500</v>
      </c>
      <c r="J850" s="15">
        <f>IF(Model!$B$31="Summer",  IF(F850&lt;=2000,  Model!$B$20-Model!$B$35*F850/1000,  IF(F850&lt;Model!$B$36,  Model!$B$33-6.5*F850/1000,  Model!$B$38)),     IF(F850&lt;=2000,  Model!$B$20-Model!$B$35*F850/1000,  IF(F850&lt;Model!$B$36,  Model!$B$33-5.4*F850/1000,   Model!$B$38)))</f>
        <v>-20</v>
      </c>
      <c r="K850" s="15">
        <f t="shared" si="256"/>
        <v>253</v>
      </c>
      <c r="L850" s="45">
        <f>IF(AB849-AA849*(B850-B849)&gt;0, L849-Y849*(B850-B849)*3600-AD850*Model!$B$16, 0)</f>
        <v>0</v>
      </c>
      <c r="M850" s="56">
        <f t="shared" si="261"/>
        <v>0</v>
      </c>
      <c r="N850" s="56">
        <f>Model!$B$13*I850*K850/(Model!$B$13*I850-L850*287*K850)</f>
        <v>253</v>
      </c>
      <c r="O850" s="56">
        <f t="shared" si="262"/>
        <v>253</v>
      </c>
      <c r="P850" s="56">
        <f t="shared" si="263"/>
        <v>-10</v>
      </c>
      <c r="Q850" s="62">
        <f t="shared" si="257"/>
        <v>2.2579999999999999E-2</v>
      </c>
      <c r="R850" s="33">
        <f t="shared" si="258"/>
        <v>1.152E-5</v>
      </c>
      <c r="S850" s="45">
        <f>0.37*Model!$B$10*(Q850^2*(N850-K850)*I850/(R850*O850^2))^0.33333*(N850-K850)</f>
        <v>0</v>
      </c>
      <c r="T850" s="50">
        <f>Model!$B$32+(90-Model!$B$6)*SIN(RADIANS(-15*(E850+6)))</f>
        <v>-31.619472402513487</v>
      </c>
      <c r="U850" s="45">
        <f t="shared" si="264"/>
        <v>0</v>
      </c>
      <c r="V850" s="50">
        <f t="shared" si="265"/>
        <v>99999</v>
      </c>
      <c r="W850" s="45">
        <f t="shared" si="266"/>
        <v>0</v>
      </c>
      <c r="X850" s="45">
        <f>0.3*W850*Model!$B$9</f>
        <v>0</v>
      </c>
      <c r="Y850" s="33">
        <f>(S850-X850)/Model!$B$11</f>
        <v>0</v>
      </c>
      <c r="Z850" s="45" t="e">
        <f t="shared" si="267"/>
        <v>#DIV/0!</v>
      </c>
      <c r="AA850" s="56">
        <f>Y850/Model!$B$12*3600</f>
        <v>0</v>
      </c>
      <c r="AB850" s="50">
        <f t="shared" si="272"/>
        <v>0</v>
      </c>
      <c r="AC850" s="50">
        <f t="shared" si="259"/>
        <v>1800</v>
      </c>
      <c r="AD850" s="15">
        <f>IF(AE850=0, Model!$B$19, 0 )</f>
        <v>0</v>
      </c>
      <c r="AE850" s="50">
        <f>IF(AE849+AB849-AB850&lt;Model!$B$19*Model!$B$18, AE849+AB849-AB850,  0)</f>
        <v>443.63457370611354</v>
      </c>
      <c r="AF850" s="15">
        <f t="shared" si="268"/>
        <v>1</v>
      </c>
      <c r="AG850" s="50">
        <f t="shared" si="269"/>
        <v>0</v>
      </c>
    </row>
    <row r="851" spans="2:33" x14ac:dyDescent="0.25">
      <c r="B851" s="13">
        <f t="shared" si="270"/>
        <v>1</v>
      </c>
      <c r="C851" s="13">
        <f>B851+Model!$B$4</f>
        <v>3</v>
      </c>
      <c r="D851" s="13">
        <f t="shared" si="271"/>
        <v>1</v>
      </c>
      <c r="E851" s="13">
        <f t="shared" si="251"/>
        <v>3</v>
      </c>
      <c r="F851" s="14">
        <f>IF(AB851&gt;0, VLOOKUP(B851,Model!$A$40:$B$60, 2), 0)</f>
        <v>0</v>
      </c>
      <c r="G851" s="13">
        <f>IF(AB851&gt;0, VLOOKUP(B851,Model!$A$39:$C$58, 3), 0)</f>
        <v>0</v>
      </c>
      <c r="H851" s="13">
        <f t="shared" si="260"/>
        <v>0</v>
      </c>
      <c r="I851" s="46">
        <f>Model!$B$21*EXP((-0.029*9.81*F851)/(8.31*(273+J851)))</f>
        <v>104500</v>
      </c>
      <c r="J851" s="13">
        <f>IF(Model!$B$31="Summer",  IF(F851&lt;=2000,  Model!$B$20-Model!$B$35*F851/1000,  IF(F851&lt;Model!$B$36,  Model!$B$33-6.5*F851/1000,  Model!$B$38)),     IF(F851&lt;=2000,  Model!$B$20-Model!$B$35*F851/1000,  IF(F851&lt;Model!$B$36,  Model!$B$33-5.4*F851/1000,   Model!$B$38)))</f>
        <v>-20</v>
      </c>
      <c r="K851" s="13">
        <f t="shared" si="256"/>
        <v>253</v>
      </c>
      <c r="L851" s="46">
        <f>IF(AB850-AA850*(B851-B850)&gt;0, L850-Y850*(B851-B850)*3600-AD851*Model!$B$16, 0)</f>
        <v>0</v>
      </c>
      <c r="M851" s="57">
        <f t="shared" si="261"/>
        <v>0</v>
      </c>
      <c r="N851" s="57">
        <f>Model!$B$13*I851*K851/(Model!$B$13*I851-L851*287*K851)</f>
        <v>253</v>
      </c>
      <c r="O851" s="57">
        <f t="shared" si="262"/>
        <v>253</v>
      </c>
      <c r="P851" s="57">
        <f t="shared" si="263"/>
        <v>-10</v>
      </c>
      <c r="Q851" s="63">
        <f t="shared" si="257"/>
        <v>2.2579999999999999E-2</v>
      </c>
      <c r="R851" s="17">
        <f t="shared" si="258"/>
        <v>1.152E-5</v>
      </c>
      <c r="S851" s="46">
        <f>0.37*Model!$B$10*(Q851^2*(N851-K851)*I851/(R851*O851^2))^0.33333*(N851-K851)</f>
        <v>0</v>
      </c>
      <c r="T851" s="51">
        <f>Model!$B$32+(90-Model!$B$6)*SIN(RADIANS(-15*(E851+6)))</f>
        <v>-31.619472402513487</v>
      </c>
      <c r="U851" s="46">
        <f t="shared" si="264"/>
        <v>0</v>
      </c>
      <c r="V851" s="51">
        <f t="shared" si="265"/>
        <v>99999</v>
      </c>
      <c r="W851" s="46">
        <f t="shared" si="266"/>
        <v>0</v>
      </c>
      <c r="X851" s="46">
        <f>0.3*W851*Model!$B$9</f>
        <v>0</v>
      </c>
      <c r="Y851" s="17">
        <f>(S851-X851)/Model!$B$11</f>
        <v>0</v>
      </c>
      <c r="Z851" s="46" t="e">
        <f t="shared" si="267"/>
        <v>#DIV/0!</v>
      </c>
      <c r="AA851" s="57">
        <f>Y851/Model!$B$12*3600</f>
        <v>0</v>
      </c>
      <c r="AB851" s="51">
        <f t="shared" si="272"/>
        <v>0</v>
      </c>
      <c r="AC851" s="51">
        <f t="shared" si="259"/>
        <v>1800</v>
      </c>
      <c r="AD851" s="13">
        <f>IF(AE851=0, Model!$B$19, 0 )</f>
        <v>0</v>
      </c>
      <c r="AE851" s="51">
        <f>IF(AE850+AB850-AB851&lt;Model!$B$19*Model!$B$18, AE850+AB850-AB851,  0)</f>
        <v>443.63457370611354</v>
      </c>
      <c r="AF851" s="13">
        <f t="shared" si="268"/>
        <v>1</v>
      </c>
      <c r="AG851" s="50">
        <f t="shared" si="269"/>
        <v>0</v>
      </c>
    </row>
    <row r="852" spans="2:33" x14ac:dyDescent="0.25">
      <c r="B852" s="15">
        <f t="shared" si="270"/>
        <v>1</v>
      </c>
      <c r="C852" s="15">
        <f>B852+Model!$B$4</f>
        <v>3</v>
      </c>
      <c r="D852" s="15">
        <f t="shared" si="271"/>
        <v>1</v>
      </c>
      <c r="E852" s="15">
        <f t="shared" si="251"/>
        <v>3</v>
      </c>
      <c r="F852" s="16">
        <f>IF(AB852&gt;0, VLOOKUP(B852,Model!$A$40:$B$60, 2), 0)</f>
        <v>0</v>
      </c>
      <c r="G852" s="15">
        <f>IF(AB852&gt;0, VLOOKUP(B852,Model!$A$39:$C$58, 3), 0)</f>
        <v>0</v>
      </c>
      <c r="H852" s="15">
        <f t="shared" si="260"/>
        <v>0</v>
      </c>
      <c r="I852" s="45">
        <f>Model!$B$21*EXP((-0.029*9.81*F852)/(8.31*(273+J852)))</f>
        <v>104500</v>
      </c>
      <c r="J852" s="15">
        <f>IF(Model!$B$31="Summer",  IF(F852&lt;=2000,  Model!$B$20-Model!$B$35*F852/1000,  IF(F852&lt;Model!$B$36,  Model!$B$33-6.5*F852/1000,  Model!$B$38)),     IF(F852&lt;=2000,  Model!$B$20-Model!$B$35*F852/1000,  IF(F852&lt;Model!$B$36,  Model!$B$33-5.4*F852/1000,   Model!$B$38)))</f>
        <v>-20</v>
      </c>
      <c r="K852" s="15">
        <f t="shared" si="256"/>
        <v>253</v>
      </c>
      <c r="L852" s="45">
        <f>IF(AB851-AA851*(B852-B851)&gt;0, L851-Y851*(B852-B851)*3600-AD852*Model!$B$16, 0)</f>
        <v>0</v>
      </c>
      <c r="M852" s="56">
        <f t="shared" si="261"/>
        <v>0</v>
      </c>
      <c r="N852" s="56">
        <f>Model!$B$13*I852*K852/(Model!$B$13*I852-L852*287*K852)</f>
        <v>253</v>
      </c>
      <c r="O852" s="56">
        <f t="shared" si="262"/>
        <v>253</v>
      </c>
      <c r="P852" s="56">
        <f t="shared" si="263"/>
        <v>-10</v>
      </c>
      <c r="Q852" s="62">
        <f t="shared" si="257"/>
        <v>2.2579999999999999E-2</v>
      </c>
      <c r="R852" s="33">
        <f t="shared" si="258"/>
        <v>1.152E-5</v>
      </c>
      <c r="S852" s="45">
        <f>0.37*Model!$B$10*(Q852^2*(N852-K852)*I852/(R852*O852^2))^0.33333*(N852-K852)</f>
        <v>0</v>
      </c>
      <c r="T852" s="50">
        <f>Model!$B$32+(90-Model!$B$6)*SIN(RADIANS(-15*(E852+6)))</f>
        <v>-31.619472402513487</v>
      </c>
      <c r="U852" s="45">
        <f t="shared" si="264"/>
        <v>0</v>
      </c>
      <c r="V852" s="50">
        <f t="shared" si="265"/>
        <v>99999</v>
      </c>
      <c r="W852" s="45">
        <f t="shared" si="266"/>
        <v>0</v>
      </c>
      <c r="X852" s="45">
        <f>0.3*W852*Model!$B$9</f>
        <v>0</v>
      </c>
      <c r="Y852" s="33">
        <f>(S852-X852)/Model!$B$11</f>
        <v>0</v>
      </c>
      <c r="Z852" s="45" t="e">
        <f t="shared" si="267"/>
        <v>#DIV/0!</v>
      </c>
      <c r="AA852" s="56">
        <f>Y852/Model!$B$12*3600</f>
        <v>0</v>
      </c>
      <c r="AB852" s="50">
        <f t="shared" si="272"/>
        <v>0</v>
      </c>
      <c r="AC852" s="50">
        <f t="shared" si="259"/>
        <v>1800</v>
      </c>
      <c r="AD852" s="15">
        <f>IF(AE852=0, Model!$B$19, 0 )</f>
        <v>0</v>
      </c>
      <c r="AE852" s="50">
        <f>IF(AE851+AB851-AB852&lt;Model!$B$19*Model!$B$18, AE851+AB851-AB852,  0)</f>
        <v>443.63457370611354</v>
      </c>
      <c r="AF852" s="15">
        <f t="shared" si="268"/>
        <v>1</v>
      </c>
      <c r="AG852" s="50">
        <f t="shared" si="269"/>
        <v>0</v>
      </c>
    </row>
    <row r="853" spans="2:33" x14ac:dyDescent="0.25">
      <c r="B853" s="13">
        <f t="shared" si="270"/>
        <v>1</v>
      </c>
      <c r="C853" s="13">
        <f>B853+Model!$B$4</f>
        <v>3</v>
      </c>
      <c r="D853" s="13">
        <f t="shared" si="271"/>
        <v>1</v>
      </c>
      <c r="E853" s="13">
        <f t="shared" si="251"/>
        <v>3</v>
      </c>
      <c r="F853" s="14">
        <f>IF(AB853&gt;0, VLOOKUP(B853,Model!$A$40:$B$60, 2), 0)</f>
        <v>0</v>
      </c>
      <c r="G853" s="13">
        <f>IF(AB853&gt;0, VLOOKUP(B853,Model!$A$39:$C$58, 3), 0)</f>
        <v>0</v>
      </c>
      <c r="H853" s="13">
        <f t="shared" si="260"/>
        <v>0</v>
      </c>
      <c r="I853" s="46">
        <f>Model!$B$21*EXP((-0.029*9.81*F853)/(8.31*(273+J853)))</f>
        <v>104500</v>
      </c>
      <c r="J853" s="13">
        <f>IF(Model!$B$31="Summer",  IF(F853&lt;=2000,  Model!$B$20-Model!$B$35*F853/1000,  IF(F853&lt;Model!$B$36,  Model!$B$33-6.5*F853/1000,  Model!$B$38)),     IF(F853&lt;=2000,  Model!$B$20-Model!$B$35*F853/1000,  IF(F853&lt;Model!$B$36,  Model!$B$33-5.4*F853/1000,   Model!$B$38)))</f>
        <v>-20</v>
      </c>
      <c r="K853" s="13">
        <f t="shared" ref="K853:K916" si="273">273+J853</f>
        <v>253</v>
      </c>
      <c r="L853" s="46">
        <f>IF(AB852-AA852*(B853-B852)&gt;0, L852-Y852*(B853-B852)*3600-AD853*Model!$B$16, 0)</f>
        <v>0</v>
      </c>
      <c r="M853" s="57">
        <f t="shared" si="261"/>
        <v>0</v>
      </c>
      <c r="N853" s="57">
        <f>Model!$B$13*I853*K853/(Model!$B$13*I853-L853*287*K853)</f>
        <v>253</v>
      </c>
      <c r="O853" s="57">
        <f t="shared" si="262"/>
        <v>253</v>
      </c>
      <c r="P853" s="57">
        <f t="shared" si="263"/>
        <v>-10</v>
      </c>
      <c r="Q853" s="63">
        <f t="shared" ref="Q853:Q916" si="274">(O853-273)*7.1*0.00001+0.024</f>
        <v>2.2579999999999999E-2</v>
      </c>
      <c r="R853" s="17">
        <f t="shared" ref="R853:R916" si="275">((O853-273)*0.104+13.6)*0.000001</f>
        <v>1.152E-5</v>
      </c>
      <c r="S853" s="46">
        <f>0.37*Model!$B$10*(Q853^2*(N853-K853)*I853/(R853*O853^2))^0.33333*(N853-K853)</f>
        <v>0</v>
      </c>
      <c r="T853" s="51">
        <f>Model!$B$32+(90-Model!$B$6)*SIN(RADIANS(-15*(E853+6)))</f>
        <v>-31.619472402513487</v>
      </c>
      <c r="U853" s="46">
        <f t="shared" si="264"/>
        <v>0</v>
      </c>
      <c r="V853" s="51">
        <f t="shared" si="265"/>
        <v>99999</v>
      </c>
      <c r="W853" s="46">
        <f t="shared" si="266"/>
        <v>0</v>
      </c>
      <c r="X853" s="46">
        <f>0.3*W853*Model!$B$9</f>
        <v>0</v>
      </c>
      <c r="Y853" s="17">
        <f>(S853-X853)/Model!$B$11</f>
        <v>0</v>
      </c>
      <c r="Z853" s="46" t="e">
        <f t="shared" si="267"/>
        <v>#DIV/0!</v>
      </c>
      <c r="AA853" s="57">
        <f>Y853/Model!$B$12*3600</f>
        <v>0</v>
      </c>
      <c r="AB853" s="51">
        <f t="shared" si="272"/>
        <v>0</v>
      </c>
      <c r="AC853" s="51">
        <f t="shared" ref="AC853:AC916" si="276">AC852+AB852-AB853</f>
        <v>1800</v>
      </c>
      <c r="AD853" s="13">
        <f>IF(AE853=0, Model!$B$19, 0 )</f>
        <v>0</v>
      </c>
      <c r="AE853" s="51">
        <f>IF(AE852+AB852-AB853&lt;Model!$B$19*Model!$B$18, AE852+AB852-AB853,  0)</f>
        <v>443.63457370611354</v>
      </c>
      <c r="AF853" s="13">
        <f t="shared" si="268"/>
        <v>1</v>
      </c>
      <c r="AG853" s="50">
        <f t="shared" si="269"/>
        <v>0</v>
      </c>
    </row>
    <row r="854" spans="2:33" x14ac:dyDescent="0.25">
      <c r="B854" s="15">
        <f t="shared" si="270"/>
        <v>1</v>
      </c>
      <c r="C854" s="15">
        <f>B854+Model!$B$4</f>
        <v>3</v>
      </c>
      <c r="D854" s="15">
        <f t="shared" si="271"/>
        <v>1</v>
      </c>
      <c r="E854" s="15">
        <f t="shared" si="251"/>
        <v>3</v>
      </c>
      <c r="F854" s="16">
        <f>IF(AB854&gt;0, VLOOKUP(B854,Model!$A$40:$B$60, 2), 0)</f>
        <v>0</v>
      </c>
      <c r="G854" s="15">
        <f>IF(AB854&gt;0, VLOOKUP(B854,Model!$A$39:$C$58, 3), 0)</f>
        <v>0</v>
      </c>
      <c r="H854" s="15">
        <f t="shared" si="260"/>
        <v>0</v>
      </c>
      <c r="I854" s="45">
        <f>Model!$B$21*EXP((-0.029*9.81*F854)/(8.31*(273+J854)))</f>
        <v>104500</v>
      </c>
      <c r="J854" s="15">
        <f>IF(Model!$B$31="Summer",  IF(F854&lt;=2000,  Model!$B$20-Model!$B$35*F854/1000,  IF(F854&lt;Model!$B$36,  Model!$B$33-6.5*F854/1000,  Model!$B$38)),     IF(F854&lt;=2000,  Model!$B$20-Model!$B$35*F854/1000,  IF(F854&lt;Model!$B$36,  Model!$B$33-5.4*F854/1000,   Model!$B$38)))</f>
        <v>-20</v>
      </c>
      <c r="K854" s="15">
        <f t="shared" si="273"/>
        <v>253</v>
      </c>
      <c r="L854" s="45">
        <f>IF(AB853-AA853*(B854-B853)&gt;0, L853-Y853*(B854-B853)*3600-AD854*Model!$B$16, 0)</f>
        <v>0</v>
      </c>
      <c r="M854" s="56">
        <f t="shared" si="261"/>
        <v>0</v>
      </c>
      <c r="N854" s="56">
        <f>Model!$B$13*I854*K854/(Model!$B$13*I854-L854*287*K854)</f>
        <v>253</v>
      </c>
      <c r="O854" s="56">
        <f t="shared" si="262"/>
        <v>253</v>
      </c>
      <c r="P854" s="56">
        <f t="shared" si="263"/>
        <v>-10</v>
      </c>
      <c r="Q854" s="62">
        <f t="shared" si="274"/>
        <v>2.2579999999999999E-2</v>
      </c>
      <c r="R854" s="33">
        <f t="shared" si="275"/>
        <v>1.152E-5</v>
      </c>
      <c r="S854" s="45">
        <f>0.37*Model!$B$10*(Q854^2*(N854-K854)*I854/(R854*O854^2))^0.33333*(N854-K854)</f>
        <v>0</v>
      </c>
      <c r="T854" s="50">
        <f>Model!$B$32+(90-Model!$B$6)*SIN(RADIANS(-15*(E854+6)))</f>
        <v>-31.619472402513487</v>
      </c>
      <c r="U854" s="45">
        <f t="shared" si="264"/>
        <v>0</v>
      </c>
      <c r="V854" s="50">
        <f t="shared" si="265"/>
        <v>99999</v>
      </c>
      <c r="W854" s="45">
        <f t="shared" si="266"/>
        <v>0</v>
      </c>
      <c r="X854" s="45">
        <f>0.3*W854*Model!$B$9</f>
        <v>0</v>
      </c>
      <c r="Y854" s="33">
        <f>(S854-X854)/Model!$B$11</f>
        <v>0</v>
      </c>
      <c r="Z854" s="45" t="e">
        <f t="shared" si="267"/>
        <v>#DIV/0!</v>
      </c>
      <c r="AA854" s="56">
        <f>Y854/Model!$B$12*3600</f>
        <v>0</v>
      </c>
      <c r="AB854" s="50">
        <f t="shared" si="272"/>
        <v>0</v>
      </c>
      <c r="AC854" s="50">
        <f t="shared" si="276"/>
        <v>1800</v>
      </c>
      <c r="AD854" s="15">
        <f>IF(AE854=0, Model!$B$19, 0 )</f>
        <v>0</v>
      </c>
      <c r="AE854" s="50">
        <f>IF(AE853+AB853-AB854&lt;Model!$B$19*Model!$B$18, AE853+AB853-AB854,  0)</f>
        <v>443.63457370611354</v>
      </c>
      <c r="AF854" s="15">
        <f t="shared" si="268"/>
        <v>1</v>
      </c>
      <c r="AG854" s="50">
        <f t="shared" si="269"/>
        <v>0</v>
      </c>
    </row>
    <row r="855" spans="2:33" x14ac:dyDescent="0.25">
      <c r="B855" s="13">
        <f t="shared" si="270"/>
        <v>1</v>
      </c>
      <c r="C855" s="13">
        <f>B855+Model!$B$4</f>
        <v>3</v>
      </c>
      <c r="D855" s="13">
        <f t="shared" si="271"/>
        <v>1</v>
      </c>
      <c r="E855" s="13">
        <f t="shared" si="251"/>
        <v>3</v>
      </c>
      <c r="F855" s="14">
        <f>IF(AB855&gt;0, VLOOKUP(B855,Model!$A$40:$B$60, 2), 0)</f>
        <v>0</v>
      </c>
      <c r="G855" s="13">
        <f>IF(AB855&gt;0, VLOOKUP(B855,Model!$A$39:$C$58, 3), 0)</f>
        <v>0</v>
      </c>
      <c r="H855" s="13">
        <f t="shared" si="260"/>
        <v>0</v>
      </c>
      <c r="I855" s="46">
        <f>Model!$B$21*EXP((-0.029*9.81*F855)/(8.31*(273+J855)))</f>
        <v>104500</v>
      </c>
      <c r="J855" s="13">
        <f>IF(Model!$B$31="Summer",  IF(F855&lt;=2000,  Model!$B$20-Model!$B$35*F855/1000,  IF(F855&lt;Model!$B$36,  Model!$B$33-6.5*F855/1000,  Model!$B$38)),     IF(F855&lt;=2000,  Model!$B$20-Model!$B$35*F855/1000,  IF(F855&lt;Model!$B$36,  Model!$B$33-5.4*F855/1000,   Model!$B$38)))</f>
        <v>-20</v>
      </c>
      <c r="K855" s="13">
        <f t="shared" si="273"/>
        <v>253</v>
      </c>
      <c r="L855" s="46">
        <f>IF(AB854-AA854*(B855-B854)&gt;0, L854-Y854*(B855-B854)*3600-AD855*Model!$B$16, 0)</f>
        <v>0</v>
      </c>
      <c r="M855" s="57">
        <f t="shared" si="261"/>
        <v>0</v>
      </c>
      <c r="N855" s="57">
        <f>Model!$B$13*I855*K855/(Model!$B$13*I855-L855*287*K855)</f>
        <v>253</v>
      </c>
      <c r="O855" s="57">
        <f t="shared" si="262"/>
        <v>253</v>
      </c>
      <c r="P855" s="57">
        <f t="shared" si="263"/>
        <v>-10</v>
      </c>
      <c r="Q855" s="63">
        <f t="shared" si="274"/>
        <v>2.2579999999999999E-2</v>
      </c>
      <c r="R855" s="17">
        <f t="shared" si="275"/>
        <v>1.152E-5</v>
      </c>
      <c r="S855" s="46">
        <f>0.37*Model!$B$10*(Q855^2*(N855-K855)*I855/(R855*O855^2))^0.33333*(N855-K855)</f>
        <v>0</v>
      </c>
      <c r="T855" s="51">
        <f>Model!$B$32+(90-Model!$B$6)*SIN(RADIANS(-15*(E855+6)))</f>
        <v>-31.619472402513487</v>
      </c>
      <c r="U855" s="46">
        <f t="shared" si="264"/>
        <v>0</v>
      </c>
      <c r="V855" s="51">
        <f t="shared" si="265"/>
        <v>99999</v>
      </c>
      <c r="W855" s="46">
        <f t="shared" si="266"/>
        <v>0</v>
      </c>
      <c r="X855" s="46">
        <f>0.3*W855*Model!$B$9</f>
        <v>0</v>
      </c>
      <c r="Y855" s="17">
        <f>(S855-X855)/Model!$B$11</f>
        <v>0</v>
      </c>
      <c r="Z855" s="46" t="e">
        <f t="shared" si="267"/>
        <v>#DIV/0!</v>
      </c>
      <c r="AA855" s="57">
        <f>Y855/Model!$B$12*3600</f>
        <v>0</v>
      </c>
      <c r="AB855" s="51">
        <f t="shared" si="272"/>
        <v>0</v>
      </c>
      <c r="AC855" s="51">
        <f t="shared" si="276"/>
        <v>1800</v>
      </c>
      <c r="AD855" s="13">
        <f>IF(AE855=0, Model!$B$19, 0 )</f>
        <v>0</v>
      </c>
      <c r="AE855" s="51">
        <f>IF(AE854+AB854-AB855&lt;Model!$B$19*Model!$B$18, AE854+AB854-AB855,  0)</f>
        <v>443.63457370611354</v>
      </c>
      <c r="AF855" s="13">
        <f t="shared" si="268"/>
        <v>1</v>
      </c>
      <c r="AG855" s="50">
        <f t="shared" si="269"/>
        <v>0</v>
      </c>
    </row>
    <row r="856" spans="2:33" x14ac:dyDescent="0.25">
      <c r="B856" s="15">
        <f t="shared" si="270"/>
        <v>1</v>
      </c>
      <c r="C856" s="15">
        <f>B856+Model!$B$4</f>
        <v>3</v>
      </c>
      <c r="D856" s="15">
        <f t="shared" si="271"/>
        <v>1</v>
      </c>
      <c r="E856" s="15">
        <f t="shared" si="251"/>
        <v>3</v>
      </c>
      <c r="F856" s="16">
        <f>IF(AB856&gt;0, VLOOKUP(B856,Model!$A$40:$B$60, 2), 0)</f>
        <v>0</v>
      </c>
      <c r="G856" s="15">
        <f>IF(AB856&gt;0, VLOOKUP(B856,Model!$A$39:$C$58, 3), 0)</f>
        <v>0</v>
      </c>
      <c r="H856" s="15">
        <f t="shared" si="260"/>
        <v>0</v>
      </c>
      <c r="I856" s="45">
        <f>Model!$B$21*EXP((-0.029*9.81*F856)/(8.31*(273+J856)))</f>
        <v>104500</v>
      </c>
      <c r="J856" s="15">
        <f>IF(Model!$B$31="Summer",  IF(F856&lt;=2000,  Model!$B$20-Model!$B$35*F856/1000,  IF(F856&lt;Model!$B$36,  Model!$B$33-6.5*F856/1000,  Model!$B$38)),     IF(F856&lt;=2000,  Model!$B$20-Model!$B$35*F856/1000,  IF(F856&lt;Model!$B$36,  Model!$B$33-5.4*F856/1000,   Model!$B$38)))</f>
        <v>-20</v>
      </c>
      <c r="K856" s="15">
        <f t="shared" si="273"/>
        <v>253</v>
      </c>
      <c r="L856" s="45">
        <f>IF(AB855-AA855*(B856-B855)&gt;0, L855-Y855*(B856-B855)*3600-AD856*Model!$B$16, 0)</f>
        <v>0</v>
      </c>
      <c r="M856" s="56">
        <f t="shared" si="261"/>
        <v>0</v>
      </c>
      <c r="N856" s="56">
        <f>Model!$B$13*I856*K856/(Model!$B$13*I856-L856*287*K856)</f>
        <v>253</v>
      </c>
      <c r="O856" s="56">
        <f t="shared" si="262"/>
        <v>253</v>
      </c>
      <c r="P856" s="56">
        <f t="shared" si="263"/>
        <v>-10</v>
      </c>
      <c r="Q856" s="62">
        <f t="shared" si="274"/>
        <v>2.2579999999999999E-2</v>
      </c>
      <c r="R856" s="33">
        <f t="shared" si="275"/>
        <v>1.152E-5</v>
      </c>
      <c r="S856" s="45">
        <f>0.37*Model!$B$10*(Q856^2*(N856-K856)*I856/(R856*O856^2))^0.33333*(N856-K856)</f>
        <v>0</v>
      </c>
      <c r="T856" s="50">
        <f>Model!$B$32+(90-Model!$B$6)*SIN(RADIANS(-15*(E856+6)))</f>
        <v>-31.619472402513487</v>
      </c>
      <c r="U856" s="45">
        <f t="shared" si="264"/>
        <v>0</v>
      </c>
      <c r="V856" s="50">
        <f t="shared" si="265"/>
        <v>99999</v>
      </c>
      <c r="W856" s="45">
        <f t="shared" si="266"/>
        <v>0</v>
      </c>
      <c r="X856" s="45">
        <f>0.3*W856*Model!$B$9</f>
        <v>0</v>
      </c>
      <c r="Y856" s="33">
        <f>(S856-X856)/Model!$B$11</f>
        <v>0</v>
      </c>
      <c r="Z856" s="45" t="e">
        <f t="shared" si="267"/>
        <v>#DIV/0!</v>
      </c>
      <c r="AA856" s="56">
        <f>Y856/Model!$B$12*3600</f>
        <v>0</v>
      </c>
      <c r="AB856" s="50">
        <f t="shared" si="272"/>
        <v>0</v>
      </c>
      <c r="AC856" s="50">
        <f t="shared" si="276"/>
        <v>1800</v>
      </c>
      <c r="AD856" s="15">
        <f>IF(AE856=0, Model!$B$19, 0 )</f>
        <v>0</v>
      </c>
      <c r="AE856" s="50">
        <f>IF(AE855+AB855-AB856&lt;Model!$B$19*Model!$B$18, AE855+AB855-AB856,  0)</f>
        <v>443.63457370611354</v>
      </c>
      <c r="AF856" s="15">
        <f t="shared" si="268"/>
        <v>1</v>
      </c>
      <c r="AG856" s="50">
        <f t="shared" si="269"/>
        <v>0</v>
      </c>
    </row>
    <row r="857" spans="2:33" x14ac:dyDescent="0.25">
      <c r="B857" s="13">
        <f t="shared" si="270"/>
        <v>1</v>
      </c>
      <c r="C857" s="13">
        <f>B857+Model!$B$4</f>
        <v>3</v>
      </c>
      <c r="D857" s="13">
        <f t="shared" si="271"/>
        <v>1</v>
      </c>
      <c r="E857" s="13">
        <f t="shared" si="251"/>
        <v>3</v>
      </c>
      <c r="F857" s="14">
        <f>IF(AB857&gt;0, VLOOKUP(B857,Model!$A$40:$B$60, 2), 0)</f>
        <v>0</v>
      </c>
      <c r="G857" s="13">
        <f>IF(AB857&gt;0, VLOOKUP(B857,Model!$A$39:$C$58, 3), 0)</f>
        <v>0</v>
      </c>
      <c r="H857" s="13">
        <f t="shared" si="260"/>
        <v>0</v>
      </c>
      <c r="I857" s="46">
        <f>Model!$B$21*EXP((-0.029*9.81*F857)/(8.31*(273+J857)))</f>
        <v>104500</v>
      </c>
      <c r="J857" s="13">
        <f>IF(Model!$B$31="Summer",  IF(F857&lt;=2000,  Model!$B$20-Model!$B$35*F857/1000,  IF(F857&lt;Model!$B$36,  Model!$B$33-6.5*F857/1000,  Model!$B$38)),     IF(F857&lt;=2000,  Model!$B$20-Model!$B$35*F857/1000,  IF(F857&lt;Model!$B$36,  Model!$B$33-5.4*F857/1000,   Model!$B$38)))</f>
        <v>-20</v>
      </c>
      <c r="K857" s="13">
        <f t="shared" si="273"/>
        <v>253</v>
      </c>
      <c r="L857" s="46">
        <f>IF(AB856-AA856*(B857-B856)&gt;0, L856-Y856*(B857-B856)*3600-AD857*Model!$B$16, 0)</f>
        <v>0</v>
      </c>
      <c r="M857" s="57">
        <f t="shared" si="261"/>
        <v>0</v>
      </c>
      <c r="N857" s="57">
        <f>Model!$B$13*I857*K857/(Model!$B$13*I857-L857*287*K857)</f>
        <v>253</v>
      </c>
      <c r="O857" s="57">
        <f t="shared" si="262"/>
        <v>253</v>
      </c>
      <c r="P857" s="57">
        <f t="shared" si="263"/>
        <v>-10</v>
      </c>
      <c r="Q857" s="63">
        <f t="shared" si="274"/>
        <v>2.2579999999999999E-2</v>
      </c>
      <c r="R857" s="17">
        <f t="shared" si="275"/>
        <v>1.152E-5</v>
      </c>
      <c r="S857" s="46">
        <f>0.37*Model!$B$10*(Q857^2*(N857-K857)*I857/(R857*O857^2))^0.33333*(N857-K857)</f>
        <v>0</v>
      </c>
      <c r="T857" s="51">
        <f>Model!$B$32+(90-Model!$B$6)*SIN(RADIANS(-15*(E857+6)))</f>
        <v>-31.619472402513487</v>
      </c>
      <c r="U857" s="46">
        <f t="shared" si="264"/>
        <v>0</v>
      </c>
      <c r="V857" s="51">
        <f t="shared" si="265"/>
        <v>99999</v>
      </c>
      <c r="W857" s="46">
        <f t="shared" si="266"/>
        <v>0</v>
      </c>
      <c r="X857" s="46">
        <f>0.3*W857*Model!$B$9</f>
        <v>0</v>
      </c>
      <c r="Y857" s="17">
        <f>(S857-X857)/Model!$B$11</f>
        <v>0</v>
      </c>
      <c r="Z857" s="46" t="e">
        <f t="shared" si="267"/>
        <v>#DIV/0!</v>
      </c>
      <c r="AA857" s="57">
        <f>Y857/Model!$B$12*3600</f>
        <v>0</v>
      </c>
      <c r="AB857" s="51">
        <f t="shared" si="272"/>
        <v>0</v>
      </c>
      <c r="AC857" s="51">
        <f t="shared" si="276"/>
        <v>1800</v>
      </c>
      <c r="AD857" s="13">
        <f>IF(AE857=0, Model!$B$19, 0 )</f>
        <v>0</v>
      </c>
      <c r="AE857" s="51">
        <f>IF(AE856+AB856-AB857&lt;Model!$B$19*Model!$B$18, AE856+AB856-AB857,  0)</f>
        <v>443.63457370611354</v>
      </c>
      <c r="AF857" s="13">
        <f t="shared" si="268"/>
        <v>1</v>
      </c>
      <c r="AG857" s="50">
        <f t="shared" si="269"/>
        <v>0</v>
      </c>
    </row>
    <row r="858" spans="2:33" x14ac:dyDescent="0.25">
      <c r="B858" s="15">
        <f t="shared" si="270"/>
        <v>1</v>
      </c>
      <c r="C858" s="15">
        <f>B858+Model!$B$4</f>
        <v>3</v>
      </c>
      <c r="D858" s="15">
        <f t="shared" si="271"/>
        <v>1</v>
      </c>
      <c r="E858" s="15">
        <f t="shared" si="251"/>
        <v>3</v>
      </c>
      <c r="F858" s="16">
        <f>IF(AB858&gt;0, VLOOKUP(B858,Model!$A$40:$B$60, 2), 0)</f>
        <v>0</v>
      </c>
      <c r="G858" s="15">
        <f>IF(AB858&gt;0, VLOOKUP(B858,Model!$A$39:$C$58, 3), 0)</f>
        <v>0</v>
      </c>
      <c r="H858" s="15">
        <f t="shared" si="260"/>
        <v>0</v>
      </c>
      <c r="I858" s="45">
        <f>Model!$B$21*EXP((-0.029*9.81*F858)/(8.31*(273+J858)))</f>
        <v>104500</v>
      </c>
      <c r="J858" s="15">
        <f>IF(Model!$B$31="Summer",  IF(F858&lt;=2000,  Model!$B$20-Model!$B$35*F858/1000,  IF(F858&lt;Model!$B$36,  Model!$B$33-6.5*F858/1000,  Model!$B$38)),     IF(F858&lt;=2000,  Model!$B$20-Model!$B$35*F858/1000,  IF(F858&lt;Model!$B$36,  Model!$B$33-5.4*F858/1000,   Model!$B$38)))</f>
        <v>-20</v>
      </c>
      <c r="K858" s="15">
        <f t="shared" si="273"/>
        <v>253</v>
      </c>
      <c r="L858" s="45">
        <f>IF(AB857-AA857*(B858-B857)&gt;0, L857-Y857*(B858-B857)*3600-AD858*Model!$B$16, 0)</f>
        <v>0</v>
      </c>
      <c r="M858" s="56">
        <f t="shared" si="261"/>
        <v>0</v>
      </c>
      <c r="N858" s="56">
        <f>Model!$B$13*I858*K858/(Model!$B$13*I858-L858*287*K858)</f>
        <v>253</v>
      </c>
      <c r="O858" s="56">
        <f t="shared" si="262"/>
        <v>253</v>
      </c>
      <c r="P858" s="56">
        <f t="shared" si="263"/>
        <v>-10</v>
      </c>
      <c r="Q858" s="62">
        <f t="shared" si="274"/>
        <v>2.2579999999999999E-2</v>
      </c>
      <c r="R858" s="33">
        <f t="shared" si="275"/>
        <v>1.152E-5</v>
      </c>
      <c r="S858" s="45">
        <f>0.37*Model!$B$10*(Q858^2*(N858-K858)*I858/(R858*O858^2))^0.33333*(N858-K858)</f>
        <v>0</v>
      </c>
      <c r="T858" s="50">
        <f>Model!$B$32+(90-Model!$B$6)*SIN(RADIANS(-15*(E858+6)))</f>
        <v>-31.619472402513487</v>
      </c>
      <c r="U858" s="45">
        <f t="shared" si="264"/>
        <v>0</v>
      </c>
      <c r="V858" s="50">
        <f t="shared" si="265"/>
        <v>99999</v>
      </c>
      <c r="W858" s="45">
        <f t="shared" si="266"/>
        <v>0</v>
      </c>
      <c r="X858" s="45">
        <f>0.3*W858*Model!$B$9</f>
        <v>0</v>
      </c>
      <c r="Y858" s="33">
        <f>(S858-X858)/Model!$B$11</f>
        <v>0</v>
      </c>
      <c r="Z858" s="45" t="e">
        <f t="shared" si="267"/>
        <v>#DIV/0!</v>
      </c>
      <c r="AA858" s="56">
        <f>Y858/Model!$B$12*3600</f>
        <v>0</v>
      </c>
      <c r="AB858" s="50">
        <f t="shared" si="272"/>
        <v>0</v>
      </c>
      <c r="AC858" s="50">
        <f t="shared" si="276"/>
        <v>1800</v>
      </c>
      <c r="AD858" s="15">
        <f>IF(AE858=0, Model!$B$19, 0 )</f>
        <v>0</v>
      </c>
      <c r="AE858" s="50">
        <f>IF(AE857+AB857-AB858&lt;Model!$B$19*Model!$B$18, AE857+AB857-AB858,  0)</f>
        <v>443.63457370611354</v>
      </c>
      <c r="AF858" s="15">
        <f t="shared" si="268"/>
        <v>1</v>
      </c>
      <c r="AG858" s="50">
        <f t="shared" si="269"/>
        <v>0</v>
      </c>
    </row>
    <row r="859" spans="2:33" x14ac:dyDescent="0.25">
      <c r="B859" s="13">
        <f t="shared" si="270"/>
        <v>1</v>
      </c>
      <c r="C859" s="13">
        <f>B859+Model!$B$4</f>
        <v>3</v>
      </c>
      <c r="D859" s="13">
        <f t="shared" si="271"/>
        <v>1</v>
      </c>
      <c r="E859" s="13">
        <f t="shared" si="251"/>
        <v>3</v>
      </c>
      <c r="F859" s="14">
        <f>IF(AB859&gt;0, VLOOKUP(B859,Model!$A$40:$B$60, 2), 0)</f>
        <v>0</v>
      </c>
      <c r="G859" s="13">
        <f>IF(AB859&gt;0, VLOOKUP(B859,Model!$A$39:$C$58, 3), 0)</f>
        <v>0</v>
      </c>
      <c r="H859" s="13">
        <f t="shared" si="260"/>
        <v>0</v>
      </c>
      <c r="I859" s="46">
        <f>Model!$B$21*EXP((-0.029*9.81*F859)/(8.31*(273+J859)))</f>
        <v>104500</v>
      </c>
      <c r="J859" s="13">
        <f>IF(Model!$B$31="Summer",  IF(F859&lt;=2000,  Model!$B$20-Model!$B$35*F859/1000,  IF(F859&lt;Model!$B$36,  Model!$B$33-6.5*F859/1000,  Model!$B$38)),     IF(F859&lt;=2000,  Model!$B$20-Model!$B$35*F859/1000,  IF(F859&lt;Model!$B$36,  Model!$B$33-5.4*F859/1000,   Model!$B$38)))</f>
        <v>-20</v>
      </c>
      <c r="K859" s="13">
        <f t="shared" si="273"/>
        <v>253</v>
      </c>
      <c r="L859" s="46">
        <f>IF(AB858-AA858*(B859-B858)&gt;0, L858-Y858*(B859-B858)*3600-AD859*Model!$B$16, 0)</f>
        <v>0</v>
      </c>
      <c r="M859" s="57">
        <f t="shared" si="261"/>
        <v>0</v>
      </c>
      <c r="N859" s="57">
        <f>Model!$B$13*I859*K859/(Model!$B$13*I859-L859*287*K859)</f>
        <v>253</v>
      </c>
      <c r="O859" s="57">
        <f t="shared" si="262"/>
        <v>253</v>
      </c>
      <c r="P859" s="57">
        <f t="shared" si="263"/>
        <v>-10</v>
      </c>
      <c r="Q859" s="63">
        <f t="shared" si="274"/>
        <v>2.2579999999999999E-2</v>
      </c>
      <c r="R859" s="17">
        <f t="shared" si="275"/>
        <v>1.152E-5</v>
      </c>
      <c r="S859" s="46">
        <f>0.37*Model!$B$10*(Q859^2*(N859-K859)*I859/(R859*O859^2))^0.33333*(N859-K859)</f>
        <v>0</v>
      </c>
      <c r="T859" s="51">
        <f>Model!$B$32+(90-Model!$B$6)*SIN(RADIANS(-15*(E859+6)))</f>
        <v>-31.619472402513487</v>
      </c>
      <c r="U859" s="46">
        <f t="shared" si="264"/>
        <v>0</v>
      </c>
      <c r="V859" s="51">
        <f t="shared" si="265"/>
        <v>99999</v>
      </c>
      <c r="W859" s="46">
        <f t="shared" si="266"/>
        <v>0</v>
      </c>
      <c r="X859" s="46">
        <f>0.3*W859*Model!$B$9</f>
        <v>0</v>
      </c>
      <c r="Y859" s="17">
        <f>(S859-X859)/Model!$B$11</f>
        <v>0</v>
      </c>
      <c r="Z859" s="46" t="e">
        <f t="shared" si="267"/>
        <v>#DIV/0!</v>
      </c>
      <c r="AA859" s="57">
        <f>Y859/Model!$B$12*3600</f>
        <v>0</v>
      </c>
      <c r="AB859" s="51">
        <f t="shared" si="272"/>
        <v>0</v>
      </c>
      <c r="AC859" s="51">
        <f t="shared" si="276"/>
        <v>1800</v>
      </c>
      <c r="AD859" s="13">
        <f>IF(AE859=0, Model!$B$19, 0 )</f>
        <v>0</v>
      </c>
      <c r="AE859" s="51">
        <f>IF(AE858+AB858-AB859&lt;Model!$B$19*Model!$B$18, AE858+AB858-AB859,  0)</f>
        <v>443.63457370611354</v>
      </c>
      <c r="AF859" s="13">
        <f t="shared" si="268"/>
        <v>1</v>
      </c>
      <c r="AG859" s="50">
        <f t="shared" si="269"/>
        <v>0</v>
      </c>
    </row>
    <row r="860" spans="2:33" x14ac:dyDescent="0.25">
      <c r="B860" s="15">
        <f t="shared" si="270"/>
        <v>1</v>
      </c>
      <c r="C860" s="15">
        <f>B860+Model!$B$4</f>
        <v>3</v>
      </c>
      <c r="D860" s="15">
        <f t="shared" si="271"/>
        <v>1</v>
      </c>
      <c r="E860" s="15">
        <f t="shared" si="251"/>
        <v>3</v>
      </c>
      <c r="F860" s="16">
        <f>IF(AB860&gt;0, VLOOKUP(B860,Model!$A$40:$B$60, 2), 0)</f>
        <v>0</v>
      </c>
      <c r="G860" s="15">
        <f>IF(AB860&gt;0, VLOOKUP(B860,Model!$A$39:$C$58, 3), 0)</f>
        <v>0</v>
      </c>
      <c r="H860" s="15">
        <f t="shared" si="260"/>
        <v>0</v>
      </c>
      <c r="I860" s="45">
        <f>Model!$B$21*EXP((-0.029*9.81*F860)/(8.31*(273+J860)))</f>
        <v>104500</v>
      </c>
      <c r="J860" s="15">
        <f>IF(Model!$B$31="Summer",  IF(F860&lt;=2000,  Model!$B$20-Model!$B$35*F860/1000,  IF(F860&lt;Model!$B$36,  Model!$B$33-6.5*F860/1000,  Model!$B$38)),     IF(F860&lt;=2000,  Model!$B$20-Model!$B$35*F860/1000,  IF(F860&lt;Model!$B$36,  Model!$B$33-5.4*F860/1000,   Model!$B$38)))</f>
        <v>-20</v>
      </c>
      <c r="K860" s="15">
        <f t="shared" si="273"/>
        <v>253</v>
      </c>
      <c r="L860" s="45">
        <f>IF(AB859-AA859*(B860-B859)&gt;0, L859-Y859*(B860-B859)*3600-AD860*Model!$B$16, 0)</f>
        <v>0</v>
      </c>
      <c r="M860" s="56">
        <f t="shared" si="261"/>
        <v>0</v>
      </c>
      <c r="N860" s="56">
        <f>Model!$B$13*I860*K860/(Model!$B$13*I860-L860*287*K860)</f>
        <v>253</v>
      </c>
      <c r="O860" s="56">
        <f t="shared" si="262"/>
        <v>253</v>
      </c>
      <c r="P860" s="56">
        <f t="shared" si="263"/>
        <v>-10</v>
      </c>
      <c r="Q860" s="62">
        <f t="shared" si="274"/>
        <v>2.2579999999999999E-2</v>
      </c>
      <c r="R860" s="33">
        <f t="shared" si="275"/>
        <v>1.152E-5</v>
      </c>
      <c r="S860" s="45">
        <f>0.37*Model!$B$10*(Q860^2*(N860-K860)*I860/(R860*O860^2))^0.33333*(N860-K860)</f>
        <v>0</v>
      </c>
      <c r="T860" s="50">
        <f>Model!$B$32+(90-Model!$B$6)*SIN(RADIANS(-15*(E860+6)))</f>
        <v>-31.619472402513487</v>
      </c>
      <c r="U860" s="45">
        <f t="shared" si="264"/>
        <v>0</v>
      </c>
      <c r="V860" s="50">
        <f t="shared" si="265"/>
        <v>99999</v>
      </c>
      <c r="W860" s="45">
        <f t="shared" si="266"/>
        <v>0</v>
      </c>
      <c r="X860" s="45">
        <f>0.3*W860*Model!$B$9</f>
        <v>0</v>
      </c>
      <c r="Y860" s="33">
        <f>(S860-X860)/Model!$B$11</f>
        <v>0</v>
      </c>
      <c r="Z860" s="45" t="e">
        <f t="shared" si="267"/>
        <v>#DIV/0!</v>
      </c>
      <c r="AA860" s="56">
        <f>Y860/Model!$B$12*3600</f>
        <v>0</v>
      </c>
      <c r="AB860" s="50">
        <f t="shared" si="272"/>
        <v>0</v>
      </c>
      <c r="AC860" s="50">
        <f t="shared" si="276"/>
        <v>1800</v>
      </c>
      <c r="AD860" s="15">
        <f>IF(AE860=0, Model!$B$19, 0 )</f>
        <v>0</v>
      </c>
      <c r="AE860" s="50">
        <f>IF(AE859+AB859-AB860&lt;Model!$B$19*Model!$B$18, AE859+AB859-AB860,  0)</f>
        <v>443.63457370611354</v>
      </c>
      <c r="AF860" s="15">
        <f t="shared" si="268"/>
        <v>1</v>
      </c>
      <c r="AG860" s="50">
        <f t="shared" si="269"/>
        <v>0</v>
      </c>
    </row>
    <row r="861" spans="2:33" x14ac:dyDescent="0.25">
      <c r="B861" s="13">
        <f t="shared" si="270"/>
        <v>1</v>
      </c>
      <c r="C861" s="13">
        <f>B861+Model!$B$4</f>
        <v>3</v>
      </c>
      <c r="D861" s="13">
        <f t="shared" si="271"/>
        <v>1</v>
      </c>
      <c r="E861" s="13">
        <f t="shared" si="251"/>
        <v>3</v>
      </c>
      <c r="F861" s="14">
        <f>IF(AB861&gt;0, VLOOKUP(B861,Model!$A$40:$B$60, 2), 0)</f>
        <v>0</v>
      </c>
      <c r="G861" s="13">
        <f>IF(AB861&gt;0, VLOOKUP(B861,Model!$A$39:$C$58, 3), 0)</f>
        <v>0</v>
      </c>
      <c r="H861" s="13">
        <f t="shared" si="260"/>
        <v>0</v>
      </c>
      <c r="I861" s="46">
        <f>Model!$B$21*EXP((-0.029*9.81*F861)/(8.31*(273+J861)))</f>
        <v>104500</v>
      </c>
      <c r="J861" s="13">
        <f>IF(Model!$B$31="Summer",  IF(F861&lt;=2000,  Model!$B$20-Model!$B$35*F861/1000,  IF(F861&lt;Model!$B$36,  Model!$B$33-6.5*F861/1000,  Model!$B$38)),     IF(F861&lt;=2000,  Model!$B$20-Model!$B$35*F861/1000,  IF(F861&lt;Model!$B$36,  Model!$B$33-5.4*F861/1000,   Model!$B$38)))</f>
        <v>-20</v>
      </c>
      <c r="K861" s="13">
        <f t="shared" si="273"/>
        <v>253</v>
      </c>
      <c r="L861" s="46">
        <f>IF(AB860-AA860*(B861-B860)&gt;0, L860-Y860*(B861-B860)*3600-AD861*Model!$B$16, 0)</f>
        <v>0</v>
      </c>
      <c r="M861" s="57">
        <f t="shared" si="261"/>
        <v>0</v>
      </c>
      <c r="N861" s="57">
        <f>Model!$B$13*I861*K861/(Model!$B$13*I861-L861*287*K861)</f>
        <v>253</v>
      </c>
      <c r="O861" s="57">
        <f t="shared" si="262"/>
        <v>253</v>
      </c>
      <c r="P861" s="57">
        <f t="shared" si="263"/>
        <v>-10</v>
      </c>
      <c r="Q861" s="63">
        <f t="shared" si="274"/>
        <v>2.2579999999999999E-2</v>
      </c>
      <c r="R861" s="17">
        <f t="shared" si="275"/>
        <v>1.152E-5</v>
      </c>
      <c r="S861" s="46">
        <f>0.37*Model!$B$10*(Q861^2*(N861-K861)*I861/(R861*O861^2))^0.33333*(N861-K861)</f>
        <v>0</v>
      </c>
      <c r="T861" s="51">
        <f>Model!$B$32+(90-Model!$B$6)*SIN(RADIANS(-15*(E861+6)))</f>
        <v>-31.619472402513487</v>
      </c>
      <c r="U861" s="46">
        <f t="shared" si="264"/>
        <v>0</v>
      </c>
      <c r="V861" s="51">
        <f t="shared" si="265"/>
        <v>99999</v>
      </c>
      <c r="W861" s="46">
        <f t="shared" si="266"/>
        <v>0</v>
      </c>
      <c r="X861" s="46">
        <f>0.3*W861*Model!$B$9</f>
        <v>0</v>
      </c>
      <c r="Y861" s="17">
        <f>(S861-X861)/Model!$B$11</f>
        <v>0</v>
      </c>
      <c r="Z861" s="46" t="e">
        <f t="shared" si="267"/>
        <v>#DIV/0!</v>
      </c>
      <c r="AA861" s="57">
        <f>Y861/Model!$B$12*3600</f>
        <v>0</v>
      </c>
      <c r="AB861" s="51">
        <f t="shared" si="272"/>
        <v>0</v>
      </c>
      <c r="AC861" s="51">
        <f t="shared" si="276"/>
        <v>1800</v>
      </c>
      <c r="AD861" s="13">
        <f>IF(AE861=0, Model!$B$19, 0 )</f>
        <v>0</v>
      </c>
      <c r="AE861" s="51">
        <f>IF(AE860+AB860-AB861&lt;Model!$B$19*Model!$B$18, AE860+AB860-AB861,  0)</f>
        <v>443.63457370611354</v>
      </c>
      <c r="AF861" s="13">
        <f t="shared" si="268"/>
        <v>1</v>
      </c>
      <c r="AG861" s="50">
        <f t="shared" si="269"/>
        <v>0</v>
      </c>
    </row>
    <row r="862" spans="2:33" x14ac:dyDescent="0.25">
      <c r="B862" s="15">
        <f t="shared" si="270"/>
        <v>1</v>
      </c>
      <c r="C862" s="15">
        <f>B862+Model!$B$4</f>
        <v>3</v>
      </c>
      <c r="D862" s="15">
        <f t="shared" si="271"/>
        <v>1</v>
      </c>
      <c r="E862" s="15">
        <f t="shared" si="251"/>
        <v>3</v>
      </c>
      <c r="F862" s="16">
        <f>IF(AB862&gt;0, VLOOKUP(B862,Model!$A$40:$B$60, 2), 0)</f>
        <v>0</v>
      </c>
      <c r="G862" s="15">
        <f>IF(AB862&gt;0, VLOOKUP(B862,Model!$A$39:$C$58, 3), 0)</f>
        <v>0</v>
      </c>
      <c r="H862" s="15">
        <f t="shared" si="260"/>
        <v>0</v>
      </c>
      <c r="I862" s="45">
        <f>Model!$B$21*EXP((-0.029*9.81*F862)/(8.31*(273+J862)))</f>
        <v>104500</v>
      </c>
      <c r="J862" s="15">
        <f>IF(Model!$B$31="Summer",  IF(F862&lt;=2000,  Model!$B$20-Model!$B$35*F862/1000,  IF(F862&lt;Model!$B$36,  Model!$B$33-6.5*F862/1000,  Model!$B$38)),     IF(F862&lt;=2000,  Model!$B$20-Model!$B$35*F862/1000,  IF(F862&lt;Model!$B$36,  Model!$B$33-5.4*F862/1000,   Model!$B$38)))</f>
        <v>-20</v>
      </c>
      <c r="K862" s="15">
        <f t="shared" si="273"/>
        <v>253</v>
      </c>
      <c r="L862" s="45">
        <f>IF(AB861-AA861*(B862-B861)&gt;0, L861-Y861*(B862-B861)*3600-AD862*Model!$B$16, 0)</f>
        <v>0</v>
      </c>
      <c r="M862" s="56">
        <f t="shared" si="261"/>
        <v>0</v>
      </c>
      <c r="N862" s="56">
        <f>Model!$B$13*I862*K862/(Model!$B$13*I862-L862*287*K862)</f>
        <v>253</v>
      </c>
      <c r="O862" s="56">
        <f t="shared" si="262"/>
        <v>253</v>
      </c>
      <c r="P862" s="56">
        <f t="shared" si="263"/>
        <v>-10</v>
      </c>
      <c r="Q862" s="62">
        <f t="shared" si="274"/>
        <v>2.2579999999999999E-2</v>
      </c>
      <c r="R862" s="33">
        <f t="shared" si="275"/>
        <v>1.152E-5</v>
      </c>
      <c r="S862" s="45">
        <f>0.37*Model!$B$10*(Q862^2*(N862-K862)*I862/(R862*O862^2))^0.33333*(N862-K862)</f>
        <v>0</v>
      </c>
      <c r="T862" s="50">
        <f>Model!$B$32+(90-Model!$B$6)*SIN(RADIANS(-15*(E862+6)))</f>
        <v>-31.619472402513487</v>
      </c>
      <c r="U862" s="45">
        <f t="shared" si="264"/>
        <v>0</v>
      </c>
      <c r="V862" s="50">
        <f t="shared" si="265"/>
        <v>99999</v>
      </c>
      <c r="W862" s="45">
        <f t="shared" si="266"/>
        <v>0</v>
      </c>
      <c r="X862" s="45">
        <f>0.3*W862*Model!$B$9</f>
        <v>0</v>
      </c>
      <c r="Y862" s="33">
        <f>(S862-X862)/Model!$B$11</f>
        <v>0</v>
      </c>
      <c r="Z862" s="45" t="e">
        <f t="shared" si="267"/>
        <v>#DIV/0!</v>
      </c>
      <c r="AA862" s="56">
        <f>Y862/Model!$B$12*3600</f>
        <v>0</v>
      </c>
      <c r="AB862" s="50">
        <f t="shared" si="272"/>
        <v>0</v>
      </c>
      <c r="AC862" s="50">
        <f t="shared" si="276"/>
        <v>1800</v>
      </c>
      <c r="AD862" s="15">
        <f>IF(AE862=0, Model!$B$19, 0 )</f>
        <v>0</v>
      </c>
      <c r="AE862" s="50">
        <f>IF(AE861+AB861-AB862&lt;Model!$B$19*Model!$B$18, AE861+AB861-AB862,  0)</f>
        <v>443.63457370611354</v>
      </c>
      <c r="AF862" s="15">
        <f t="shared" si="268"/>
        <v>1</v>
      </c>
      <c r="AG862" s="50">
        <f t="shared" si="269"/>
        <v>0</v>
      </c>
    </row>
    <row r="863" spans="2:33" x14ac:dyDescent="0.25">
      <c r="B863" s="13">
        <f t="shared" si="270"/>
        <v>1</v>
      </c>
      <c r="C863" s="13">
        <f>B863+Model!$B$4</f>
        <v>3</v>
      </c>
      <c r="D863" s="13">
        <f t="shared" si="271"/>
        <v>1</v>
      </c>
      <c r="E863" s="13">
        <f t="shared" si="251"/>
        <v>3</v>
      </c>
      <c r="F863" s="14">
        <f>IF(AB863&gt;0, VLOOKUP(B863,Model!$A$40:$B$60, 2), 0)</f>
        <v>0</v>
      </c>
      <c r="G863" s="13">
        <f>IF(AB863&gt;0, VLOOKUP(B863,Model!$A$39:$C$58, 3), 0)</f>
        <v>0</v>
      </c>
      <c r="H863" s="13">
        <f t="shared" si="260"/>
        <v>0</v>
      </c>
      <c r="I863" s="46">
        <f>Model!$B$21*EXP((-0.029*9.81*F863)/(8.31*(273+J863)))</f>
        <v>104500</v>
      </c>
      <c r="J863" s="13">
        <f>IF(Model!$B$31="Summer",  IF(F863&lt;=2000,  Model!$B$20-Model!$B$35*F863/1000,  IF(F863&lt;Model!$B$36,  Model!$B$33-6.5*F863/1000,  Model!$B$38)),     IF(F863&lt;=2000,  Model!$B$20-Model!$B$35*F863/1000,  IF(F863&lt;Model!$B$36,  Model!$B$33-5.4*F863/1000,   Model!$B$38)))</f>
        <v>-20</v>
      </c>
      <c r="K863" s="13">
        <f t="shared" si="273"/>
        <v>253</v>
      </c>
      <c r="L863" s="46">
        <f>IF(AB862-AA862*(B863-B862)&gt;0, L862-Y862*(B863-B862)*3600-AD863*Model!$B$16, 0)</f>
        <v>0</v>
      </c>
      <c r="M863" s="57">
        <f t="shared" si="261"/>
        <v>0</v>
      </c>
      <c r="N863" s="57">
        <f>Model!$B$13*I863*K863/(Model!$B$13*I863-L863*287*K863)</f>
        <v>253</v>
      </c>
      <c r="O863" s="57">
        <f t="shared" si="262"/>
        <v>253</v>
      </c>
      <c r="P863" s="57">
        <f t="shared" si="263"/>
        <v>-10</v>
      </c>
      <c r="Q863" s="63">
        <f t="shared" si="274"/>
        <v>2.2579999999999999E-2</v>
      </c>
      <c r="R863" s="17">
        <f t="shared" si="275"/>
        <v>1.152E-5</v>
      </c>
      <c r="S863" s="46">
        <f>0.37*Model!$B$10*(Q863^2*(N863-K863)*I863/(R863*O863^2))^0.33333*(N863-K863)</f>
        <v>0</v>
      </c>
      <c r="T863" s="51">
        <f>Model!$B$32+(90-Model!$B$6)*SIN(RADIANS(-15*(E863+6)))</f>
        <v>-31.619472402513487</v>
      </c>
      <c r="U863" s="46">
        <f t="shared" si="264"/>
        <v>0</v>
      </c>
      <c r="V863" s="51">
        <f t="shared" si="265"/>
        <v>99999</v>
      </c>
      <c r="W863" s="46">
        <f t="shared" si="266"/>
        <v>0</v>
      </c>
      <c r="X863" s="46">
        <f>0.3*W863*Model!$B$9</f>
        <v>0</v>
      </c>
      <c r="Y863" s="17">
        <f>(S863-X863)/Model!$B$11</f>
        <v>0</v>
      </c>
      <c r="Z863" s="46" t="e">
        <f t="shared" si="267"/>
        <v>#DIV/0!</v>
      </c>
      <c r="AA863" s="57">
        <f>Y863/Model!$B$12*3600</f>
        <v>0</v>
      </c>
      <c r="AB863" s="51">
        <f t="shared" si="272"/>
        <v>0</v>
      </c>
      <c r="AC863" s="51">
        <f t="shared" si="276"/>
        <v>1800</v>
      </c>
      <c r="AD863" s="13">
        <f>IF(AE863=0, Model!$B$19, 0 )</f>
        <v>0</v>
      </c>
      <c r="AE863" s="51">
        <f>IF(AE862+AB862-AB863&lt;Model!$B$19*Model!$B$18, AE862+AB862-AB863,  0)</f>
        <v>443.63457370611354</v>
      </c>
      <c r="AF863" s="13">
        <f t="shared" si="268"/>
        <v>1</v>
      </c>
      <c r="AG863" s="50">
        <f t="shared" si="269"/>
        <v>0</v>
      </c>
    </row>
    <row r="864" spans="2:33" x14ac:dyDescent="0.25">
      <c r="B864" s="15">
        <f t="shared" si="270"/>
        <v>1</v>
      </c>
      <c r="C864" s="15">
        <f>B864+Model!$B$4</f>
        <v>3</v>
      </c>
      <c r="D864" s="15">
        <f t="shared" si="271"/>
        <v>1</v>
      </c>
      <c r="E864" s="15">
        <f t="shared" si="251"/>
        <v>3</v>
      </c>
      <c r="F864" s="16">
        <f>IF(AB864&gt;0, VLOOKUP(B864,Model!$A$40:$B$60, 2), 0)</f>
        <v>0</v>
      </c>
      <c r="G864" s="15">
        <f>IF(AB864&gt;0, VLOOKUP(B864,Model!$A$39:$C$58, 3), 0)</f>
        <v>0</v>
      </c>
      <c r="H864" s="15">
        <f t="shared" si="260"/>
        <v>0</v>
      </c>
      <c r="I864" s="45">
        <f>Model!$B$21*EXP((-0.029*9.81*F864)/(8.31*(273+J864)))</f>
        <v>104500</v>
      </c>
      <c r="J864" s="15">
        <f>IF(Model!$B$31="Summer",  IF(F864&lt;=2000,  Model!$B$20-Model!$B$35*F864/1000,  IF(F864&lt;Model!$B$36,  Model!$B$33-6.5*F864/1000,  Model!$B$38)),     IF(F864&lt;=2000,  Model!$B$20-Model!$B$35*F864/1000,  IF(F864&lt;Model!$B$36,  Model!$B$33-5.4*F864/1000,   Model!$B$38)))</f>
        <v>-20</v>
      </c>
      <c r="K864" s="15">
        <f t="shared" si="273"/>
        <v>253</v>
      </c>
      <c r="L864" s="45">
        <f>IF(AB863-AA863*(B864-B863)&gt;0, L863-Y863*(B864-B863)*3600-AD864*Model!$B$16, 0)</f>
        <v>0</v>
      </c>
      <c r="M864" s="56">
        <f t="shared" si="261"/>
        <v>0</v>
      </c>
      <c r="N864" s="56">
        <f>Model!$B$13*I864*K864/(Model!$B$13*I864-L864*287*K864)</f>
        <v>253</v>
      </c>
      <c r="O864" s="56">
        <f t="shared" si="262"/>
        <v>253</v>
      </c>
      <c r="P864" s="56">
        <f t="shared" si="263"/>
        <v>-10</v>
      </c>
      <c r="Q864" s="62">
        <f t="shared" si="274"/>
        <v>2.2579999999999999E-2</v>
      </c>
      <c r="R864" s="33">
        <f t="shared" si="275"/>
        <v>1.152E-5</v>
      </c>
      <c r="S864" s="45">
        <f>0.37*Model!$B$10*(Q864^2*(N864-K864)*I864/(R864*O864^2))^0.33333*(N864-K864)</f>
        <v>0</v>
      </c>
      <c r="T864" s="50">
        <f>Model!$B$32+(90-Model!$B$6)*SIN(RADIANS(-15*(E864+6)))</f>
        <v>-31.619472402513487</v>
      </c>
      <c r="U864" s="45">
        <f t="shared" si="264"/>
        <v>0</v>
      </c>
      <c r="V864" s="50">
        <f t="shared" si="265"/>
        <v>99999</v>
      </c>
      <c r="W864" s="45">
        <f t="shared" si="266"/>
        <v>0</v>
      </c>
      <c r="X864" s="45">
        <f>0.3*W864*Model!$B$9</f>
        <v>0</v>
      </c>
      <c r="Y864" s="33">
        <f>(S864-X864)/Model!$B$11</f>
        <v>0</v>
      </c>
      <c r="Z864" s="45" t="e">
        <f t="shared" si="267"/>
        <v>#DIV/0!</v>
      </c>
      <c r="AA864" s="56">
        <f>Y864/Model!$B$12*3600</f>
        <v>0</v>
      </c>
      <c r="AB864" s="50">
        <f t="shared" si="272"/>
        <v>0</v>
      </c>
      <c r="AC864" s="50">
        <f t="shared" si="276"/>
        <v>1800</v>
      </c>
      <c r="AD864" s="15">
        <f>IF(AE864=0, Model!$B$19, 0 )</f>
        <v>0</v>
      </c>
      <c r="AE864" s="50">
        <f>IF(AE863+AB863-AB864&lt;Model!$B$19*Model!$B$18, AE863+AB863-AB864,  0)</f>
        <v>443.63457370611354</v>
      </c>
      <c r="AF864" s="15">
        <f t="shared" si="268"/>
        <v>1</v>
      </c>
      <c r="AG864" s="50">
        <f t="shared" si="269"/>
        <v>0</v>
      </c>
    </row>
    <row r="865" spans="2:33" x14ac:dyDescent="0.25">
      <c r="B865" s="13">
        <f t="shared" si="270"/>
        <v>1</v>
      </c>
      <c r="C865" s="13">
        <f>B865+Model!$B$4</f>
        <v>3</v>
      </c>
      <c r="D865" s="13">
        <f t="shared" si="271"/>
        <v>1</v>
      </c>
      <c r="E865" s="13">
        <f t="shared" si="251"/>
        <v>3</v>
      </c>
      <c r="F865" s="14">
        <f>IF(AB865&gt;0, VLOOKUP(B865,Model!$A$40:$B$60, 2), 0)</f>
        <v>0</v>
      </c>
      <c r="G865" s="13">
        <f>IF(AB865&gt;0, VLOOKUP(B865,Model!$A$39:$C$58, 3), 0)</f>
        <v>0</v>
      </c>
      <c r="H865" s="13">
        <f t="shared" si="260"/>
        <v>0</v>
      </c>
      <c r="I865" s="46">
        <f>Model!$B$21*EXP((-0.029*9.81*F865)/(8.31*(273+J865)))</f>
        <v>104500</v>
      </c>
      <c r="J865" s="13">
        <f>IF(Model!$B$31="Summer",  IF(F865&lt;=2000,  Model!$B$20-Model!$B$35*F865/1000,  IF(F865&lt;Model!$B$36,  Model!$B$33-6.5*F865/1000,  Model!$B$38)),     IF(F865&lt;=2000,  Model!$B$20-Model!$B$35*F865/1000,  IF(F865&lt;Model!$B$36,  Model!$B$33-5.4*F865/1000,   Model!$B$38)))</f>
        <v>-20</v>
      </c>
      <c r="K865" s="13">
        <f t="shared" si="273"/>
        <v>253</v>
      </c>
      <c r="L865" s="46">
        <f>IF(AB864-AA864*(B865-B864)&gt;0, L864-Y864*(B865-B864)*3600-AD865*Model!$B$16, 0)</f>
        <v>0</v>
      </c>
      <c r="M865" s="57">
        <f t="shared" si="261"/>
        <v>0</v>
      </c>
      <c r="N865" s="57">
        <f>Model!$B$13*I865*K865/(Model!$B$13*I865-L865*287*K865)</f>
        <v>253</v>
      </c>
      <c r="O865" s="57">
        <f t="shared" si="262"/>
        <v>253</v>
      </c>
      <c r="P865" s="57">
        <f t="shared" si="263"/>
        <v>-10</v>
      </c>
      <c r="Q865" s="63">
        <f t="shared" si="274"/>
        <v>2.2579999999999999E-2</v>
      </c>
      <c r="R865" s="17">
        <f t="shared" si="275"/>
        <v>1.152E-5</v>
      </c>
      <c r="S865" s="46">
        <f>0.37*Model!$B$10*(Q865^2*(N865-K865)*I865/(R865*O865^2))^0.33333*(N865-K865)</f>
        <v>0</v>
      </c>
      <c r="T865" s="51">
        <f>Model!$B$32+(90-Model!$B$6)*SIN(RADIANS(-15*(E865+6)))</f>
        <v>-31.619472402513487</v>
      </c>
      <c r="U865" s="46">
        <f t="shared" si="264"/>
        <v>0</v>
      </c>
      <c r="V865" s="51">
        <f t="shared" si="265"/>
        <v>99999</v>
      </c>
      <c r="W865" s="46">
        <f t="shared" si="266"/>
        <v>0</v>
      </c>
      <c r="X865" s="46">
        <f>0.3*W865*Model!$B$9</f>
        <v>0</v>
      </c>
      <c r="Y865" s="17">
        <f>(S865-X865)/Model!$B$11</f>
        <v>0</v>
      </c>
      <c r="Z865" s="46" t="e">
        <f t="shared" si="267"/>
        <v>#DIV/0!</v>
      </c>
      <c r="AA865" s="57">
        <f>Y865/Model!$B$12*3600</f>
        <v>0</v>
      </c>
      <c r="AB865" s="51">
        <f t="shared" si="272"/>
        <v>0</v>
      </c>
      <c r="AC865" s="51">
        <f t="shared" si="276"/>
        <v>1800</v>
      </c>
      <c r="AD865" s="13">
        <f>IF(AE865=0, Model!$B$19, 0 )</f>
        <v>0</v>
      </c>
      <c r="AE865" s="51">
        <f>IF(AE864+AB864-AB865&lt;Model!$B$19*Model!$B$18, AE864+AB864-AB865,  0)</f>
        <v>443.63457370611354</v>
      </c>
      <c r="AF865" s="13">
        <f t="shared" si="268"/>
        <v>1</v>
      </c>
      <c r="AG865" s="50">
        <f t="shared" si="269"/>
        <v>0</v>
      </c>
    </row>
    <row r="866" spans="2:33" x14ac:dyDescent="0.25">
      <c r="B866" s="15">
        <f t="shared" si="270"/>
        <v>1</v>
      </c>
      <c r="C866" s="15">
        <f>B866+Model!$B$4</f>
        <v>3</v>
      </c>
      <c r="D866" s="15">
        <f t="shared" si="271"/>
        <v>1</v>
      </c>
      <c r="E866" s="15">
        <f t="shared" si="251"/>
        <v>3</v>
      </c>
      <c r="F866" s="16">
        <f>IF(AB866&gt;0, VLOOKUP(B866,Model!$A$40:$B$60, 2), 0)</f>
        <v>0</v>
      </c>
      <c r="G866" s="15">
        <f>IF(AB866&gt;0, VLOOKUP(B866,Model!$A$39:$C$58, 3), 0)</f>
        <v>0</v>
      </c>
      <c r="H866" s="15">
        <f t="shared" si="260"/>
        <v>0</v>
      </c>
      <c r="I866" s="45">
        <f>Model!$B$21*EXP((-0.029*9.81*F866)/(8.31*(273+J866)))</f>
        <v>104500</v>
      </c>
      <c r="J866" s="15">
        <f>IF(Model!$B$31="Summer",  IF(F866&lt;=2000,  Model!$B$20-Model!$B$35*F866/1000,  IF(F866&lt;Model!$B$36,  Model!$B$33-6.5*F866/1000,  Model!$B$38)),     IF(F866&lt;=2000,  Model!$B$20-Model!$B$35*F866/1000,  IF(F866&lt;Model!$B$36,  Model!$B$33-5.4*F866/1000,   Model!$B$38)))</f>
        <v>-20</v>
      </c>
      <c r="K866" s="15">
        <f t="shared" si="273"/>
        <v>253</v>
      </c>
      <c r="L866" s="45">
        <f>IF(AB865-AA865*(B866-B865)&gt;0, L865-Y865*(B866-B865)*3600-AD866*Model!$B$16, 0)</f>
        <v>0</v>
      </c>
      <c r="M866" s="56">
        <f t="shared" si="261"/>
        <v>0</v>
      </c>
      <c r="N866" s="56">
        <f>Model!$B$13*I866*K866/(Model!$B$13*I866-L866*287*K866)</f>
        <v>253</v>
      </c>
      <c r="O866" s="56">
        <f t="shared" si="262"/>
        <v>253</v>
      </c>
      <c r="P866" s="56">
        <f t="shared" si="263"/>
        <v>-10</v>
      </c>
      <c r="Q866" s="62">
        <f t="shared" si="274"/>
        <v>2.2579999999999999E-2</v>
      </c>
      <c r="R866" s="33">
        <f t="shared" si="275"/>
        <v>1.152E-5</v>
      </c>
      <c r="S866" s="45">
        <f>0.37*Model!$B$10*(Q866^2*(N866-K866)*I866/(R866*O866^2))^0.33333*(N866-K866)</f>
        <v>0</v>
      </c>
      <c r="T866" s="50">
        <f>Model!$B$32+(90-Model!$B$6)*SIN(RADIANS(-15*(E866+6)))</f>
        <v>-31.619472402513487</v>
      </c>
      <c r="U866" s="45">
        <f t="shared" si="264"/>
        <v>0</v>
      </c>
      <c r="V866" s="50">
        <f t="shared" si="265"/>
        <v>99999</v>
      </c>
      <c r="W866" s="45">
        <f t="shared" si="266"/>
        <v>0</v>
      </c>
      <c r="X866" s="45">
        <f>0.3*W866*Model!$B$9</f>
        <v>0</v>
      </c>
      <c r="Y866" s="33">
        <f>(S866-X866)/Model!$B$11</f>
        <v>0</v>
      </c>
      <c r="Z866" s="45" t="e">
        <f t="shared" si="267"/>
        <v>#DIV/0!</v>
      </c>
      <c r="AA866" s="56">
        <f>Y866/Model!$B$12*3600</f>
        <v>0</v>
      </c>
      <c r="AB866" s="50">
        <f t="shared" si="272"/>
        <v>0</v>
      </c>
      <c r="AC866" s="50">
        <f t="shared" si="276"/>
        <v>1800</v>
      </c>
      <c r="AD866" s="15">
        <f>IF(AE866=0, Model!$B$19, 0 )</f>
        <v>0</v>
      </c>
      <c r="AE866" s="50">
        <f>IF(AE865+AB865-AB866&lt;Model!$B$19*Model!$B$18, AE865+AB865-AB866,  0)</f>
        <v>443.63457370611354</v>
      </c>
      <c r="AF866" s="15">
        <f t="shared" si="268"/>
        <v>1</v>
      </c>
      <c r="AG866" s="50">
        <f t="shared" si="269"/>
        <v>0</v>
      </c>
    </row>
    <row r="867" spans="2:33" x14ac:dyDescent="0.25">
      <c r="B867" s="13">
        <f t="shared" si="270"/>
        <v>1</v>
      </c>
      <c r="C867" s="13">
        <f>B867+Model!$B$4</f>
        <v>3</v>
      </c>
      <c r="D867" s="13">
        <f t="shared" si="271"/>
        <v>1</v>
      </c>
      <c r="E867" s="13">
        <f t="shared" ref="E867:E930" si="277">C867-24*(D867-1)</f>
        <v>3</v>
      </c>
      <c r="F867" s="14">
        <f>IF(AB867&gt;0, VLOOKUP(B867,Model!$A$40:$B$60, 2), 0)</f>
        <v>0</v>
      </c>
      <c r="G867" s="13">
        <f>IF(AB867&gt;0, VLOOKUP(B867,Model!$A$39:$C$58, 3), 0)</f>
        <v>0</v>
      </c>
      <c r="H867" s="13">
        <f t="shared" si="260"/>
        <v>0</v>
      </c>
      <c r="I867" s="46">
        <f>Model!$B$21*EXP((-0.029*9.81*F867)/(8.31*(273+J867)))</f>
        <v>104500</v>
      </c>
      <c r="J867" s="13">
        <f>IF(Model!$B$31="Summer",  IF(F867&lt;=2000,  Model!$B$20-Model!$B$35*F867/1000,  IF(F867&lt;Model!$B$36,  Model!$B$33-6.5*F867/1000,  Model!$B$38)),     IF(F867&lt;=2000,  Model!$B$20-Model!$B$35*F867/1000,  IF(F867&lt;Model!$B$36,  Model!$B$33-5.4*F867/1000,   Model!$B$38)))</f>
        <v>-20</v>
      </c>
      <c r="K867" s="13">
        <f t="shared" si="273"/>
        <v>253</v>
      </c>
      <c r="L867" s="46">
        <f>IF(AB866-AA866*(B867-B866)&gt;0, L866-Y866*(B867-B866)*3600-AD867*Model!$B$16, 0)</f>
        <v>0</v>
      </c>
      <c r="M867" s="57">
        <f t="shared" si="261"/>
        <v>0</v>
      </c>
      <c r="N867" s="57">
        <f>Model!$B$13*I867*K867/(Model!$B$13*I867-L867*287*K867)</f>
        <v>253</v>
      </c>
      <c r="O867" s="57">
        <f t="shared" si="262"/>
        <v>253</v>
      </c>
      <c r="P867" s="57">
        <f t="shared" si="263"/>
        <v>-10</v>
      </c>
      <c r="Q867" s="63">
        <f t="shared" si="274"/>
        <v>2.2579999999999999E-2</v>
      </c>
      <c r="R867" s="17">
        <f t="shared" si="275"/>
        <v>1.152E-5</v>
      </c>
      <c r="S867" s="46">
        <f>0.37*Model!$B$10*(Q867^2*(N867-K867)*I867/(R867*O867^2))^0.33333*(N867-K867)</f>
        <v>0</v>
      </c>
      <c r="T867" s="51">
        <f>Model!$B$32+(90-Model!$B$6)*SIN(RADIANS(-15*(E867+6)))</f>
        <v>-31.619472402513487</v>
      </c>
      <c r="U867" s="46">
        <f t="shared" si="264"/>
        <v>0</v>
      </c>
      <c r="V867" s="51">
        <f t="shared" si="265"/>
        <v>99999</v>
      </c>
      <c r="W867" s="46">
        <f t="shared" si="266"/>
        <v>0</v>
      </c>
      <c r="X867" s="46">
        <f>0.3*W867*Model!$B$9</f>
        <v>0</v>
      </c>
      <c r="Y867" s="17">
        <f>(S867-X867)/Model!$B$11</f>
        <v>0</v>
      </c>
      <c r="Z867" s="46" t="e">
        <f t="shared" si="267"/>
        <v>#DIV/0!</v>
      </c>
      <c r="AA867" s="57">
        <f>Y867/Model!$B$12*3600</f>
        <v>0</v>
      </c>
      <c r="AB867" s="51">
        <f t="shared" si="272"/>
        <v>0</v>
      </c>
      <c r="AC867" s="51">
        <f t="shared" si="276"/>
        <v>1800</v>
      </c>
      <c r="AD867" s="13">
        <f>IF(AE867=0, Model!$B$19, 0 )</f>
        <v>0</v>
      </c>
      <c r="AE867" s="51">
        <f>IF(AE866+AB866-AB867&lt;Model!$B$19*Model!$B$18, AE866+AB866-AB867,  0)</f>
        <v>443.63457370611354</v>
      </c>
      <c r="AF867" s="13">
        <f t="shared" si="268"/>
        <v>1</v>
      </c>
      <c r="AG867" s="50">
        <f t="shared" si="269"/>
        <v>0</v>
      </c>
    </row>
    <row r="868" spans="2:33" x14ac:dyDescent="0.25">
      <c r="B868" s="15">
        <f t="shared" si="270"/>
        <v>1</v>
      </c>
      <c r="C868" s="15">
        <f>B868+Model!$B$4</f>
        <v>3</v>
      </c>
      <c r="D868" s="15">
        <f t="shared" si="271"/>
        <v>1</v>
      </c>
      <c r="E868" s="15">
        <f t="shared" si="277"/>
        <v>3</v>
      </c>
      <c r="F868" s="16">
        <f>IF(AB868&gt;0, VLOOKUP(B868,Model!$A$40:$B$60, 2), 0)</f>
        <v>0</v>
      </c>
      <c r="G868" s="15">
        <f>IF(AB868&gt;0, VLOOKUP(B868,Model!$A$39:$C$58, 3), 0)</f>
        <v>0</v>
      </c>
      <c r="H868" s="15">
        <f t="shared" si="260"/>
        <v>0</v>
      </c>
      <c r="I868" s="45">
        <f>Model!$B$21*EXP((-0.029*9.81*F868)/(8.31*(273+J868)))</f>
        <v>104500</v>
      </c>
      <c r="J868" s="15">
        <f>IF(Model!$B$31="Summer",  IF(F868&lt;=2000,  Model!$B$20-Model!$B$35*F868/1000,  IF(F868&lt;Model!$B$36,  Model!$B$33-6.5*F868/1000,  Model!$B$38)),     IF(F868&lt;=2000,  Model!$B$20-Model!$B$35*F868/1000,  IF(F868&lt;Model!$B$36,  Model!$B$33-5.4*F868/1000,   Model!$B$38)))</f>
        <v>-20</v>
      </c>
      <c r="K868" s="15">
        <f t="shared" si="273"/>
        <v>253</v>
      </c>
      <c r="L868" s="45">
        <f>IF(AB867-AA867*(B868-B867)&gt;0, L867-Y867*(B868-B867)*3600-AD868*Model!$B$16, 0)</f>
        <v>0</v>
      </c>
      <c r="M868" s="56">
        <f t="shared" si="261"/>
        <v>0</v>
      </c>
      <c r="N868" s="56">
        <f>Model!$B$13*I868*K868/(Model!$B$13*I868-L868*287*K868)</f>
        <v>253</v>
      </c>
      <c r="O868" s="56">
        <f t="shared" si="262"/>
        <v>253</v>
      </c>
      <c r="P868" s="56">
        <f t="shared" si="263"/>
        <v>-10</v>
      </c>
      <c r="Q868" s="62">
        <f t="shared" si="274"/>
        <v>2.2579999999999999E-2</v>
      </c>
      <c r="R868" s="33">
        <f t="shared" si="275"/>
        <v>1.152E-5</v>
      </c>
      <c r="S868" s="45">
        <f>0.37*Model!$B$10*(Q868^2*(N868-K868)*I868/(R868*O868^2))^0.33333*(N868-K868)</f>
        <v>0</v>
      </c>
      <c r="T868" s="50">
        <f>Model!$B$32+(90-Model!$B$6)*SIN(RADIANS(-15*(E868+6)))</f>
        <v>-31.619472402513487</v>
      </c>
      <c r="U868" s="45">
        <f t="shared" si="264"/>
        <v>0</v>
      </c>
      <c r="V868" s="50">
        <f t="shared" si="265"/>
        <v>99999</v>
      </c>
      <c r="W868" s="45">
        <f t="shared" si="266"/>
        <v>0</v>
      </c>
      <c r="X868" s="45">
        <f>0.3*W868*Model!$B$9</f>
        <v>0</v>
      </c>
      <c r="Y868" s="33">
        <f>(S868-X868)/Model!$B$11</f>
        <v>0</v>
      </c>
      <c r="Z868" s="45" t="e">
        <f t="shared" si="267"/>
        <v>#DIV/0!</v>
      </c>
      <c r="AA868" s="56">
        <f>Y868/Model!$B$12*3600</f>
        <v>0</v>
      </c>
      <c r="AB868" s="50">
        <f t="shared" si="272"/>
        <v>0</v>
      </c>
      <c r="AC868" s="50">
        <f t="shared" si="276"/>
        <v>1800</v>
      </c>
      <c r="AD868" s="15">
        <f>IF(AE868=0, Model!$B$19, 0 )</f>
        <v>0</v>
      </c>
      <c r="AE868" s="50">
        <f>IF(AE867+AB867-AB868&lt;Model!$B$19*Model!$B$18, AE867+AB867-AB868,  0)</f>
        <v>443.63457370611354</v>
      </c>
      <c r="AF868" s="15">
        <f t="shared" si="268"/>
        <v>1</v>
      </c>
      <c r="AG868" s="50">
        <f t="shared" si="269"/>
        <v>0</v>
      </c>
    </row>
    <row r="869" spans="2:33" x14ac:dyDescent="0.25">
      <c r="B869" s="13">
        <f t="shared" si="270"/>
        <v>1</v>
      </c>
      <c r="C869" s="13">
        <f>B869+Model!$B$4</f>
        <v>3</v>
      </c>
      <c r="D869" s="13">
        <f t="shared" si="271"/>
        <v>1</v>
      </c>
      <c r="E869" s="13">
        <f t="shared" si="277"/>
        <v>3</v>
      </c>
      <c r="F869" s="14">
        <f>IF(AB869&gt;0, VLOOKUP(B869,Model!$A$40:$B$60, 2), 0)</f>
        <v>0</v>
      </c>
      <c r="G869" s="13">
        <f>IF(AB869&gt;0, VLOOKUP(B869,Model!$A$39:$C$58, 3), 0)</f>
        <v>0</v>
      </c>
      <c r="H869" s="13">
        <f t="shared" si="260"/>
        <v>0</v>
      </c>
      <c r="I869" s="46">
        <f>Model!$B$21*EXP((-0.029*9.81*F869)/(8.31*(273+J869)))</f>
        <v>104500</v>
      </c>
      <c r="J869" s="13">
        <f>IF(Model!$B$31="Summer",  IF(F869&lt;=2000,  Model!$B$20-Model!$B$35*F869/1000,  IF(F869&lt;Model!$B$36,  Model!$B$33-6.5*F869/1000,  Model!$B$38)),     IF(F869&lt;=2000,  Model!$B$20-Model!$B$35*F869/1000,  IF(F869&lt;Model!$B$36,  Model!$B$33-5.4*F869/1000,   Model!$B$38)))</f>
        <v>-20</v>
      </c>
      <c r="K869" s="13">
        <f t="shared" si="273"/>
        <v>253</v>
      </c>
      <c r="L869" s="46">
        <f>IF(AB868-AA868*(B869-B868)&gt;0, L868-Y868*(B869-B868)*3600-AD869*Model!$B$16, 0)</f>
        <v>0</v>
      </c>
      <c r="M869" s="57">
        <f t="shared" si="261"/>
        <v>0</v>
      </c>
      <c r="N869" s="57">
        <f>Model!$B$13*I869*K869/(Model!$B$13*I869-L869*287*K869)</f>
        <v>253</v>
      </c>
      <c r="O869" s="57">
        <f t="shared" si="262"/>
        <v>253</v>
      </c>
      <c r="P869" s="57">
        <f t="shared" si="263"/>
        <v>-10</v>
      </c>
      <c r="Q869" s="63">
        <f t="shared" si="274"/>
        <v>2.2579999999999999E-2</v>
      </c>
      <c r="R869" s="17">
        <f t="shared" si="275"/>
        <v>1.152E-5</v>
      </c>
      <c r="S869" s="46">
        <f>0.37*Model!$B$10*(Q869^2*(N869-K869)*I869/(R869*O869^2))^0.33333*(N869-K869)</f>
        <v>0</v>
      </c>
      <c r="T869" s="51">
        <f>Model!$B$32+(90-Model!$B$6)*SIN(RADIANS(-15*(E869+6)))</f>
        <v>-31.619472402513487</v>
      </c>
      <c r="U869" s="46">
        <f t="shared" si="264"/>
        <v>0</v>
      </c>
      <c r="V869" s="51">
        <f t="shared" si="265"/>
        <v>99999</v>
      </c>
      <c r="W869" s="46">
        <f t="shared" si="266"/>
        <v>0</v>
      </c>
      <c r="X869" s="46">
        <f>0.3*W869*Model!$B$9</f>
        <v>0</v>
      </c>
      <c r="Y869" s="17">
        <f>(S869-X869)/Model!$B$11</f>
        <v>0</v>
      </c>
      <c r="Z869" s="46" t="e">
        <f t="shared" si="267"/>
        <v>#DIV/0!</v>
      </c>
      <c r="AA869" s="57">
        <f>Y869/Model!$B$12*3600</f>
        <v>0</v>
      </c>
      <c r="AB869" s="51">
        <f t="shared" si="272"/>
        <v>0</v>
      </c>
      <c r="AC869" s="51">
        <f t="shared" si="276"/>
        <v>1800</v>
      </c>
      <c r="AD869" s="13">
        <f>IF(AE869=0, Model!$B$19, 0 )</f>
        <v>0</v>
      </c>
      <c r="AE869" s="51">
        <f>IF(AE868+AB868-AB869&lt;Model!$B$19*Model!$B$18, AE868+AB868-AB869,  0)</f>
        <v>443.63457370611354</v>
      </c>
      <c r="AF869" s="13">
        <f t="shared" si="268"/>
        <v>1</v>
      </c>
      <c r="AG869" s="50">
        <f t="shared" si="269"/>
        <v>0</v>
      </c>
    </row>
    <row r="870" spans="2:33" x14ac:dyDescent="0.25">
      <c r="B870" s="15">
        <f t="shared" si="270"/>
        <v>1</v>
      </c>
      <c r="C870" s="15">
        <f>B870+Model!$B$4</f>
        <v>3</v>
      </c>
      <c r="D870" s="15">
        <f t="shared" si="271"/>
        <v>1</v>
      </c>
      <c r="E870" s="15">
        <f t="shared" si="277"/>
        <v>3</v>
      </c>
      <c r="F870" s="16">
        <f>IF(AB870&gt;0, VLOOKUP(B870,Model!$A$40:$B$60, 2), 0)</f>
        <v>0</v>
      </c>
      <c r="G870" s="15">
        <f>IF(AB870&gt;0, VLOOKUP(B870,Model!$A$39:$C$58, 3), 0)</f>
        <v>0</v>
      </c>
      <c r="H870" s="15">
        <f t="shared" si="260"/>
        <v>0</v>
      </c>
      <c r="I870" s="45">
        <f>Model!$B$21*EXP((-0.029*9.81*F870)/(8.31*(273+J870)))</f>
        <v>104500</v>
      </c>
      <c r="J870" s="15">
        <f>IF(Model!$B$31="Summer",  IF(F870&lt;=2000,  Model!$B$20-Model!$B$35*F870/1000,  IF(F870&lt;Model!$B$36,  Model!$B$33-6.5*F870/1000,  Model!$B$38)),     IF(F870&lt;=2000,  Model!$B$20-Model!$B$35*F870/1000,  IF(F870&lt;Model!$B$36,  Model!$B$33-5.4*F870/1000,   Model!$B$38)))</f>
        <v>-20</v>
      </c>
      <c r="K870" s="15">
        <f t="shared" si="273"/>
        <v>253</v>
      </c>
      <c r="L870" s="45">
        <f>IF(AB869-AA869*(B870-B869)&gt;0, L869-Y869*(B870-B869)*3600-AD870*Model!$B$16, 0)</f>
        <v>0</v>
      </c>
      <c r="M870" s="56">
        <f t="shared" si="261"/>
        <v>0</v>
      </c>
      <c r="N870" s="56">
        <f>Model!$B$13*I870*K870/(Model!$B$13*I870-L870*287*K870)</f>
        <v>253</v>
      </c>
      <c r="O870" s="56">
        <f t="shared" si="262"/>
        <v>253</v>
      </c>
      <c r="P870" s="56">
        <f t="shared" si="263"/>
        <v>-10</v>
      </c>
      <c r="Q870" s="62">
        <f t="shared" si="274"/>
        <v>2.2579999999999999E-2</v>
      </c>
      <c r="R870" s="33">
        <f t="shared" si="275"/>
        <v>1.152E-5</v>
      </c>
      <c r="S870" s="45">
        <f>0.37*Model!$B$10*(Q870^2*(N870-K870)*I870/(R870*O870^2))^0.33333*(N870-K870)</f>
        <v>0</v>
      </c>
      <c r="T870" s="50">
        <f>Model!$B$32+(90-Model!$B$6)*SIN(RADIANS(-15*(E870+6)))</f>
        <v>-31.619472402513487</v>
      </c>
      <c r="U870" s="45">
        <f t="shared" si="264"/>
        <v>0</v>
      </c>
      <c r="V870" s="50">
        <f t="shared" si="265"/>
        <v>99999</v>
      </c>
      <c r="W870" s="45">
        <f t="shared" si="266"/>
        <v>0</v>
      </c>
      <c r="X870" s="45">
        <f>0.3*W870*Model!$B$9</f>
        <v>0</v>
      </c>
      <c r="Y870" s="33">
        <f>(S870-X870)/Model!$B$11</f>
        <v>0</v>
      </c>
      <c r="Z870" s="45" t="e">
        <f t="shared" si="267"/>
        <v>#DIV/0!</v>
      </c>
      <c r="AA870" s="56">
        <f>Y870/Model!$B$12*3600</f>
        <v>0</v>
      </c>
      <c r="AB870" s="50">
        <f t="shared" si="272"/>
        <v>0</v>
      </c>
      <c r="AC870" s="50">
        <f t="shared" si="276"/>
        <v>1800</v>
      </c>
      <c r="AD870" s="15">
        <f>IF(AE870=0, Model!$B$19, 0 )</f>
        <v>0</v>
      </c>
      <c r="AE870" s="50">
        <f>IF(AE869+AB869-AB870&lt;Model!$B$19*Model!$B$18, AE869+AB869-AB870,  0)</f>
        <v>443.63457370611354</v>
      </c>
      <c r="AF870" s="15">
        <f t="shared" si="268"/>
        <v>1</v>
      </c>
      <c r="AG870" s="50">
        <f t="shared" si="269"/>
        <v>0</v>
      </c>
    </row>
    <row r="871" spans="2:33" x14ac:dyDescent="0.25">
      <c r="B871" s="13">
        <f t="shared" si="270"/>
        <v>1</v>
      </c>
      <c r="C871" s="13">
        <f>B871+Model!$B$4</f>
        <v>3</v>
      </c>
      <c r="D871" s="13">
        <f t="shared" si="271"/>
        <v>1</v>
      </c>
      <c r="E871" s="13">
        <f t="shared" si="277"/>
        <v>3</v>
      </c>
      <c r="F871" s="14">
        <f>IF(AB871&gt;0, VLOOKUP(B871,Model!$A$40:$B$60, 2), 0)</f>
        <v>0</v>
      </c>
      <c r="G871" s="13">
        <f>IF(AB871&gt;0, VLOOKUP(B871,Model!$A$39:$C$58, 3), 0)</f>
        <v>0</v>
      </c>
      <c r="H871" s="13">
        <f t="shared" si="260"/>
        <v>0</v>
      </c>
      <c r="I871" s="46">
        <f>Model!$B$21*EXP((-0.029*9.81*F871)/(8.31*(273+J871)))</f>
        <v>104500</v>
      </c>
      <c r="J871" s="13">
        <f>IF(Model!$B$31="Summer",  IF(F871&lt;=2000,  Model!$B$20-Model!$B$35*F871/1000,  IF(F871&lt;Model!$B$36,  Model!$B$33-6.5*F871/1000,  Model!$B$38)),     IF(F871&lt;=2000,  Model!$B$20-Model!$B$35*F871/1000,  IF(F871&lt;Model!$B$36,  Model!$B$33-5.4*F871/1000,   Model!$B$38)))</f>
        <v>-20</v>
      </c>
      <c r="K871" s="13">
        <f t="shared" si="273"/>
        <v>253</v>
      </c>
      <c r="L871" s="46">
        <f>IF(AB870-AA870*(B871-B870)&gt;0, L870-Y870*(B871-B870)*3600-AD871*Model!$B$16, 0)</f>
        <v>0</v>
      </c>
      <c r="M871" s="57">
        <f t="shared" si="261"/>
        <v>0</v>
      </c>
      <c r="N871" s="57">
        <f>Model!$B$13*I871*K871/(Model!$B$13*I871-L871*287*K871)</f>
        <v>253</v>
      </c>
      <c r="O871" s="57">
        <f t="shared" si="262"/>
        <v>253</v>
      </c>
      <c r="P871" s="57">
        <f t="shared" si="263"/>
        <v>-10</v>
      </c>
      <c r="Q871" s="63">
        <f t="shared" si="274"/>
        <v>2.2579999999999999E-2</v>
      </c>
      <c r="R871" s="17">
        <f t="shared" si="275"/>
        <v>1.152E-5</v>
      </c>
      <c r="S871" s="46">
        <f>0.37*Model!$B$10*(Q871^2*(N871-K871)*I871/(R871*O871^2))^0.33333*(N871-K871)</f>
        <v>0</v>
      </c>
      <c r="T871" s="51">
        <f>Model!$B$32+(90-Model!$B$6)*SIN(RADIANS(-15*(E871+6)))</f>
        <v>-31.619472402513487</v>
      </c>
      <c r="U871" s="46">
        <f t="shared" si="264"/>
        <v>0</v>
      </c>
      <c r="V871" s="51">
        <f t="shared" si="265"/>
        <v>99999</v>
      </c>
      <c r="W871" s="46">
        <f t="shared" si="266"/>
        <v>0</v>
      </c>
      <c r="X871" s="46">
        <f>0.3*W871*Model!$B$9</f>
        <v>0</v>
      </c>
      <c r="Y871" s="17">
        <f>(S871-X871)/Model!$B$11</f>
        <v>0</v>
      </c>
      <c r="Z871" s="46" t="e">
        <f t="shared" si="267"/>
        <v>#DIV/0!</v>
      </c>
      <c r="AA871" s="57">
        <f>Y871/Model!$B$12*3600</f>
        <v>0</v>
      </c>
      <c r="AB871" s="51">
        <f t="shared" si="272"/>
        <v>0</v>
      </c>
      <c r="AC871" s="51">
        <f t="shared" si="276"/>
        <v>1800</v>
      </c>
      <c r="AD871" s="13">
        <f>IF(AE871=0, Model!$B$19, 0 )</f>
        <v>0</v>
      </c>
      <c r="AE871" s="51">
        <f>IF(AE870+AB870-AB871&lt;Model!$B$19*Model!$B$18, AE870+AB870-AB871,  0)</f>
        <v>443.63457370611354</v>
      </c>
      <c r="AF871" s="13">
        <f t="shared" si="268"/>
        <v>1</v>
      </c>
      <c r="AG871" s="50">
        <f t="shared" si="269"/>
        <v>0</v>
      </c>
    </row>
    <row r="872" spans="2:33" x14ac:dyDescent="0.25">
      <c r="B872" s="15">
        <f t="shared" si="270"/>
        <v>1</v>
      </c>
      <c r="C872" s="15">
        <f>B872+Model!$B$4</f>
        <v>3</v>
      </c>
      <c r="D872" s="15">
        <f t="shared" si="271"/>
        <v>1</v>
      </c>
      <c r="E872" s="15">
        <f t="shared" si="277"/>
        <v>3</v>
      </c>
      <c r="F872" s="16">
        <f>IF(AB872&gt;0, VLOOKUP(B872,Model!$A$40:$B$60, 2), 0)</f>
        <v>0</v>
      </c>
      <c r="G872" s="15">
        <f>IF(AB872&gt;0, VLOOKUP(B872,Model!$A$39:$C$58, 3), 0)</f>
        <v>0</v>
      </c>
      <c r="H872" s="15">
        <f t="shared" si="260"/>
        <v>0</v>
      </c>
      <c r="I872" s="45">
        <f>Model!$B$21*EXP((-0.029*9.81*F872)/(8.31*(273+J872)))</f>
        <v>104500</v>
      </c>
      <c r="J872" s="15">
        <f>IF(Model!$B$31="Summer",  IF(F872&lt;=2000,  Model!$B$20-Model!$B$35*F872/1000,  IF(F872&lt;Model!$B$36,  Model!$B$33-6.5*F872/1000,  Model!$B$38)),     IF(F872&lt;=2000,  Model!$B$20-Model!$B$35*F872/1000,  IF(F872&lt;Model!$B$36,  Model!$B$33-5.4*F872/1000,   Model!$B$38)))</f>
        <v>-20</v>
      </c>
      <c r="K872" s="15">
        <f t="shared" si="273"/>
        <v>253</v>
      </c>
      <c r="L872" s="45">
        <f>IF(AB871-AA871*(B872-B871)&gt;0, L871-Y871*(B872-B871)*3600-AD872*Model!$B$16, 0)</f>
        <v>0</v>
      </c>
      <c r="M872" s="56">
        <f t="shared" si="261"/>
        <v>0</v>
      </c>
      <c r="N872" s="56">
        <f>Model!$B$13*I872*K872/(Model!$B$13*I872-L872*287*K872)</f>
        <v>253</v>
      </c>
      <c r="O872" s="56">
        <f t="shared" si="262"/>
        <v>253</v>
      </c>
      <c r="P872" s="56">
        <f t="shared" si="263"/>
        <v>-10</v>
      </c>
      <c r="Q872" s="62">
        <f t="shared" si="274"/>
        <v>2.2579999999999999E-2</v>
      </c>
      <c r="R872" s="33">
        <f t="shared" si="275"/>
        <v>1.152E-5</v>
      </c>
      <c r="S872" s="45">
        <f>0.37*Model!$B$10*(Q872^2*(N872-K872)*I872/(R872*O872^2))^0.33333*(N872-K872)</f>
        <v>0</v>
      </c>
      <c r="T872" s="50">
        <f>Model!$B$32+(90-Model!$B$6)*SIN(RADIANS(-15*(E872+6)))</f>
        <v>-31.619472402513487</v>
      </c>
      <c r="U872" s="45">
        <f t="shared" si="264"/>
        <v>0</v>
      </c>
      <c r="V872" s="50">
        <f t="shared" si="265"/>
        <v>99999</v>
      </c>
      <c r="W872" s="45">
        <f t="shared" si="266"/>
        <v>0</v>
      </c>
      <c r="X872" s="45">
        <f>0.3*W872*Model!$B$9</f>
        <v>0</v>
      </c>
      <c r="Y872" s="33">
        <f>(S872-X872)/Model!$B$11</f>
        <v>0</v>
      </c>
      <c r="Z872" s="45" t="e">
        <f t="shared" si="267"/>
        <v>#DIV/0!</v>
      </c>
      <c r="AA872" s="56">
        <f>Y872/Model!$B$12*3600</f>
        <v>0</v>
      </c>
      <c r="AB872" s="50">
        <f t="shared" si="272"/>
        <v>0</v>
      </c>
      <c r="AC872" s="50">
        <f t="shared" si="276"/>
        <v>1800</v>
      </c>
      <c r="AD872" s="15">
        <f>IF(AE872=0, Model!$B$19, 0 )</f>
        <v>0</v>
      </c>
      <c r="AE872" s="50">
        <f>IF(AE871+AB871-AB872&lt;Model!$B$19*Model!$B$18, AE871+AB871-AB872,  0)</f>
        <v>443.63457370611354</v>
      </c>
      <c r="AF872" s="15">
        <f t="shared" si="268"/>
        <v>1</v>
      </c>
      <c r="AG872" s="50">
        <f t="shared" si="269"/>
        <v>0</v>
      </c>
    </row>
    <row r="873" spans="2:33" x14ac:dyDescent="0.25">
      <c r="B873" s="13">
        <f t="shared" si="270"/>
        <v>1</v>
      </c>
      <c r="C873" s="13">
        <f>B873+Model!$B$4</f>
        <v>3</v>
      </c>
      <c r="D873" s="13">
        <f t="shared" si="271"/>
        <v>1</v>
      </c>
      <c r="E873" s="13">
        <f t="shared" si="277"/>
        <v>3</v>
      </c>
      <c r="F873" s="14">
        <f>IF(AB873&gt;0, VLOOKUP(B873,Model!$A$40:$B$60, 2), 0)</f>
        <v>0</v>
      </c>
      <c r="G873" s="13">
        <f>IF(AB873&gt;0, VLOOKUP(B873,Model!$A$39:$C$58, 3), 0)</f>
        <v>0</v>
      </c>
      <c r="H873" s="13">
        <f t="shared" si="260"/>
        <v>0</v>
      </c>
      <c r="I873" s="46">
        <f>Model!$B$21*EXP((-0.029*9.81*F873)/(8.31*(273+J873)))</f>
        <v>104500</v>
      </c>
      <c r="J873" s="13">
        <f>IF(Model!$B$31="Summer",  IF(F873&lt;=2000,  Model!$B$20-Model!$B$35*F873/1000,  IF(F873&lt;Model!$B$36,  Model!$B$33-6.5*F873/1000,  Model!$B$38)),     IF(F873&lt;=2000,  Model!$B$20-Model!$B$35*F873/1000,  IF(F873&lt;Model!$B$36,  Model!$B$33-5.4*F873/1000,   Model!$B$38)))</f>
        <v>-20</v>
      </c>
      <c r="K873" s="13">
        <f t="shared" si="273"/>
        <v>253</v>
      </c>
      <c r="L873" s="46">
        <f>IF(AB872-AA872*(B873-B872)&gt;0, L872-Y872*(B873-B872)*3600-AD873*Model!$B$16, 0)</f>
        <v>0</v>
      </c>
      <c r="M873" s="57">
        <f t="shared" si="261"/>
        <v>0</v>
      </c>
      <c r="N873" s="57">
        <f>Model!$B$13*I873*K873/(Model!$B$13*I873-L873*287*K873)</f>
        <v>253</v>
      </c>
      <c r="O873" s="57">
        <f t="shared" si="262"/>
        <v>253</v>
      </c>
      <c r="P873" s="57">
        <f t="shared" si="263"/>
        <v>-10</v>
      </c>
      <c r="Q873" s="63">
        <f t="shared" si="274"/>
        <v>2.2579999999999999E-2</v>
      </c>
      <c r="R873" s="17">
        <f t="shared" si="275"/>
        <v>1.152E-5</v>
      </c>
      <c r="S873" s="46">
        <f>0.37*Model!$B$10*(Q873^2*(N873-K873)*I873/(R873*O873^2))^0.33333*(N873-K873)</f>
        <v>0</v>
      </c>
      <c r="T873" s="51">
        <f>Model!$B$32+(90-Model!$B$6)*SIN(RADIANS(-15*(E873+6)))</f>
        <v>-31.619472402513487</v>
      </c>
      <c r="U873" s="46">
        <f t="shared" si="264"/>
        <v>0</v>
      </c>
      <c r="V873" s="51">
        <f t="shared" si="265"/>
        <v>99999</v>
      </c>
      <c r="W873" s="46">
        <f t="shared" si="266"/>
        <v>0</v>
      </c>
      <c r="X873" s="46">
        <f>0.3*W873*Model!$B$9</f>
        <v>0</v>
      </c>
      <c r="Y873" s="17">
        <f>(S873-X873)/Model!$B$11</f>
        <v>0</v>
      </c>
      <c r="Z873" s="46" t="e">
        <f t="shared" si="267"/>
        <v>#DIV/0!</v>
      </c>
      <c r="AA873" s="57">
        <f>Y873/Model!$B$12*3600</f>
        <v>0</v>
      </c>
      <c r="AB873" s="51">
        <f t="shared" si="272"/>
        <v>0</v>
      </c>
      <c r="AC873" s="51">
        <f t="shared" si="276"/>
        <v>1800</v>
      </c>
      <c r="AD873" s="13">
        <f>IF(AE873=0, Model!$B$19, 0 )</f>
        <v>0</v>
      </c>
      <c r="AE873" s="51">
        <f>IF(AE872+AB872-AB873&lt;Model!$B$19*Model!$B$18, AE872+AB872-AB873,  0)</f>
        <v>443.63457370611354</v>
      </c>
      <c r="AF873" s="13">
        <f t="shared" si="268"/>
        <v>1</v>
      </c>
      <c r="AG873" s="50">
        <f t="shared" si="269"/>
        <v>0</v>
      </c>
    </row>
    <row r="874" spans="2:33" x14ac:dyDescent="0.25">
      <c r="B874" s="15">
        <f t="shared" si="270"/>
        <v>1</v>
      </c>
      <c r="C874" s="15">
        <f>B874+Model!$B$4</f>
        <v>3</v>
      </c>
      <c r="D874" s="15">
        <f t="shared" si="271"/>
        <v>1</v>
      </c>
      <c r="E874" s="15">
        <f t="shared" si="277"/>
        <v>3</v>
      </c>
      <c r="F874" s="16">
        <f>IF(AB874&gt;0, VLOOKUP(B874,Model!$A$40:$B$60, 2), 0)</f>
        <v>0</v>
      </c>
      <c r="G874" s="15">
        <f>IF(AB874&gt;0, VLOOKUP(B874,Model!$A$39:$C$58, 3), 0)</f>
        <v>0</v>
      </c>
      <c r="H874" s="15">
        <f t="shared" si="260"/>
        <v>0</v>
      </c>
      <c r="I874" s="45">
        <f>Model!$B$21*EXP((-0.029*9.81*F874)/(8.31*(273+J874)))</f>
        <v>104500</v>
      </c>
      <c r="J874" s="15">
        <f>IF(Model!$B$31="Summer",  IF(F874&lt;=2000,  Model!$B$20-Model!$B$35*F874/1000,  IF(F874&lt;Model!$B$36,  Model!$B$33-6.5*F874/1000,  Model!$B$38)),     IF(F874&lt;=2000,  Model!$B$20-Model!$B$35*F874/1000,  IF(F874&lt;Model!$B$36,  Model!$B$33-5.4*F874/1000,   Model!$B$38)))</f>
        <v>-20</v>
      </c>
      <c r="K874" s="15">
        <f t="shared" si="273"/>
        <v>253</v>
      </c>
      <c r="L874" s="45">
        <f>IF(AB873-AA873*(B874-B873)&gt;0, L873-Y873*(B874-B873)*3600-AD874*Model!$B$16, 0)</f>
        <v>0</v>
      </c>
      <c r="M874" s="56">
        <f t="shared" si="261"/>
        <v>0</v>
      </c>
      <c r="N874" s="56">
        <f>Model!$B$13*I874*K874/(Model!$B$13*I874-L874*287*K874)</f>
        <v>253</v>
      </c>
      <c r="O874" s="56">
        <f t="shared" si="262"/>
        <v>253</v>
      </c>
      <c r="P874" s="56">
        <f t="shared" si="263"/>
        <v>-10</v>
      </c>
      <c r="Q874" s="62">
        <f t="shared" si="274"/>
        <v>2.2579999999999999E-2</v>
      </c>
      <c r="R874" s="33">
        <f t="shared" si="275"/>
        <v>1.152E-5</v>
      </c>
      <c r="S874" s="45">
        <f>0.37*Model!$B$10*(Q874^2*(N874-K874)*I874/(R874*O874^2))^0.33333*(N874-K874)</f>
        <v>0</v>
      </c>
      <c r="T874" s="50">
        <f>Model!$B$32+(90-Model!$B$6)*SIN(RADIANS(-15*(E874+6)))</f>
        <v>-31.619472402513487</v>
      </c>
      <c r="U874" s="45">
        <f t="shared" si="264"/>
        <v>0</v>
      </c>
      <c r="V874" s="50">
        <f t="shared" si="265"/>
        <v>99999</v>
      </c>
      <c r="W874" s="45">
        <f t="shared" si="266"/>
        <v>0</v>
      </c>
      <c r="X874" s="45">
        <f>0.3*W874*Model!$B$9</f>
        <v>0</v>
      </c>
      <c r="Y874" s="33">
        <f>(S874-X874)/Model!$B$11</f>
        <v>0</v>
      </c>
      <c r="Z874" s="45" t="e">
        <f t="shared" si="267"/>
        <v>#DIV/0!</v>
      </c>
      <c r="AA874" s="56">
        <f>Y874/Model!$B$12*3600</f>
        <v>0</v>
      </c>
      <c r="AB874" s="50">
        <f t="shared" si="272"/>
        <v>0</v>
      </c>
      <c r="AC874" s="50">
        <f t="shared" si="276"/>
        <v>1800</v>
      </c>
      <c r="AD874" s="15">
        <f>IF(AE874=0, Model!$B$19, 0 )</f>
        <v>0</v>
      </c>
      <c r="AE874" s="50">
        <f>IF(AE873+AB873-AB874&lt;Model!$B$19*Model!$B$18, AE873+AB873-AB874,  0)</f>
        <v>443.63457370611354</v>
      </c>
      <c r="AF874" s="15">
        <f t="shared" si="268"/>
        <v>1</v>
      </c>
      <c r="AG874" s="50">
        <f t="shared" si="269"/>
        <v>0</v>
      </c>
    </row>
    <row r="875" spans="2:33" x14ac:dyDescent="0.25">
      <c r="B875" s="13">
        <f t="shared" si="270"/>
        <v>1</v>
      </c>
      <c r="C875" s="13">
        <f>B875+Model!$B$4</f>
        <v>3</v>
      </c>
      <c r="D875" s="13">
        <f t="shared" si="271"/>
        <v>1</v>
      </c>
      <c r="E875" s="13">
        <f t="shared" si="277"/>
        <v>3</v>
      </c>
      <c r="F875" s="14">
        <f>IF(AB875&gt;0, VLOOKUP(B875,Model!$A$40:$B$60, 2), 0)</f>
        <v>0</v>
      </c>
      <c r="G875" s="13">
        <f>IF(AB875&gt;0, VLOOKUP(B875,Model!$A$39:$C$58, 3), 0)</f>
        <v>0</v>
      </c>
      <c r="H875" s="13">
        <f t="shared" si="260"/>
        <v>0</v>
      </c>
      <c r="I875" s="46">
        <f>Model!$B$21*EXP((-0.029*9.81*F875)/(8.31*(273+J875)))</f>
        <v>104500</v>
      </c>
      <c r="J875" s="13">
        <f>IF(Model!$B$31="Summer",  IF(F875&lt;=2000,  Model!$B$20-Model!$B$35*F875/1000,  IF(F875&lt;Model!$B$36,  Model!$B$33-6.5*F875/1000,  Model!$B$38)),     IF(F875&lt;=2000,  Model!$B$20-Model!$B$35*F875/1000,  IF(F875&lt;Model!$B$36,  Model!$B$33-5.4*F875/1000,   Model!$B$38)))</f>
        <v>-20</v>
      </c>
      <c r="K875" s="13">
        <f t="shared" si="273"/>
        <v>253</v>
      </c>
      <c r="L875" s="46">
        <f>IF(AB874-AA874*(B875-B874)&gt;0, L874-Y874*(B875-B874)*3600-AD875*Model!$B$16, 0)</f>
        <v>0</v>
      </c>
      <c r="M875" s="57">
        <f t="shared" si="261"/>
        <v>0</v>
      </c>
      <c r="N875" s="57">
        <f>Model!$B$13*I875*K875/(Model!$B$13*I875-L875*287*K875)</f>
        <v>253</v>
      </c>
      <c r="O875" s="57">
        <f t="shared" si="262"/>
        <v>253</v>
      </c>
      <c r="P875" s="57">
        <f t="shared" si="263"/>
        <v>-10</v>
      </c>
      <c r="Q875" s="63">
        <f t="shared" si="274"/>
        <v>2.2579999999999999E-2</v>
      </c>
      <c r="R875" s="17">
        <f t="shared" si="275"/>
        <v>1.152E-5</v>
      </c>
      <c r="S875" s="46">
        <f>0.37*Model!$B$10*(Q875^2*(N875-K875)*I875/(R875*O875^2))^0.33333*(N875-K875)</f>
        <v>0</v>
      </c>
      <c r="T875" s="51">
        <f>Model!$B$32+(90-Model!$B$6)*SIN(RADIANS(-15*(E875+6)))</f>
        <v>-31.619472402513487</v>
      </c>
      <c r="U875" s="46">
        <f t="shared" si="264"/>
        <v>0</v>
      </c>
      <c r="V875" s="51">
        <f t="shared" si="265"/>
        <v>99999</v>
      </c>
      <c r="W875" s="46">
        <f t="shared" si="266"/>
        <v>0</v>
      </c>
      <c r="X875" s="46">
        <f>0.3*W875*Model!$B$9</f>
        <v>0</v>
      </c>
      <c r="Y875" s="17">
        <f>(S875-X875)/Model!$B$11</f>
        <v>0</v>
      </c>
      <c r="Z875" s="46" t="e">
        <f t="shared" si="267"/>
        <v>#DIV/0!</v>
      </c>
      <c r="AA875" s="57">
        <f>Y875/Model!$B$12*3600</f>
        <v>0</v>
      </c>
      <c r="AB875" s="51">
        <f t="shared" si="272"/>
        <v>0</v>
      </c>
      <c r="AC875" s="51">
        <f t="shared" si="276"/>
        <v>1800</v>
      </c>
      <c r="AD875" s="13">
        <f>IF(AE875=0, Model!$B$19, 0 )</f>
        <v>0</v>
      </c>
      <c r="AE875" s="51">
        <f>IF(AE874+AB874-AB875&lt;Model!$B$19*Model!$B$18, AE874+AB874-AB875,  0)</f>
        <v>443.63457370611354</v>
      </c>
      <c r="AF875" s="13">
        <f t="shared" si="268"/>
        <v>1</v>
      </c>
      <c r="AG875" s="50">
        <f t="shared" si="269"/>
        <v>0</v>
      </c>
    </row>
    <row r="876" spans="2:33" x14ac:dyDescent="0.25">
      <c r="B876" s="15">
        <f t="shared" si="270"/>
        <v>1</v>
      </c>
      <c r="C876" s="15">
        <f>B876+Model!$B$4</f>
        <v>3</v>
      </c>
      <c r="D876" s="15">
        <f t="shared" si="271"/>
        <v>1</v>
      </c>
      <c r="E876" s="15">
        <f t="shared" si="277"/>
        <v>3</v>
      </c>
      <c r="F876" s="16">
        <f>IF(AB876&gt;0, VLOOKUP(B876,Model!$A$40:$B$60, 2), 0)</f>
        <v>0</v>
      </c>
      <c r="G876" s="15">
        <f>IF(AB876&gt;0, VLOOKUP(B876,Model!$A$39:$C$58, 3), 0)</f>
        <v>0</v>
      </c>
      <c r="H876" s="15">
        <f t="shared" si="260"/>
        <v>0</v>
      </c>
      <c r="I876" s="45">
        <f>Model!$B$21*EXP((-0.029*9.81*F876)/(8.31*(273+J876)))</f>
        <v>104500</v>
      </c>
      <c r="J876" s="15">
        <f>IF(Model!$B$31="Summer",  IF(F876&lt;=2000,  Model!$B$20-Model!$B$35*F876/1000,  IF(F876&lt;Model!$B$36,  Model!$B$33-6.5*F876/1000,  Model!$B$38)),     IF(F876&lt;=2000,  Model!$B$20-Model!$B$35*F876/1000,  IF(F876&lt;Model!$B$36,  Model!$B$33-5.4*F876/1000,   Model!$B$38)))</f>
        <v>-20</v>
      </c>
      <c r="K876" s="15">
        <f t="shared" si="273"/>
        <v>253</v>
      </c>
      <c r="L876" s="45">
        <f>IF(AB875-AA875*(B876-B875)&gt;0, L875-Y875*(B876-B875)*3600-AD876*Model!$B$16, 0)</f>
        <v>0</v>
      </c>
      <c r="M876" s="56">
        <f t="shared" si="261"/>
        <v>0</v>
      </c>
      <c r="N876" s="56">
        <f>Model!$B$13*I876*K876/(Model!$B$13*I876-L876*287*K876)</f>
        <v>253</v>
      </c>
      <c r="O876" s="56">
        <f t="shared" si="262"/>
        <v>253</v>
      </c>
      <c r="P876" s="56">
        <f t="shared" si="263"/>
        <v>-10</v>
      </c>
      <c r="Q876" s="62">
        <f t="shared" si="274"/>
        <v>2.2579999999999999E-2</v>
      </c>
      <c r="R876" s="33">
        <f t="shared" si="275"/>
        <v>1.152E-5</v>
      </c>
      <c r="S876" s="45">
        <f>0.37*Model!$B$10*(Q876^2*(N876-K876)*I876/(R876*O876^2))^0.33333*(N876-K876)</f>
        <v>0</v>
      </c>
      <c r="T876" s="50">
        <f>Model!$B$32+(90-Model!$B$6)*SIN(RADIANS(-15*(E876+6)))</f>
        <v>-31.619472402513487</v>
      </c>
      <c r="U876" s="45">
        <f t="shared" si="264"/>
        <v>0</v>
      </c>
      <c r="V876" s="50">
        <f t="shared" si="265"/>
        <v>99999</v>
      </c>
      <c r="W876" s="45">
        <f t="shared" si="266"/>
        <v>0</v>
      </c>
      <c r="X876" s="45">
        <f>0.3*W876*Model!$B$9</f>
        <v>0</v>
      </c>
      <c r="Y876" s="33">
        <f>(S876-X876)/Model!$B$11</f>
        <v>0</v>
      </c>
      <c r="Z876" s="45" t="e">
        <f t="shared" si="267"/>
        <v>#DIV/0!</v>
      </c>
      <c r="AA876" s="56">
        <f>Y876/Model!$B$12*3600</f>
        <v>0</v>
      </c>
      <c r="AB876" s="50">
        <f t="shared" si="272"/>
        <v>0</v>
      </c>
      <c r="AC876" s="50">
        <f t="shared" si="276"/>
        <v>1800</v>
      </c>
      <c r="AD876" s="15">
        <f>IF(AE876=0, Model!$B$19, 0 )</f>
        <v>0</v>
      </c>
      <c r="AE876" s="50">
        <f>IF(AE875+AB875-AB876&lt;Model!$B$19*Model!$B$18, AE875+AB875-AB876,  0)</f>
        <v>443.63457370611354</v>
      </c>
      <c r="AF876" s="15">
        <f t="shared" si="268"/>
        <v>1</v>
      </c>
      <c r="AG876" s="50">
        <f t="shared" si="269"/>
        <v>0</v>
      </c>
    </row>
    <row r="877" spans="2:33" x14ac:dyDescent="0.25">
      <c r="B877" s="13">
        <f t="shared" si="270"/>
        <v>1</v>
      </c>
      <c r="C877" s="13">
        <f>B877+Model!$B$4</f>
        <v>3</v>
      </c>
      <c r="D877" s="13">
        <f t="shared" si="271"/>
        <v>1</v>
      </c>
      <c r="E877" s="13">
        <f t="shared" si="277"/>
        <v>3</v>
      </c>
      <c r="F877" s="14">
        <f>IF(AB877&gt;0, VLOOKUP(B877,Model!$A$40:$B$60, 2), 0)</f>
        <v>0</v>
      </c>
      <c r="G877" s="13">
        <f>IF(AB877&gt;0, VLOOKUP(B877,Model!$A$39:$C$58, 3), 0)</f>
        <v>0</v>
      </c>
      <c r="H877" s="13">
        <f t="shared" si="260"/>
        <v>0</v>
      </c>
      <c r="I877" s="46">
        <f>Model!$B$21*EXP((-0.029*9.81*F877)/(8.31*(273+J877)))</f>
        <v>104500</v>
      </c>
      <c r="J877" s="13">
        <f>IF(Model!$B$31="Summer",  IF(F877&lt;=2000,  Model!$B$20-Model!$B$35*F877/1000,  IF(F877&lt;Model!$B$36,  Model!$B$33-6.5*F877/1000,  Model!$B$38)),     IF(F877&lt;=2000,  Model!$B$20-Model!$B$35*F877/1000,  IF(F877&lt;Model!$B$36,  Model!$B$33-5.4*F877/1000,   Model!$B$38)))</f>
        <v>-20</v>
      </c>
      <c r="K877" s="13">
        <f t="shared" si="273"/>
        <v>253</v>
      </c>
      <c r="L877" s="46">
        <f>IF(AB876-AA876*(B877-B876)&gt;0, L876-Y876*(B877-B876)*3600-AD877*Model!$B$16, 0)</f>
        <v>0</v>
      </c>
      <c r="M877" s="57">
        <f t="shared" si="261"/>
        <v>0</v>
      </c>
      <c r="N877" s="57">
        <f>Model!$B$13*I877*K877/(Model!$B$13*I877-L877*287*K877)</f>
        <v>253</v>
      </c>
      <c r="O877" s="57">
        <f t="shared" si="262"/>
        <v>253</v>
      </c>
      <c r="P877" s="57">
        <f t="shared" si="263"/>
        <v>-10</v>
      </c>
      <c r="Q877" s="63">
        <f t="shared" si="274"/>
        <v>2.2579999999999999E-2</v>
      </c>
      <c r="R877" s="17">
        <f t="shared" si="275"/>
        <v>1.152E-5</v>
      </c>
      <c r="S877" s="46">
        <f>0.37*Model!$B$10*(Q877^2*(N877-K877)*I877/(R877*O877^2))^0.33333*(N877-K877)</f>
        <v>0</v>
      </c>
      <c r="T877" s="51">
        <f>Model!$B$32+(90-Model!$B$6)*SIN(RADIANS(-15*(E877+6)))</f>
        <v>-31.619472402513487</v>
      </c>
      <c r="U877" s="46">
        <f t="shared" si="264"/>
        <v>0</v>
      </c>
      <c r="V877" s="51">
        <f t="shared" si="265"/>
        <v>99999</v>
      </c>
      <c r="W877" s="46">
        <f t="shared" si="266"/>
        <v>0</v>
      </c>
      <c r="X877" s="46">
        <f>0.3*W877*Model!$B$9</f>
        <v>0</v>
      </c>
      <c r="Y877" s="17">
        <f>(S877-X877)/Model!$B$11</f>
        <v>0</v>
      </c>
      <c r="Z877" s="46" t="e">
        <f t="shared" si="267"/>
        <v>#DIV/0!</v>
      </c>
      <c r="AA877" s="57">
        <f>Y877/Model!$B$12*3600</f>
        <v>0</v>
      </c>
      <c r="AB877" s="51">
        <f t="shared" si="272"/>
        <v>0</v>
      </c>
      <c r="AC877" s="51">
        <f t="shared" si="276"/>
        <v>1800</v>
      </c>
      <c r="AD877" s="13">
        <f>IF(AE877=0, Model!$B$19, 0 )</f>
        <v>0</v>
      </c>
      <c r="AE877" s="51">
        <f>IF(AE876+AB876-AB877&lt;Model!$B$19*Model!$B$18, AE876+AB876-AB877,  0)</f>
        <v>443.63457370611354</v>
      </c>
      <c r="AF877" s="13">
        <f t="shared" si="268"/>
        <v>1</v>
      </c>
      <c r="AG877" s="50">
        <f t="shared" si="269"/>
        <v>0</v>
      </c>
    </row>
    <row r="878" spans="2:33" x14ac:dyDescent="0.25">
      <c r="B878" s="15">
        <f t="shared" si="270"/>
        <v>1</v>
      </c>
      <c r="C878" s="15">
        <f>B878+Model!$B$4</f>
        <v>3</v>
      </c>
      <c r="D878" s="15">
        <f t="shared" si="271"/>
        <v>1</v>
      </c>
      <c r="E878" s="15">
        <f t="shared" si="277"/>
        <v>3</v>
      </c>
      <c r="F878" s="16">
        <f>IF(AB878&gt;0, VLOOKUP(B878,Model!$A$40:$B$60, 2), 0)</f>
        <v>0</v>
      </c>
      <c r="G878" s="15">
        <f>IF(AB878&gt;0, VLOOKUP(B878,Model!$A$39:$C$58, 3), 0)</f>
        <v>0</v>
      </c>
      <c r="H878" s="15">
        <f t="shared" si="260"/>
        <v>0</v>
      </c>
      <c r="I878" s="45">
        <f>Model!$B$21*EXP((-0.029*9.81*F878)/(8.31*(273+J878)))</f>
        <v>104500</v>
      </c>
      <c r="J878" s="15">
        <f>IF(Model!$B$31="Summer",  IF(F878&lt;=2000,  Model!$B$20-Model!$B$35*F878/1000,  IF(F878&lt;Model!$B$36,  Model!$B$33-6.5*F878/1000,  Model!$B$38)),     IF(F878&lt;=2000,  Model!$B$20-Model!$B$35*F878/1000,  IF(F878&lt;Model!$B$36,  Model!$B$33-5.4*F878/1000,   Model!$B$38)))</f>
        <v>-20</v>
      </c>
      <c r="K878" s="15">
        <f t="shared" si="273"/>
        <v>253</v>
      </c>
      <c r="L878" s="45">
        <f>IF(AB877-AA877*(B878-B877)&gt;0, L877-Y877*(B878-B877)*3600-AD878*Model!$B$16, 0)</f>
        <v>0</v>
      </c>
      <c r="M878" s="56">
        <f t="shared" si="261"/>
        <v>0</v>
      </c>
      <c r="N878" s="56">
        <f>Model!$B$13*I878*K878/(Model!$B$13*I878-L878*287*K878)</f>
        <v>253</v>
      </c>
      <c r="O878" s="56">
        <f t="shared" si="262"/>
        <v>253</v>
      </c>
      <c r="P878" s="56">
        <f t="shared" si="263"/>
        <v>-10</v>
      </c>
      <c r="Q878" s="62">
        <f t="shared" si="274"/>
        <v>2.2579999999999999E-2</v>
      </c>
      <c r="R878" s="33">
        <f t="shared" si="275"/>
        <v>1.152E-5</v>
      </c>
      <c r="S878" s="45">
        <f>0.37*Model!$B$10*(Q878^2*(N878-K878)*I878/(R878*O878^2))^0.33333*(N878-K878)</f>
        <v>0</v>
      </c>
      <c r="T878" s="50">
        <f>Model!$B$32+(90-Model!$B$6)*SIN(RADIANS(-15*(E878+6)))</f>
        <v>-31.619472402513487</v>
      </c>
      <c r="U878" s="45">
        <f t="shared" si="264"/>
        <v>0</v>
      </c>
      <c r="V878" s="50">
        <f t="shared" si="265"/>
        <v>99999</v>
      </c>
      <c r="W878" s="45">
        <f t="shared" si="266"/>
        <v>0</v>
      </c>
      <c r="X878" s="45">
        <f>0.3*W878*Model!$B$9</f>
        <v>0</v>
      </c>
      <c r="Y878" s="33">
        <f>(S878-X878)/Model!$B$11</f>
        <v>0</v>
      </c>
      <c r="Z878" s="45" t="e">
        <f t="shared" si="267"/>
        <v>#DIV/0!</v>
      </c>
      <c r="AA878" s="56">
        <f>Y878/Model!$B$12*3600</f>
        <v>0</v>
      </c>
      <c r="AB878" s="50">
        <f t="shared" si="272"/>
        <v>0</v>
      </c>
      <c r="AC878" s="50">
        <f t="shared" si="276"/>
        <v>1800</v>
      </c>
      <c r="AD878" s="15">
        <f>IF(AE878=0, Model!$B$19, 0 )</f>
        <v>0</v>
      </c>
      <c r="AE878" s="50">
        <f>IF(AE877+AB877-AB878&lt;Model!$B$19*Model!$B$18, AE877+AB877-AB878,  0)</f>
        <v>443.63457370611354</v>
      </c>
      <c r="AF878" s="15">
        <f t="shared" si="268"/>
        <v>1</v>
      </c>
      <c r="AG878" s="50">
        <f t="shared" si="269"/>
        <v>0</v>
      </c>
    </row>
    <row r="879" spans="2:33" x14ac:dyDescent="0.25">
      <c r="B879" s="13">
        <f t="shared" si="270"/>
        <v>1</v>
      </c>
      <c r="C879" s="13">
        <f>B879+Model!$B$4</f>
        <v>3</v>
      </c>
      <c r="D879" s="13">
        <f t="shared" si="271"/>
        <v>1</v>
      </c>
      <c r="E879" s="13">
        <f t="shared" si="277"/>
        <v>3</v>
      </c>
      <c r="F879" s="14">
        <f>IF(AB879&gt;0, VLOOKUP(B879,Model!$A$40:$B$60, 2), 0)</f>
        <v>0</v>
      </c>
      <c r="G879" s="13">
        <f>IF(AB879&gt;0, VLOOKUP(B879,Model!$A$39:$C$58, 3), 0)</f>
        <v>0</v>
      </c>
      <c r="H879" s="13">
        <f t="shared" si="260"/>
        <v>0</v>
      </c>
      <c r="I879" s="46">
        <f>Model!$B$21*EXP((-0.029*9.81*F879)/(8.31*(273+J879)))</f>
        <v>104500</v>
      </c>
      <c r="J879" s="13">
        <f>IF(Model!$B$31="Summer",  IF(F879&lt;=2000,  Model!$B$20-Model!$B$35*F879/1000,  IF(F879&lt;Model!$B$36,  Model!$B$33-6.5*F879/1000,  Model!$B$38)),     IF(F879&lt;=2000,  Model!$B$20-Model!$B$35*F879/1000,  IF(F879&lt;Model!$B$36,  Model!$B$33-5.4*F879/1000,   Model!$B$38)))</f>
        <v>-20</v>
      </c>
      <c r="K879" s="13">
        <f t="shared" si="273"/>
        <v>253</v>
      </c>
      <c r="L879" s="46">
        <f>IF(AB878-AA878*(B879-B878)&gt;0, L878-Y878*(B879-B878)*3600-AD879*Model!$B$16, 0)</f>
        <v>0</v>
      </c>
      <c r="M879" s="57">
        <f t="shared" si="261"/>
        <v>0</v>
      </c>
      <c r="N879" s="57">
        <f>Model!$B$13*I879*K879/(Model!$B$13*I879-L879*287*K879)</f>
        <v>253</v>
      </c>
      <c r="O879" s="57">
        <f t="shared" si="262"/>
        <v>253</v>
      </c>
      <c r="P879" s="57">
        <f t="shared" si="263"/>
        <v>-10</v>
      </c>
      <c r="Q879" s="63">
        <f t="shared" si="274"/>
        <v>2.2579999999999999E-2</v>
      </c>
      <c r="R879" s="17">
        <f t="shared" si="275"/>
        <v>1.152E-5</v>
      </c>
      <c r="S879" s="46">
        <f>0.37*Model!$B$10*(Q879^2*(N879-K879)*I879/(R879*O879^2))^0.33333*(N879-K879)</f>
        <v>0</v>
      </c>
      <c r="T879" s="51">
        <f>Model!$B$32+(90-Model!$B$6)*SIN(RADIANS(-15*(E879+6)))</f>
        <v>-31.619472402513487</v>
      </c>
      <c r="U879" s="46">
        <f t="shared" si="264"/>
        <v>0</v>
      </c>
      <c r="V879" s="51">
        <f t="shared" si="265"/>
        <v>99999</v>
      </c>
      <c r="W879" s="46">
        <f t="shared" si="266"/>
        <v>0</v>
      </c>
      <c r="X879" s="46">
        <f>0.3*W879*Model!$B$9</f>
        <v>0</v>
      </c>
      <c r="Y879" s="17">
        <f>(S879-X879)/Model!$B$11</f>
        <v>0</v>
      </c>
      <c r="Z879" s="46" t="e">
        <f t="shared" si="267"/>
        <v>#DIV/0!</v>
      </c>
      <c r="AA879" s="57">
        <f>Y879/Model!$B$12*3600</f>
        <v>0</v>
      </c>
      <c r="AB879" s="51">
        <f t="shared" si="272"/>
        <v>0</v>
      </c>
      <c r="AC879" s="51">
        <f t="shared" si="276"/>
        <v>1800</v>
      </c>
      <c r="AD879" s="13">
        <f>IF(AE879=0, Model!$B$19, 0 )</f>
        <v>0</v>
      </c>
      <c r="AE879" s="51">
        <f>IF(AE878+AB878-AB879&lt;Model!$B$19*Model!$B$18, AE878+AB878-AB879,  0)</f>
        <v>443.63457370611354</v>
      </c>
      <c r="AF879" s="13">
        <f t="shared" si="268"/>
        <v>1</v>
      </c>
      <c r="AG879" s="50">
        <f t="shared" si="269"/>
        <v>0</v>
      </c>
    </row>
    <row r="880" spans="2:33" x14ac:dyDescent="0.25">
      <c r="B880" s="15">
        <f t="shared" si="270"/>
        <v>1</v>
      </c>
      <c r="C880" s="15">
        <f>B880+Model!$B$4</f>
        <v>3</v>
      </c>
      <c r="D880" s="15">
        <f t="shared" si="271"/>
        <v>1</v>
      </c>
      <c r="E880" s="15">
        <f t="shared" si="277"/>
        <v>3</v>
      </c>
      <c r="F880" s="16">
        <f>IF(AB880&gt;0, VLOOKUP(B880,Model!$A$40:$B$60, 2), 0)</f>
        <v>0</v>
      </c>
      <c r="G880" s="15">
        <f>IF(AB880&gt;0, VLOOKUP(B880,Model!$A$39:$C$58, 3), 0)</f>
        <v>0</v>
      </c>
      <c r="H880" s="15">
        <f t="shared" si="260"/>
        <v>0</v>
      </c>
      <c r="I880" s="45">
        <f>Model!$B$21*EXP((-0.029*9.81*F880)/(8.31*(273+J880)))</f>
        <v>104500</v>
      </c>
      <c r="J880" s="15">
        <f>IF(Model!$B$31="Summer",  IF(F880&lt;=2000,  Model!$B$20-Model!$B$35*F880/1000,  IF(F880&lt;Model!$B$36,  Model!$B$33-6.5*F880/1000,  Model!$B$38)),     IF(F880&lt;=2000,  Model!$B$20-Model!$B$35*F880/1000,  IF(F880&lt;Model!$B$36,  Model!$B$33-5.4*F880/1000,   Model!$B$38)))</f>
        <v>-20</v>
      </c>
      <c r="K880" s="15">
        <f t="shared" si="273"/>
        <v>253</v>
      </c>
      <c r="L880" s="45">
        <f>IF(AB879-AA879*(B880-B879)&gt;0, L879-Y879*(B880-B879)*3600-AD880*Model!$B$16, 0)</f>
        <v>0</v>
      </c>
      <c r="M880" s="56">
        <f t="shared" si="261"/>
        <v>0</v>
      </c>
      <c r="N880" s="56">
        <f>Model!$B$13*I880*K880/(Model!$B$13*I880-L880*287*K880)</f>
        <v>253</v>
      </c>
      <c r="O880" s="56">
        <f t="shared" si="262"/>
        <v>253</v>
      </c>
      <c r="P880" s="56">
        <f t="shared" si="263"/>
        <v>-10</v>
      </c>
      <c r="Q880" s="62">
        <f t="shared" si="274"/>
        <v>2.2579999999999999E-2</v>
      </c>
      <c r="R880" s="33">
        <f t="shared" si="275"/>
        <v>1.152E-5</v>
      </c>
      <c r="S880" s="45">
        <f>0.37*Model!$B$10*(Q880^2*(N880-K880)*I880/(R880*O880^2))^0.33333*(N880-K880)</f>
        <v>0</v>
      </c>
      <c r="T880" s="50">
        <f>Model!$B$32+(90-Model!$B$6)*SIN(RADIANS(-15*(E880+6)))</f>
        <v>-31.619472402513487</v>
      </c>
      <c r="U880" s="45">
        <f t="shared" si="264"/>
        <v>0</v>
      </c>
      <c r="V880" s="50">
        <f t="shared" si="265"/>
        <v>99999</v>
      </c>
      <c r="W880" s="45">
        <f t="shared" si="266"/>
        <v>0</v>
      </c>
      <c r="X880" s="45">
        <f>0.3*W880*Model!$B$9</f>
        <v>0</v>
      </c>
      <c r="Y880" s="33">
        <f>(S880-X880)/Model!$B$11</f>
        <v>0</v>
      </c>
      <c r="Z880" s="45" t="e">
        <f t="shared" si="267"/>
        <v>#DIV/0!</v>
      </c>
      <c r="AA880" s="56">
        <f>Y880/Model!$B$12*3600</f>
        <v>0</v>
      </c>
      <c r="AB880" s="50">
        <f t="shared" si="272"/>
        <v>0</v>
      </c>
      <c r="AC880" s="50">
        <f t="shared" si="276"/>
        <v>1800</v>
      </c>
      <c r="AD880" s="15">
        <f>IF(AE880=0, Model!$B$19, 0 )</f>
        <v>0</v>
      </c>
      <c r="AE880" s="50">
        <f>IF(AE879+AB879-AB880&lt;Model!$B$19*Model!$B$18, AE879+AB879-AB880,  0)</f>
        <v>443.63457370611354</v>
      </c>
      <c r="AF880" s="15">
        <f t="shared" si="268"/>
        <v>1</v>
      </c>
      <c r="AG880" s="50">
        <f t="shared" si="269"/>
        <v>0</v>
      </c>
    </row>
    <row r="881" spans="2:33" x14ac:dyDescent="0.25">
      <c r="B881" s="13">
        <f t="shared" si="270"/>
        <v>1</v>
      </c>
      <c r="C881" s="13">
        <f>B881+Model!$B$4</f>
        <v>3</v>
      </c>
      <c r="D881" s="13">
        <f t="shared" si="271"/>
        <v>1</v>
      </c>
      <c r="E881" s="13">
        <f t="shared" si="277"/>
        <v>3</v>
      </c>
      <c r="F881" s="14">
        <f>IF(AB881&gt;0, VLOOKUP(B881,Model!$A$40:$B$60, 2), 0)</f>
        <v>0</v>
      </c>
      <c r="G881" s="13">
        <f>IF(AB881&gt;0, VLOOKUP(B881,Model!$A$39:$C$58, 3), 0)</f>
        <v>0</v>
      </c>
      <c r="H881" s="13">
        <f t="shared" si="260"/>
        <v>0</v>
      </c>
      <c r="I881" s="46">
        <f>Model!$B$21*EXP((-0.029*9.81*F881)/(8.31*(273+J881)))</f>
        <v>104500</v>
      </c>
      <c r="J881" s="13">
        <f>IF(Model!$B$31="Summer",  IF(F881&lt;=2000,  Model!$B$20-Model!$B$35*F881/1000,  IF(F881&lt;Model!$B$36,  Model!$B$33-6.5*F881/1000,  Model!$B$38)),     IF(F881&lt;=2000,  Model!$B$20-Model!$B$35*F881/1000,  IF(F881&lt;Model!$B$36,  Model!$B$33-5.4*F881/1000,   Model!$B$38)))</f>
        <v>-20</v>
      </c>
      <c r="K881" s="13">
        <f t="shared" si="273"/>
        <v>253</v>
      </c>
      <c r="L881" s="46">
        <f>IF(AB880-AA880*(B881-B880)&gt;0, L880-Y880*(B881-B880)*3600-AD881*Model!$B$16, 0)</f>
        <v>0</v>
      </c>
      <c r="M881" s="57">
        <f t="shared" si="261"/>
        <v>0</v>
      </c>
      <c r="N881" s="57">
        <f>Model!$B$13*I881*K881/(Model!$B$13*I881-L881*287*K881)</f>
        <v>253</v>
      </c>
      <c r="O881" s="57">
        <f t="shared" si="262"/>
        <v>253</v>
      </c>
      <c r="P881" s="57">
        <f t="shared" si="263"/>
        <v>-10</v>
      </c>
      <c r="Q881" s="63">
        <f t="shared" si="274"/>
        <v>2.2579999999999999E-2</v>
      </c>
      <c r="R881" s="17">
        <f t="shared" si="275"/>
        <v>1.152E-5</v>
      </c>
      <c r="S881" s="46">
        <f>0.37*Model!$B$10*(Q881^2*(N881-K881)*I881/(R881*O881^2))^0.33333*(N881-K881)</f>
        <v>0</v>
      </c>
      <c r="T881" s="51">
        <f>Model!$B$32+(90-Model!$B$6)*SIN(RADIANS(-15*(E881+6)))</f>
        <v>-31.619472402513487</v>
      </c>
      <c r="U881" s="46">
        <f t="shared" si="264"/>
        <v>0</v>
      </c>
      <c r="V881" s="51">
        <f t="shared" si="265"/>
        <v>99999</v>
      </c>
      <c r="W881" s="46">
        <f t="shared" si="266"/>
        <v>0</v>
      </c>
      <c r="X881" s="46">
        <f>0.3*W881*Model!$B$9</f>
        <v>0</v>
      </c>
      <c r="Y881" s="17">
        <f>(S881-X881)/Model!$B$11</f>
        <v>0</v>
      </c>
      <c r="Z881" s="46" t="e">
        <f t="shared" si="267"/>
        <v>#DIV/0!</v>
      </c>
      <c r="AA881" s="57">
        <f>Y881/Model!$B$12*3600</f>
        <v>0</v>
      </c>
      <c r="AB881" s="51">
        <f t="shared" si="272"/>
        <v>0</v>
      </c>
      <c r="AC881" s="51">
        <f t="shared" si="276"/>
        <v>1800</v>
      </c>
      <c r="AD881" s="13">
        <f>IF(AE881=0, Model!$B$19, 0 )</f>
        <v>0</v>
      </c>
      <c r="AE881" s="51">
        <f>IF(AE880+AB880-AB881&lt;Model!$B$19*Model!$B$18, AE880+AB880-AB881,  0)</f>
        <v>443.63457370611354</v>
      </c>
      <c r="AF881" s="13">
        <f t="shared" si="268"/>
        <v>1</v>
      </c>
      <c r="AG881" s="50">
        <f t="shared" si="269"/>
        <v>0</v>
      </c>
    </row>
    <row r="882" spans="2:33" x14ac:dyDescent="0.25">
      <c r="B882" s="15">
        <f t="shared" si="270"/>
        <v>1</v>
      </c>
      <c r="C882" s="15">
        <f>B882+Model!$B$4</f>
        <v>3</v>
      </c>
      <c r="D882" s="15">
        <f t="shared" si="271"/>
        <v>1</v>
      </c>
      <c r="E882" s="15">
        <f t="shared" si="277"/>
        <v>3</v>
      </c>
      <c r="F882" s="16">
        <f>IF(AB882&gt;0, VLOOKUP(B882,Model!$A$40:$B$60, 2), 0)</f>
        <v>0</v>
      </c>
      <c r="G882" s="15">
        <f>IF(AB882&gt;0, VLOOKUP(B882,Model!$A$39:$C$58, 3), 0)</f>
        <v>0</v>
      </c>
      <c r="H882" s="15">
        <f t="shared" si="260"/>
        <v>0</v>
      </c>
      <c r="I882" s="45">
        <f>Model!$B$21*EXP((-0.029*9.81*F882)/(8.31*(273+J882)))</f>
        <v>104500</v>
      </c>
      <c r="J882" s="15">
        <f>IF(Model!$B$31="Summer",  IF(F882&lt;=2000,  Model!$B$20-Model!$B$35*F882/1000,  IF(F882&lt;Model!$B$36,  Model!$B$33-6.5*F882/1000,  Model!$B$38)),     IF(F882&lt;=2000,  Model!$B$20-Model!$B$35*F882/1000,  IF(F882&lt;Model!$B$36,  Model!$B$33-5.4*F882/1000,   Model!$B$38)))</f>
        <v>-20</v>
      </c>
      <c r="K882" s="15">
        <f t="shared" si="273"/>
        <v>253</v>
      </c>
      <c r="L882" s="45">
        <f>IF(AB881-AA881*(B882-B881)&gt;0, L881-Y881*(B882-B881)*3600-AD882*Model!$B$16, 0)</f>
        <v>0</v>
      </c>
      <c r="M882" s="56">
        <f t="shared" si="261"/>
        <v>0</v>
      </c>
      <c r="N882" s="56">
        <f>Model!$B$13*I882*K882/(Model!$B$13*I882-L882*287*K882)</f>
        <v>253</v>
      </c>
      <c r="O882" s="56">
        <f t="shared" si="262"/>
        <v>253</v>
      </c>
      <c r="P882" s="56">
        <f t="shared" si="263"/>
        <v>-10</v>
      </c>
      <c r="Q882" s="62">
        <f t="shared" si="274"/>
        <v>2.2579999999999999E-2</v>
      </c>
      <c r="R882" s="33">
        <f t="shared" si="275"/>
        <v>1.152E-5</v>
      </c>
      <c r="S882" s="45">
        <f>0.37*Model!$B$10*(Q882^2*(N882-K882)*I882/(R882*O882^2))^0.33333*(N882-K882)</f>
        <v>0</v>
      </c>
      <c r="T882" s="50">
        <f>Model!$B$32+(90-Model!$B$6)*SIN(RADIANS(-15*(E882+6)))</f>
        <v>-31.619472402513487</v>
      </c>
      <c r="U882" s="45">
        <f t="shared" si="264"/>
        <v>0</v>
      </c>
      <c r="V882" s="50">
        <f t="shared" si="265"/>
        <v>99999</v>
      </c>
      <c r="W882" s="45">
        <f t="shared" si="266"/>
        <v>0</v>
      </c>
      <c r="X882" s="45">
        <f>0.3*W882*Model!$B$9</f>
        <v>0</v>
      </c>
      <c r="Y882" s="33">
        <f>(S882-X882)/Model!$B$11</f>
        <v>0</v>
      </c>
      <c r="Z882" s="45" t="e">
        <f t="shared" si="267"/>
        <v>#DIV/0!</v>
      </c>
      <c r="AA882" s="56">
        <f>Y882/Model!$B$12*3600</f>
        <v>0</v>
      </c>
      <c r="AB882" s="50">
        <f t="shared" si="272"/>
        <v>0</v>
      </c>
      <c r="AC882" s="50">
        <f t="shared" si="276"/>
        <v>1800</v>
      </c>
      <c r="AD882" s="15">
        <f>IF(AE882=0, Model!$B$19, 0 )</f>
        <v>0</v>
      </c>
      <c r="AE882" s="50">
        <f>IF(AE881+AB881-AB882&lt;Model!$B$19*Model!$B$18, AE881+AB881-AB882,  0)</f>
        <v>443.63457370611354</v>
      </c>
      <c r="AF882" s="15">
        <f t="shared" si="268"/>
        <v>1</v>
      </c>
      <c r="AG882" s="50">
        <f t="shared" si="269"/>
        <v>0</v>
      </c>
    </row>
    <row r="883" spans="2:33" x14ac:dyDescent="0.25">
      <c r="B883" s="13">
        <f t="shared" si="270"/>
        <v>1</v>
      </c>
      <c r="C883" s="13">
        <f>B883+Model!$B$4</f>
        <v>3</v>
      </c>
      <c r="D883" s="13">
        <f t="shared" si="271"/>
        <v>1</v>
      </c>
      <c r="E883" s="13">
        <f t="shared" si="277"/>
        <v>3</v>
      </c>
      <c r="F883" s="14">
        <f>IF(AB883&gt;0, VLOOKUP(B883,Model!$A$40:$B$60, 2), 0)</f>
        <v>0</v>
      </c>
      <c r="G883" s="13">
        <f>IF(AB883&gt;0, VLOOKUP(B883,Model!$A$39:$C$58, 3), 0)</f>
        <v>0</v>
      </c>
      <c r="H883" s="13">
        <f t="shared" si="260"/>
        <v>0</v>
      </c>
      <c r="I883" s="46">
        <f>Model!$B$21*EXP((-0.029*9.81*F883)/(8.31*(273+J883)))</f>
        <v>104500</v>
      </c>
      <c r="J883" s="13">
        <f>IF(Model!$B$31="Summer",  IF(F883&lt;=2000,  Model!$B$20-Model!$B$35*F883/1000,  IF(F883&lt;Model!$B$36,  Model!$B$33-6.5*F883/1000,  Model!$B$38)),     IF(F883&lt;=2000,  Model!$B$20-Model!$B$35*F883/1000,  IF(F883&lt;Model!$B$36,  Model!$B$33-5.4*F883/1000,   Model!$B$38)))</f>
        <v>-20</v>
      </c>
      <c r="K883" s="13">
        <f t="shared" si="273"/>
        <v>253</v>
      </c>
      <c r="L883" s="46">
        <f>IF(AB882-AA882*(B883-B882)&gt;0, L882-Y882*(B883-B882)*3600-AD883*Model!$B$16, 0)</f>
        <v>0</v>
      </c>
      <c r="M883" s="57">
        <f t="shared" si="261"/>
        <v>0</v>
      </c>
      <c r="N883" s="57">
        <f>Model!$B$13*I883*K883/(Model!$B$13*I883-L883*287*K883)</f>
        <v>253</v>
      </c>
      <c r="O883" s="57">
        <f t="shared" si="262"/>
        <v>253</v>
      </c>
      <c r="P883" s="57">
        <f t="shared" si="263"/>
        <v>-10</v>
      </c>
      <c r="Q883" s="63">
        <f t="shared" si="274"/>
        <v>2.2579999999999999E-2</v>
      </c>
      <c r="R883" s="17">
        <f t="shared" si="275"/>
        <v>1.152E-5</v>
      </c>
      <c r="S883" s="46">
        <f>0.37*Model!$B$10*(Q883^2*(N883-K883)*I883/(R883*O883^2))^0.33333*(N883-K883)</f>
        <v>0</v>
      </c>
      <c r="T883" s="51">
        <f>Model!$B$32+(90-Model!$B$6)*SIN(RADIANS(-15*(E883+6)))</f>
        <v>-31.619472402513487</v>
      </c>
      <c r="U883" s="46">
        <f t="shared" si="264"/>
        <v>0</v>
      </c>
      <c r="V883" s="51">
        <f t="shared" si="265"/>
        <v>99999</v>
      </c>
      <c r="W883" s="46">
        <f t="shared" si="266"/>
        <v>0</v>
      </c>
      <c r="X883" s="46">
        <f>0.3*W883*Model!$B$9</f>
        <v>0</v>
      </c>
      <c r="Y883" s="17">
        <f>(S883-X883)/Model!$B$11</f>
        <v>0</v>
      </c>
      <c r="Z883" s="46" t="e">
        <f t="shared" si="267"/>
        <v>#DIV/0!</v>
      </c>
      <c r="AA883" s="57">
        <f>Y883/Model!$B$12*3600</f>
        <v>0</v>
      </c>
      <c r="AB883" s="51">
        <f t="shared" si="272"/>
        <v>0</v>
      </c>
      <c r="AC883" s="51">
        <f t="shared" si="276"/>
        <v>1800</v>
      </c>
      <c r="AD883" s="13">
        <f>IF(AE883=0, Model!$B$19, 0 )</f>
        <v>0</v>
      </c>
      <c r="AE883" s="51">
        <f>IF(AE882+AB882-AB883&lt;Model!$B$19*Model!$B$18, AE882+AB882-AB883,  0)</f>
        <v>443.63457370611354</v>
      </c>
      <c r="AF883" s="13">
        <f t="shared" si="268"/>
        <v>1</v>
      </c>
      <c r="AG883" s="50">
        <f t="shared" si="269"/>
        <v>0</v>
      </c>
    </row>
    <row r="884" spans="2:33" x14ac:dyDescent="0.25">
      <c r="B884" s="15">
        <f t="shared" si="270"/>
        <v>1</v>
      </c>
      <c r="C884" s="15">
        <f>B884+Model!$B$4</f>
        <v>3</v>
      </c>
      <c r="D884" s="15">
        <f t="shared" si="271"/>
        <v>1</v>
      </c>
      <c r="E884" s="15">
        <f t="shared" si="277"/>
        <v>3</v>
      </c>
      <c r="F884" s="16">
        <f>IF(AB884&gt;0, VLOOKUP(B884,Model!$A$40:$B$60, 2), 0)</f>
        <v>0</v>
      </c>
      <c r="G884" s="15">
        <f>IF(AB884&gt;0, VLOOKUP(B884,Model!$A$39:$C$58, 3), 0)</f>
        <v>0</v>
      </c>
      <c r="H884" s="15">
        <f t="shared" si="260"/>
        <v>0</v>
      </c>
      <c r="I884" s="45">
        <f>Model!$B$21*EXP((-0.029*9.81*F884)/(8.31*(273+J884)))</f>
        <v>104500</v>
      </c>
      <c r="J884" s="15">
        <f>IF(Model!$B$31="Summer",  IF(F884&lt;=2000,  Model!$B$20-Model!$B$35*F884/1000,  IF(F884&lt;Model!$B$36,  Model!$B$33-6.5*F884/1000,  Model!$B$38)),     IF(F884&lt;=2000,  Model!$B$20-Model!$B$35*F884/1000,  IF(F884&lt;Model!$B$36,  Model!$B$33-5.4*F884/1000,   Model!$B$38)))</f>
        <v>-20</v>
      </c>
      <c r="K884" s="15">
        <f t="shared" si="273"/>
        <v>253</v>
      </c>
      <c r="L884" s="45">
        <f>IF(AB883-AA883*(B884-B883)&gt;0, L883-Y883*(B884-B883)*3600-AD884*Model!$B$16, 0)</f>
        <v>0</v>
      </c>
      <c r="M884" s="56">
        <f t="shared" si="261"/>
        <v>0</v>
      </c>
      <c r="N884" s="56">
        <f>Model!$B$13*I884*K884/(Model!$B$13*I884-L884*287*K884)</f>
        <v>253</v>
      </c>
      <c r="O884" s="56">
        <f t="shared" si="262"/>
        <v>253</v>
      </c>
      <c r="P884" s="56">
        <f t="shared" si="263"/>
        <v>-10</v>
      </c>
      <c r="Q884" s="62">
        <f t="shared" si="274"/>
        <v>2.2579999999999999E-2</v>
      </c>
      <c r="R884" s="33">
        <f t="shared" si="275"/>
        <v>1.152E-5</v>
      </c>
      <c r="S884" s="45">
        <f>0.37*Model!$B$10*(Q884^2*(N884-K884)*I884/(R884*O884^2))^0.33333*(N884-K884)</f>
        <v>0</v>
      </c>
      <c r="T884" s="50">
        <f>Model!$B$32+(90-Model!$B$6)*SIN(RADIANS(-15*(E884+6)))</f>
        <v>-31.619472402513487</v>
      </c>
      <c r="U884" s="45">
        <f t="shared" si="264"/>
        <v>0</v>
      </c>
      <c r="V884" s="50">
        <f t="shared" si="265"/>
        <v>99999</v>
      </c>
      <c r="W884" s="45">
        <f t="shared" si="266"/>
        <v>0</v>
      </c>
      <c r="X884" s="45">
        <f>0.3*W884*Model!$B$9</f>
        <v>0</v>
      </c>
      <c r="Y884" s="33">
        <f>(S884-X884)/Model!$B$11</f>
        <v>0</v>
      </c>
      <c r="Z884" s="45" t="e">
        <f t="shared" si="267"/>
        <v>#DIV/0!</v>
      </c>
      <c r="AA884" s="56">
        <f>Y884/Model!$B$12*3600</f>
        <v>0</v>
      </c>
      <c r="AB884" s="50">
        <f t="shared" si="272"/>
        <v>0</v>
      </c>
      <c r="AC884" s="50">
        <f t="shared" si="276"/>
        <v>1800</v>
      </c>
      <c r="AD884" s="15">
        <f>IF(AE884=0, Model!$B$19, 0 )</f>
        <v>0</v>
      </c>
      <c r="AE884" s="50">
        <f>IF(AE883+AB883-AB884&lt;Model!$B$19*Model!$B$18, AE883+AB883-AB884,  0)</f>
        <v>443.63457370611354</v>
      </c>
      <c r="AF884" s="15">
        <f t="shared" si="268"/>
        <v>1</v>
      </c>
      <c r="AG884" s="50">
        <f t="shared" si="269"/>
        <v>0</v>
      </c>
    </row>
    <row r="885" spans="2:33" x14ac:dyDescent="0.25">
      <c r="B885" s="13">
        <f t="shared" si="270"/>
        <v>1</v>
      </c>
      <c r="C885" s="13">
        <f>B885+Model!$B$4</f>
        <v>3</v>
      </c>
      <c r="D885" s="13">
        <f t="shared" si="271"/>
        <v>1</v>
      </c>
      <c r="E885" s="13">
        <f t="shared" si="277"/>
        <v>3</v>
      </c>
      <c r="F885" s="14">
        <f>IF(AB885&gt;0, VLOOKUP(B885,Model!$A$40:$B$60, 2), 0)</f>
        <v>0</v>
      </c>
      <c r="G885" s="13">
        <f>IF(AB885&gt;0, VLOOKUP(B885,Model!$A$39:$C$58, 3), 0)</f>
        <v>0</v>
      </c>
      <c r="H885" s="13">
        <f t="shared" si="260"/>
        <v>0</v>
      </c>
      <c r="I885" s="46">
        <f>Model!$B$21*EXP((-0.029*9.81*F885)/(8.31*(273+J885)))</f>
        <v>104500</v>
      </c>
      <c r="J885" s="13">
        <f>IF(Model!$B$31="Summer",  IF(F885&lt;=2000,  Model!$B$20-Model!$B$35*F885/1000,  IF(F885&lt;Model!$B$36,  Model!$B$33-6.5*F885/1000,  Model!$B$38)),     IF(F885&lt;=2000,  Model!$B$20-Model!$B$35*F885/1000,  IF(F885&lt;Model!$B$36,  Model!$B$33-5.4*F885/1000,   Model!$B$38)))</f>
        <v>-20</v>
      </c>
      <c r="K885" s="13">
        <f t="shared" si="273"/>
        <v>253</v>
      </c>
      <c r="L885" s="46">
        <f>IF(AB884-AA884*(B885-B884)&gt;0, L884-Y884*(B885-B884)*3600-AD885*Model!$B$16, 0)</f>
        <v>0</v>
      </c>
      <c r="M885" s="57">
        <f t="shared" si="261"/>
        <v>0</v>
      </c>
      <c r="N885" s="57">
        <f>Model!$B$13*I885*K885/(Model!$B$13*I885-L885*287*K885)</f>
        <v>253</v>
      </c>
      <c r="O885" s="57">
        <f t="shared" si="262"/>
        <v>253</v>
      </c>
      <c r="P885" s="57">
        <f t="shared" si="263"/>
        <v>-10</v>
      </c>
      <c r="Q885" s="63">
        <f t="shared" si="274"/>
        <v>2.2579999999999999E-2</v>
      </c>
      <c r="R885" s="17">
        <f t="shared" si="275"/>
        <v>1.152E-5</v>
      </c>
      <c r="S885" s="46">
        <f>0.37*Model!$B$10*(Q885^2*(N885-K885)*I885/(R885*O885^2))^0.33333*(N885-K885)</f>
        <v>0</v>
      </c>
      <c r="T885" s="51">
        <f>Model!$B$32+(90-Model!$B$6)*SIN(RADIANS(-15*(E885+6)))</f>
        <v>-31.619472402513487</v>
      </c>
      <c r="U885" s="46">
        <f t="shared" si="264"/>
        <v>0</v>
      </c>
      <c r="V885" s="51">
        <f t="shared" si="265"/>
        <v>99999</v>
      </c>
      <c r="W885" s="46">
        <f t="shared" si="266"/>
        <v>0</v>
      </c>
      <c r="X885" s="46">
        <f>0.3*W885*Model!$B$9</f>
        <v>0</v>
      </c>
      <c r="Y885" s="17">
        <f>(S885-X885)/Model!$B$11</f>
        <v>0</v>
      </c>
      <c r="Z885" s="46" t="e">
        <f t="shared" si="267"/>
        <v>#DIV/0!</v>
      </c>
      <c r="AA885" s="57">
        <f>Y885/Model!$B$12*3600</f>
        <v>0</v>
      </c>
      <c r="AB885" s="51">
        <f t="shared" si="272"/>
        <v>0</v>
      </c>
      <c r="AC885" s="51">
        <f t="shared" si="276"/>
        <v>1800</v>
      </c>
      <c r="AD885" s="13">
        <f>IF(AE885=0, Model!$B$19, 0 )</f>
        <v>0</v>
      </c>
      <c r="AE885" s="51">
        <f>IF(AE884+AB884-AB885&lt;Model!$B$19*Model!$B$18, AE884+AB884-AB885,  0)</f>
        <v>443.63457370611354</v>
      </c>
      <c r="AF885" s="13">
        <f t="shared" si="268"/>
        <v>1</v>
      </c>
      <c r="AG885" s="50">
        <f t="shared" si="269"/>
        <v>0</v>
      </c>
    </row>
    <row r="886" spans="2:33" x14ac:dyDescent="0.25">
      <c r="B886" s="15">
        <f t="shared" si="270"/>
        <v>1</v>
      </c>
      <c r="C886" s="15">
        <f>B886+Model!$B$4</f>
        <v>3</v>
      </c>
      <c r="D886" s="15">
        <f t="shared" si="271"/>
        <v>1</v>
      </c>
      <c r="E886" s="15">
        <f t="shared" si="277"/>
        <v>3</v>
      </c>
      <c r="F886" s="16">
        <f>IF(AB886&gt;0, VLOOKUP(B886,Model!$A$40:$B$60, 2), 0)</f>
        <v>0</v>
      </c>
      <c r="G886" s="15">
        <f>IF(AB886&gt;0, VLOOKUP(B886,Model!$A$39:$C$58, 3), 0)</f>
        <v>0</v>
      </c>
      <c r="H886" s="15">
        <f t="shared" si="260"/>
        <v>0</v>
      </c>
      <c r="I886" s="45">
        <f>Model!$B$21*EXP((-0.029*9.81*F886)/(8.31*(273+J886)))</f>
        <v>104500</v>
      </c>
      <c r="J886" s="15">
        <f>IF(Model!$B$31="Summer",  IF(F886&lt;=2000,  Model!$B$20-Model!$B$35*F886/1000,  IF(F886&lt;Model!$B$36,  Model!$B$33-6.5*F886/1000,  Model!$B$38)),     IF(F886&lt;=2000,  Model!$B$20-Model!$B$35*F886/1000,  IF(F886&lt;Model!$B$36,  Model!$B$33-5.4*F886/1000,   Model!$B$38)))</f>
        <v>-20</v>
      </c>
      <c r="K886" s="15">
        <f t="shared" si="273"/>
        <v>253</v>
      </c>
      <c r="L886" s="45">
        <f>IF(AB885-AA885*(B886-B885)&gt;0, L885-Y885*(B886-B885)*3600-AD886*Model!$B$16, 0)</f>
        <v>0</v>
      </c>
      <c r="M886" s="56">
        <f t="shared" si="261"/>
        <v>0</v>
      </c>
      <c r="N886" s="56">
        <f>Model!$B$13*I886*K886/(Model!$B$13*I886-L886*287*K886)</f>
        <v>253</v>
      </c>
      <c r="O886" s="56">
        <f t="shared" si="262"/>
        <v>253</v>
      </c>
      <c r="P886" s="56">
        <f t="shared" si="263"/>
        <v>-10</v>
      </c>
      <c r="Q886" s="62">
        <f t="shared" si="274"/>
        <v>2.2579999999999999E-2</v>
      </c>
      <c r="R886" s="33">
        <f t="shared" si="275"/>
        <v>1.152E-5</v>
      </c>
      <c r="S886" s="45">
        <f>0.37*Model!$B$10*(Q886^2*(N886-K886)*I886/(R886*O886^2))^0.33333*(N886-K886)</f>
        <v>0</v>
      </c>
      <c r="T886" s="50">
        <f>Model!$B$32+(90-Model!$B$6)*SIN(RADIANS(-15*(E886+6)))</f>
        <v>-31.619472402513487</v>
      </c>
      <c r="U886" s="45">
        <f t="shared" si="264"/>
        <v>0</v>
      </c>
      <c r="V886" s="50">
        <f t="shared" si="265"/>
        <v>99999</v>
      </c>
      <c r="W886" s="45">
        <f t="shared" si="266"/>
        <v>0</v>
      </c>
      <c r="X886" s="45">
        <f>0.3*W886*Model!$B$9</f>
        <v>0</v>
      </c>
      <c r="Y886" s="33">
        <f>(S886-X886)/Model!$B$11</f>
        <v>0</v>
      </c>
      <c r="Z886" s="45" t="e">
        <f t="shared" si="267"/>
        <v>#DIV/0!</v>
      </c>
      <c r="AA886" s="56">
        <f>Y886/Model!$B$12*3600</f>
        <v>0</v>
      </c>
      <c r="AB886" s="50">
        <f t="shared" si="272"/>
        <v>0</v>
      </c>
      <c r="AC886" s="50">
        <f t="shared" si="276"/>
        <v>1800</v>
      </c>
      <c r="AD886" s="15">
        <f>IF(AE886=0, Model!$B$19, 0 )</f>
        <v>0</v>
      </c>
      <c r="AE886" s="50">
        <f>IF(AE885+AB885-AB886&lt;Model!$B$19*Model!$B$18, AE885+AB885-AB886,  0)</f>
        <v>443.63457370611354</v>
      </c>
      <c r="AF886" s="15">
        <f t="shared" si="268"/>
        <v>1</v>
      </c>
      <c r="AG886" s="50">
        <f t="shared" si="269"/>
        <v>0</v>
      </c>
    </row>
    <row r="887" spans="2:33" x14ac:dyDescent="0.25">
      <c r="B887" s="13">
        <f t="shared" si="270"/>
        <v>1</v>
      </c>
      <c r="C887" s="13">
        <f>B887+Model!$B$4</f>
        <v>3</v>
      </c>
      <c r="D887" s="13">
        <f t="shared" si="271"/>
        <v>1</v>
      </c>
      <c r="E887" s="13">
        <f t="shared" si="277"/>
        <v>3</v>
      </c>
      <c r="F887" s="14">
        <f>IF(AB887&gt;0, VLOOKUP(B887,Model!$A$40:$B$60, 2), 0)</f>
        <v>0</v>
      </c>
      <c r="G887" s="13">
        <f>IF(AB887&gt;0, VLOOKUP(B887,Model!$A$39:$C$58, 3), 0)</f>
        <v>0</v>
      </c>
      <c r="H887" s="13">
        <f t="shared" si="260"/>
        <v>0</v>
      </c>
      <c r="I887" s="46">
        <f>Model!$B$21*EXP((-0.029*9.81*F887)/(8.31*(273+J887)))</f>
        <v>104500</v>
      </c>
      <c r="J887" s="13">
        <f>IF(Model!$B$31="Summer",  IF(F887&lt;=2000,  Model!$B$20-Model!$B$35*F887/1000,  IF(F887&lt;Model!$B$36,  Model!$B$33-6.5*F887/1000,  Model!$B$38)),     IF(F887&lt;=2000,  Model!$B$20-Model!$B$35*F887/1000,  IF(F887&lt;Model!$B$36,  Model!$B$33-5.4*F887/1000,   Model!$B$38)))</f>
        <v>-20</v>
      </c>
      <c r="K887" s="13">
        <f t="shared" si="273"/>
        <v>253</v>
      </c>
      <c r="L887" s="46">
        <f>IF(AB886-AA886*(B887-B886)&gt;0, L886-Y886*(B887-B886)*3600-AD887*Model!$B$16, 0)</f>
        <v>0</v>
      </c>
      <c r="M887" s="57">
        <f t="shared" si="261"/>
        <v>0</v>
      </c>
      <c r="N887" s="57">
        <f>Model!$B$13*I887*K887/(Model!$B$13*I887-L887*287*K887)</f>
        <v>253</v>
      </c>
      <c r="O887" s="57">
        <f t="shared" si="262"/>
        <v>253</v>
      </c>
      <c r="P887" s="57">
        <f t="shared" si="263"/>
        <v>-10</v>
      </c>
      <c r="Q887" s="63">
        <f t="shared" si="274"/>
        <v>2.2579999999999999E-2</v>
      </c>
      <c r="R887" s="17">
        <f t="shared" si="275"/>
        <v>1.152E-5</v>
      </c>
      <c r="S887" s="46">
        <f>0.37*Model!$B$10*(Q887^2*(N887-K887)*I887/(R887*O887^2))^0.33333*(N887-K887)</f>
        <v>0</v>
      </c>
      <c r="T887" s="51">
        <f>Model!$B$32+(90-Model!$B$6)*SIN(RADIANS(-15*(E887+6)))</f>
        <v>-31.619472402513487</v>
      </c>
      <c r="U887" s="46">
        <f t="shared" si="264"/>
        <v>0</v>
      </c>
      <c r="V887" s="51">
        <f t="shared" si="265"/>
        <v>99999</v>
      </c>
      <c r="W887" s="46">
        <f t="shared" si="266"/>
        <v>0</v>
      </c>
      <c r="X887" s="46">
        <f>0.3*W887*Model!$B$9</f>
        <v>0</v>
      </c>
      <c r="Y887" s="17">
        <f>(S887-X887)/Model!$B$11</f>
        <v>0</v>
      </c>
      <c r="Z887" s="46" t="e">
        <f t="shared" si="267"/>
        <v>#DIV/0!</v>
      </c>
      <c r="AA887" s="57">
        <f>Y887/Model!$B$12*3600</f>
        <v>0</v>
      </c>
      <c r="AB887" s="51">
        <f t="shared" si="272"/>
        <v>0</v>
      </c>
      <c r="AC887" s="51">
        <f t="shared" si="276"/>
        <v>1800</v>
      </c>
      <c r="AD887" s="13">
        <f>IF(AE887=0, Model!$B$19, 0 )</f>
        <v>0</v>
      </c>
      <c r="AE887" s="51">
        <f>IF(AE886+AB886-AB887&lt;Model!$B$19*Model!$B$18, AE886+AB886-AB887,  0)</f>
        <v>443.63457370611354</v>
      </c>
      <c r="AF887" s="13">
        <f t="shared" si="268"/>
        <v>1</v>
      </c>
      <c r="AG887" s="50">
        <f t="shared" si="269"/>
        <v>0</v>
      </c>
    </row>
    <row r="888" spans="2:33" x14ac:dyDescent="0.25">
      <c r="B888" s="15">
        <f t="shared" si="270"/>
        <v>1</v>
      </c>
      <c r="C888" s="15">
        <f>B888+Model!$B$4</f>
        <v>3</v>
      </c>
      <c r="D888" s="15">
        <f t="shared" si="271"/>
        <v>1</v>
      </c>
      <c r="E888" s="15">
        <f t="shared" si="277"/>
        <v>3</v>
      </c>
      <c r="F888" s="16">
        <f>IF(AB888&gt;0, VLOOKUP(B888,Model!$A$40:$B$60, 2), 0)</f>
        <v>0</v>
      </c>
      <c r="G888" s="15">
        <f>IF(AB888&gt;0, VLOOKUP(B888,Model!$A$39:$C$58, 3), 0)</f>
        <v>0</v>
      </c>
      <c r="H888" s="15">
        <f t="shared" si="260"/>
        <v>0</v>
      </c>
      <c r="I888" s="45">
        <f>Model!$B$21*EXP((-0.029*9.81*F888)/(8.31*(273+J888)))</f>
        <v>104500</v>
      </c>
      <c r="J888" s="15">
        <f>IF(Model!$B$31="Summer",  IF(F888&lt;=2000,  Model!$B$20-Model!$B$35*F888/1000,  IF(F888&lt;Model!$B$36,  Model!$B$33-6.5*F888/1000,  Model!$B$38)),     IF(F888&lt;=2000,  Model!$B$20-Model!$B$35*F888/1000,  IF(F888&lt;Model!$B$36,  Model!$B$33-5.4*F888/1000,   Model!$B$38)))</f>
        <v>-20</v>
      </c>
      <c r="K888" s="15">
        <f t="shared" si="273"/>
        <v>253</v>
      </c>
      <c r="L888" s="45">
        <f>IF(AB887-AA887*(B888-B887)&gt;0, L887-Y887*(B888-B887)*3600-AD888*Model!$B$16, 0)</f>
        <v>0</v>
      </c>
      <c r="M888" s="56">
        <f t="shared" si="261"/>
        <v>0</v>
      </c>
      <c r="N888" s="56">
        <f>Model!$B$13*I888*K888/(Model!$B$13*I888-L888*287*K888)</f>
        <v>253</v>
      </c>
      <c r="O888" s="56">
        <f t="shared" si="262"/>
        <v>253</v>
      </c>
      <c r="P888" s="56">
        <f t="shared" si="263"/>
        <v>-10</v>
      </c>
      <c r="Q888" s="62">
        <f t="shared" si="274"/>
        <v>2.2579999999999999E-2</v>
      </c>
      <c r="R888" s="33">
        <f t="shared" si="275"/>
        <v>1.152E-5</v>
      </c>
      <c r="S888" s="45">
        <f>0.37*Model!$B$10*(Q888^2*(N888-K888)*I888/(R888*O888^2))^0.33333*(N888-K888)</f>
        <v>0</v>
      </c>
      <c r="T888" s="50">
        <f>Model!$B$32+(90-Model!$B$6)*SIN(RADIANS(-15*(E888+6)))</f>
        <v>-31.619472402513487</v>
      </c>
      <c r="U888" s="45">
        <f t="shared" si="264"/>
        <v>0</v>
      </c>
      <c r="V888" s="50">
        <f t="shared" si="265"/>
        <v>99999</v>
      </c>
      <c r="W888" s="45">
        <f t="shared" si="266"/>
        <v>0</v>
      </c>
      <c r="X888" s="45">
        <f>0.3*W888*Model!$B$9</f>
        <v>0</v>
      </c>
      <c r="Y888" s="33">
        <f>(S888-X888)/Model!$B$11</f>
        <v>0</v>
      </c>
      <c r="Z888" s="45" t="e">
        <f t="shared" si="267"/>
        <v>#DIV/0!</v>
      </c>
      <c r="AA888" s="56">
        <f>Y888/Model!$B$12*3600</f>
        <v>0</v>
      </c>
      <c r="AB888" s="50">
        <f t="shared" si="272"/>
        <v>0</v>
      </c>
      <c r="AC888" s="50">
        <f t="shared" si="276"/>
        <v>1800</v>
      </c>
      <c r="AD888" s="15">
        <f>IF(AE888=0, Model!$B$19, 0 )</f>
        <v>0</v>
      </c>
      <c r="AE888" s="50">
        <f>IF(AE887+AB887-AB888&lt;Model!$B$19*Model!$B$18, AE887+AB887-AB888,  0)</f>
        <v>443.63457370611354</v>
      </c>
      <c r="AF888" s="15">
        <f t="shared" si="268"/>
        <v>1</v>
      </c>
      <c r="AG888" s="50">
        <f t="shared" si="269"/>
        <v>0</v>
      </c>
    </row>
    <row r="889" spans="2:33" x14ac:dyDescent="0.25">
      <c r="B889" s="13">
        <f t="shared" si="270"/>
        <v>1</v>
      </c>
      <c r="C889" s="13">
        <f>B889+Model!$B$4</f>
        <v>3</v>
      </c>
      <c r="D889" s="13">
        <f t="shared" si="271"/>
        <v>1</v>
      </c>
      <c r="E889" s="13">
        <f t="shared" si="277"/>
        <v>3</v>
      </c>
      <c r="F889" s="14">
        <f>IF(AB889&gt;0, VLOOKUP(B889,Model!$A$40:$B$60, 2), 0)</f>
        <v>0</v>
      </c>
      <c r="G889" s="13">
        <f>IF(AB889&gt;0, VLOOKUP(B889,Model!$A$39:$C$58, 3), 0)</f>
        <v>0</v>
      </c>
      <c r="H889" s="13">
        <f t="shared" si="260"/>
        <v>0</v>
      </c>
      <c r="I889" s="46">
        <f>Model!$B$21*EXP((-0.029*9.81*F889)/(8.31*(273+J889)))</f>
        <v>104500</v>
      </c>
      <c r="J889" s="13">
        <f>IF(Model!$B$31="Summer",  IF(F889&lt;=2000,  Model!$B$20-Model!$B$35*F889/1000,  IF(F889&lt;Model!$B$36,  Model!$B$33-6.5*F889/1000,  Model!$B$38)),     IF(F889&lt;=2000,  Model!$B$20-Model!$B$35*F889/1000,  IF(F889&lt;Model!$B$36,  Model!$B$33-5.4*F889/1000,   Model!$B$38)))</f>
        <v>-20</v>
      </c>
      <c r="K889" s="13">
        <f t="shared" si="273"/>
        <v>253</v>
      </c>
      <c r="L889" s="46">
        <f>IF(AB888-AA888*(B889-B888)&gt;0, L888-Y888*(B889-B888)*3600-AD889*Model!$B$16, 0)</f>
        <v>0</v>
      </c>
      <c r="M889" s="57">
        <f t="shared" si="261"/>
        <v>0</v>
      </c>
      <c r="N889" s="57">
        <f>Model!$B$13*I889*K889/(Model!$B$13*I889-L889*287*K889)</f>
        <v>253</v>
      </c>
      <c r="O889" s="57">
        <f t="shared" si="262"/>
        <v>253</v>
      </c>
      <c r="P889" s="57">
        <f t="shared" si="263"/>
        <v>-10</v>
      </c>
      <c r="Q889" s="63">
        <f t="shared" si="274"/>
        <v>2.2579999999999999E-2</v>
      </c>
      <c r="R889" s="17">
        <f t="shared" si="275"/>
        <v>1.152E-5</v>
      </c>
      <c r="S889" s="46">
        <f>0.37*Model!$B$10*(Q889^2*(N889-K889)*I889/(R889*O889^2))^0.33333*(N889-K889)</f>
        <v>0</v>
      </c>
      <c r="T889" s="51">
        <f>Model!$B$32+(90-Model!$B$6)*SIN(RADIANS(-15*(E889+6)))</f>
        <v>-31.619472402513487</v>
      </c>
      <c r="U889" s="46">
        <f t="shared" si="264"/>
        <v>0</v>
      </c>
      <c r="V889" s="51">
        <f t="shared" si="265"/>
        <v>99999</v>
      </c>
      <c r="W889" s="46">
        <f t="shared" si="266"/>
        <v>0</v>
      </c>
      <c r="X889" s="46">
        <f>0.3*W889*Model!$B$9</f>
        <v>0</v>
      </c>
      <c r="Y889" s="17">
        <f>(S889-X889)/Model!$B$11</f>
        <v>0</v>
      </c>
      <c r="Z889" s="46" t="e">
        <f t="shared" si="267"/>
        <v>#DIV/0!</v>
      </c>
      <c r="AA889" s="57">
        <f>Y889/Model!$B$12*3600</f>
        <v>0</v>
      </c>
      <c r="AB889" s="51">
        <f t="shared" si="272"/>
        <v>0</v>
      </c>
      <c r="AC889" s="51">
        <f t="shared" si="276"/>
        <v>1800</v>
      </c>
      <c r="AD889" s="13">
        <f>IF(AE889=0, Model!$B$19, 0 )</f>
        <v>0</v>
      </c>
      <c r="AE889" s="51">
        <f>IF(AE888+AB888-AB889&lt;Model!$B$19*Model!$B$18, AE888+AB888-AB889,  0)</f>
        <v>443.63457370611354</v>
      </c>
      <c r="AF889" s="13">
        <f t="shared" si="268"/>
        <v>1</v>
      </c>
      <c r="AG889" s="50">
        <f t="shared" si="269"/>
        <v>0</v>
      </c>
    </row>
    <row r="890" spans="2:33" x14ac:dyDescent="0.25">
      <c r="B890" s="15">
        <f t="shared" si="270"/>
        <v>1</v>
      </c>
      <c r="C890" s="15">
        <f>B890+Model!$B$4</f>
        <v>3</v>
      </c>
      <c r="D890" s="15">
        <f t="shared" si="271"/>
        <v>1</v>
      </c>
      <c r="E890" s="15">
        <f t="shared" si="277"/>
        <v>3</v>
      </c>
      <c r="F890" s="16">
        <f>IF(AB890&gt;0, VLOOKUP(B890,Model!$A$40:$B$60, 2), 0)</f>
        <v>0</v>
      </c>
      <c r="G890" s="15">
        <f>IF(AB890&gt;0, VLOOKUP(B890,Model!$A$39:$C$58, 3), 0)</f>
        <v>0</v>
      </c>
      <c r="H890" s="15">
        <f t="shared" si="260"/>
        <v>0</v>
      </c>
      <c r="I890" s="45">
        <f>Model!$B$21*EXP((-0.029*9.81*F890)/(8.31*(273+J890)))</f>
        <v>104500</v>
      </c>
      <c r="J890" s="15">
        <f>IF(Model!$B$31="Summer",  IF(F890&lt;=2000,  Model!$B$20-Model!$B$35*F890/1000,  IF(F890&lt;Model!$B$36,  Model!$B$33-6.5*F890/1000,  Model!$B$38)),     IF(F890&lt;=2000,  Model!$B$20-Model!$B$35*F890/1000,  IF(F890&lt;Model!$B$36,  Model!$B$33-5.4*F890/1000,   Model!$B$38)))</f>
        <v>-20</v>
      </c>
      <c r="K890" s="15">
        <f t="shared" si="273"/>
        <v>253</v>
      </c>
      <c r="L890" s="45">
        <f>IF(AB889-AA889*(B890-B889)&gt;0, L889-Y889*(B890-B889)*3600-AD890*Model!$B$16, 0)</f>
        <v>0</v>
      </c>
      <c r="M890" s="56">
        <f t="shared" si="261"/>
        <v>0</v>
      </c>
      <c r="N890" s="56">
        <f>Model!$B$13*I890*K890/(Model!$B$13*I890-L890*287*K890)</f>
        <v>253</v>
      </c>
      <c r="O890" s="56">
        <f t="shared" si="262"/>
        <v>253</v>
      </c>
      <c r="P890" s="56">
        <f t="shared" si="263"/>
        <v>-10</v>
      </c>
      <c r="Q890" s="62">
        <f t="shared" si="274"/>
        <v>2.2579999999999999E-2</v>
      </c>
      <c r="R890" s="33">
        <f t="shared" si="275"/>
        <v>1.152E-5</v>
      </c>
      <c r="S890" s="45">
        <f>0.37*Model!$B$10*(Q890^2*(N890-K890)*I890/(R890*O890^2))^0.33333*(N890-K890)</f>
        <v>0</v>
      </c>
      <c r="T890" s="50">
        <f>Model!$B$32+(90-Model!$B$6)*SIN(RADIANS(-15*(E890+6)))</f>
        <v>-31.619472402513487</v>
      </c>
      <c r="U890" s="45">
        <f t="shared" si="264"/>
        <v>0</v>
      </c>
      <c r="V890" s="50">
        <f t="shared" si="265"/>
        <v>99999</v>
      </c>
      <c r="W890" s="45">
        <f t="shared" si="266"/>
        <v>0</v>
      </c>
      <c r="X890" s="45">
        <f>0.3*W890*Model!$B$9</f>
        <v>0</v>
      </c>
      <c r="Y890" s="33">
        <f>(S890-X890)/Model!$B$11</f>
        <v>0</v>
      </c>
      <c r="Z890" s="45" t="e">
        <f t="shared" si="267"/>
        <v>#DIV/0!</v>
      </c>
      <c r="AA890" s="56">
        <f>Y890/Model!$B$12*3600</f>
        <v>0</v>
      </c>
      <c r="AB890" s="50">
        <f t="shared" si="272"/>
        <v>0</v>
      </c>
      <c r="AC890" s="50">
        <f t="shared" si="276"/>
        <v>1800</v>
      </c>
      <c r="AD890" s="15">
        <f>IF(AE890=0, Model!$B$19, 0 )</f>
        <v>0</v>
      </c>
      <c r="AE890" s="50">
        <f>IF(AE889+AB889-AB890&lt;Model!$B$19*Model!$B$18, AE889+AB889-AB890,  0)</f>
        <v>443.63457370611354</v>
      </c>
      <c r="AF890" s="15">
        <f t="shared" si="268"/>
        <v>1</v>
      </c>
      <c r="AG890" s="50">
        <f t="shared" si="269"/>
        <v>0</v>
      </c>
    </row>
    <row r="891" spans="2:33" x14ac:dyDescent="0.25">
      <c r="B891" s="13">
        <f t="shared" si="270"/>
        <v>1</v>
      </c>
      <c r="C891" s="13">
        <f>B891+Model!$B$4</f>
        <v>3</v>
      </c>
      <c r="D891" s="13">
        <f t="shared" si="271"/>
        <v>1</v>
      </c>
      <c r="E891" s="13">
        <f t="shared" si="277"/>
        <v>3</v>
      </c>
      <c r="F891" s="14">
        <f>IF(AB891&gt;0, VLOOKUP(B891,Model!$A$40:$B$60, 2), 0)</f>
        <v>0</v>
      </c>
      <c r="G891" s="13">
        <f>IF(AB891&gt;0, VLOOKUP(B891,Model!$A$39:$C$58, 3), 0)</f>
        <v>0</v>
      </c>
      <c r="H891" s="13">
        <f t="shared" si="260"/>
        <v>0</v>
      </c>
      <c r="I891" s="46">
        <f>Model!$B$21*EXP((-0.029*9.81*F891)/(8.31*(273+J891)))</f>
        <v>104500</v>
      </c>
      <c r="J891" s="13">
        <f>IF(Model!$B$31="Summer",  IF(F891&lt;=2000,  Model!$B$20-Model!$B$35*F891/1000,  IF(F891&lt;Model!$B$36,  Model!$B$33-6.5*F891/1000,  Model!$B$38)),     IF(F891&lt;=2000,  Model!$B$20-Model!$B$35*F891/1000,  IF(F891&lt;Model!$B$36,  Model!$B$33-5.4*F891/1000,   Model!$B$38)))</f>
        <v>-20</v>
      </c>
      <c r="K891" s="13">
        <f t="shared" si="273"/>
        <v>253</v>
      </c>
      <c r="L891" s="46">
        <f>IF(AB890-AA890*(B891-B890)&gt;0, L890-Y890*(B891-B890)*3600-AD891*Model!$B$16, 0)</f>
        <v>0</v>
      </c>
      <c r="M891" s="57">
        <f t="shared" si="261"/>
        <v>0</v>
      </c>
      <c r="N891" s="57">
        <f>Model!$B$13*I891*K891/(Model!$B$13*I891-L891*287*K891)</f>
        <v>253</v>
      </c>
      <c r="O891" s="57">
        <f t="shared" si="262"/>
        <v>253</v>
      </c>
      <c r="P891" s="57">
        <f t="shared" si="263"/>
        <v>-10</v>
      </c>
      <c r="Q891" s="63">
        <f t="shared" si="274"/>
        <v>2.2579999999999999E-2</v>
      </c>
      <c r="R891" s="17">
        <f t="shared" si="275"/>
        <v>1.152E-5</v>
      </c>
      <c r="S891" s="46">
        <f>0.37*Model!$B$10*(Q891^2*(N891-K891)*I891/(R891*O891^2))^0.33333*(N891-K891)</f>
        <v>0</v>
      </c>
      <c r="T891" s="51">
        <f>Model!$B$32+(90-Model!$B$6)*SIN(RADIANS(-15*(E891+6)))</f>
        <v>-31.619472402513487</v>
      </c>
      <c r="U891" s="46">
        <f t="shared" si="264"/>
        <v>0</v>
      </c>
      <c r="V891" s="51">
        <f t="shared" si="265"/>
        <v>99999</v>
      </c>
      <c r="W891" s="46">
        <f t="shared" si="266"/>
        <v>0</v>
      </c>
      <c r="X891" s="46">
        <f>0.3*W891*Model!$B$9</f>
        <v>0</v>
      </c>
      <c r="Y891" s="17">
        <f>(S891-X891)/Model!$B$11</f>
        <v>0</v>
      </c>
      <c r="Z891" s="46" t="e">
        <f t="shared" si="267"/>
        <v>#DIV/0!</v>
      </c>
      <c r="AA891" s="57">
        <f>Y891/Model!$B$12*3600</f>
        <v>0</v>
      </c>
      <c r="AB891" s="51">
        <f t="shared" si="272"/>
        <v>0</v>
      </c>
      <c r="AC891" s="51">
        <f t="shared" si="276"/>
        <v>1800</v>
      </c>
      <c r="AD891" s="13">
        <f>IF(AE891=0, Model!$B$19, 0 )</f>
        <v>0</v>
      </c>
      <c r="AE891" s="51">
        <f>IF(AE890+AB890-AB891&lt;Model!$B$19*Model!$B$18, AE890+AB890-AB891,  0)</f>
        <v>443.63457370611354</v>
      </c>
      <c r="AF891" s="13">
        <f t="shared" si="268"/>
        <v>1</v>
      </c>
      <c r="AG891" s="50">
        <f t="shared" si="269"/>
        <v>0</v>
      </c>
    </row>
    <row r="892" spans="2:33" x14ac:dyDescent="0.25">
      <c r="B892" s="15">
        <f t="shared" si="270"/>
        <v>1</v>
      </c>
      <c r="C892" s="15">
        <f>B892+Model!$B$4</f>
        <v>3</v>
      </c>
      <c r="D892" s="15">
        <f t="shared" si="271"/>
        <v>1</v>
      </c>
      <c r="E892" s="15">
        <f t="shared" si="277"/>
        <v>3</v>
      </c>
      <c r="F892" s="16">
        <f>IF(AB892&gt;0, VLOOKUP(B892,Model!$A$40:$B$60, 2), 0)</f>
        <v>0</v>
      </c>
      <c r="G892" s="15">
        <f>IF(AB892&gt;0, VLOOKUP(B892,Model!$A$39:$C$58, 3), 0)</f>
        <v>0</v>
      </c>
      <c r="H892" s="15">
        <f t="shared" si="260"/>
        <v>0</v>
      </c>
      <c r="I892" s="45">
        <f>Model!$B$21*EXP((-0.029*9.81*F892)/(8.31*(273+J892)))</f>
        <v>104500</v>
      </c>
      <c r="J892" s="15">
        <f>IF(Model!$B$31="Summer",  IF(F892&lt;=2000,  Model!$B$20-Model!$B$35*F892/1000,  IF(F892&lt;Model!$B$36,  Model!$B$33-6.5*F892/1000,  Model!$B$38)),     IF(F892&lt;=2000,  Model!$B$20-Model!$B$35*F892/1000,  IF(F892&lt;Model!$B$36,  Model!$B$33-5.4*F892/1000,   Model!$B$38)))</f>
        <v>-20</v>
      </c>
      <c r="K892" s="15">
        <f t="shared" si="273"/>
        <v>253</v>
      </c>
      <c r="L892" s="45">
        <f>IF(AB891-AA891*(B892-B891)&gt;0, L891-Y891*(B892-B891)*3600-AD892*Model!$B$16, 0)</f>
        <v>0</v>
      </c>
      <c r="M892" s="56">
        <f t="shared" si="261"/>
        <v>0</v>
      </c>
      <c r="N892" s="56">
        <f>Model!$B$13*I892*K892/(Model!$B$13*I892-L892*287*K892)</f>
        <v>253</v>
      </c>
      <c r="O892" s="56">
        <f t="shared" si="262"/>
        <v>253</v>
      </c>
      <c r="P892" s="56">
        <f t="shared" si="263"/>
        <v>-10</v>
      </c>
      <c r="Q892" s="62">
        <f t="shared" si="274"/>
        <v>2.2579999999999999E-2</v>
      </c>
      <c r="R892" s="33">
        <f t="shared" si="275"/>
        <v>1.152E-5</v>
      </c>
      <c r="S892" s="45">
        <f>0.37*Model!$B$10*(Q892^2*(N892-K892)*I892/(R892*O892^2))^0.33333*(N892-K892)</f>
        <v>0</v>
      </c>
      <c r="T892" s="50">
        <f>Model!$B$32+(90-Model!$B$6)*SIN(RADIANS(-15*(E892+6)))</f>
        <v>-31.619472402513487</v>
      </c>
      <c r="U892" s="45">
        <f t="shared" si="264"/>
        <v>0</v>
      </c>
      <c r="V892" s="50">
        <f t="shared" si="265"/>
        <v>99999</v>
      </c>
      <c r="W892" s="45">
        <f t="shared" si="266"/>
        <v>0</v>
      </c>
      <c r="X892" s="45">
        <f>0.3*W892*Model!$B$9</f>
        <v>0</v>
      </c>
      <c r="Y892" s="33">
        <f>(S892-X892)/Model!$B$11</f>
        <v>0</v>
      </c>
      <c r="Z892" s="45" t="e">
        <f t="shared" si="267"/>
        <v>#DIV/0!</v>
      </c>
      <c r="AA892" s="56">
        <f>Y892/Model!$B$12*3600</f>
        <v>0</v>
      </c>
      <c r="AB892" s="50">
        <f t="shared" si="272"/>
        <v>0</v>
      </c>
      <c r="AC892" s="50">
        <f t="shared" si="276"/>
        <v>1800</v>
      </c>
      <c r="AD892" s="15">
        <f>IF(AE892=0, Model!$B$19, 0 )</f>
        <v>0</v>
      </c>
      <c r="AE892" s="50">
        <f>IF(AE891+AB891-AB892&lt;Model!$B$19*Model!$B$18, AE891+AB891-AB892,  0)</f>
        <v>443.63457370611354</v>
      </c>
      <c r="AF892" s="15">
        <f t="shared" si="268"/>
        <v>1</v>
      </c>
      <c r="AG892" s="50">
        <f t="shared" si="269"/>
        <v>0</v>
      </c>
    </row>
    <row r="893" spans="2:33" x14ac:dyDescent="0.25">
      <c r="B893" s="13">
        <f t="shared" si="270"/>
        <v>1</v>
      </c>
      <c r="C893" s="13">
        <f>B893+Model!$B$4</f>
        <v>3</v>
      </c>
      <c r="D893" s="13">
        <f t="shared" si="271"/>
        <v>1</v>
      </c>
      <c r="E893" s="13">
        <f t="shared" si="277"/>
        <v>3</v>
      </c>
      <c r="F893" s="14">
        <f>IF(AB893&gt;0, VLOOKUP(B893,Model!$A$40:$B$60, 2), 0)</f>
        <v>0</v>
      </c>
      <c r="G893" s="13">
        <f>IF(AB893&gt;0, VLOOKUP(B893,Model!$A$39:$C$58, 3), 0)</f>
        <v>0</v>
      </c>
      <c r="H893" s="13">
        <f t="shared" si="260"/>
        <v>0</v>
      </c>
      <c r="I893" s="46">
        <f>Model!$B$21*EXP((-0.029*9.81*F893)/(8.31*(273+J893)))</f>
        <v>104500</v>
      </c>
      <c r="J893" s="13">
        <f>IF(Model!$B$31="Summer",  IF(F893&lt;=2000,  Model!$B$20-Model!$B$35*F893/1000,  IF(F893&lt;Model!$B$36,  Model!$B$33-6.5*F893/1000,  Model!$B$38)),     IF(F893&lt;=2000,  Model!$B$20-Model!$B$35*F893/1000,  IF(F893&lt;Model!$B$36,  Model!$B$33-5.4*F893/1000,   Model!$B$38)))</f>
        <v>-20</v>
      </c>
      <c r="K893" s="13">
        <f t="shared" si="273"/>
        <v>253</v>
      </c>
      <c r="L893" s="46">
        <f>IF(AB892-AA892*(B893-B892)&gt;0, L892-Y892*(B893-B892)*3600-AD893*Model!$B$16, 0)</f>
        <v>0</v>
      </c>
      <c r="M893" s="57">
        <f t="shared" si="261"/>
        <v>0</v>
      </c>
      <c r="N893" s="57">
        <f>Model!$B$13*I893*K893/(Model!$B$13*I893-L893*287*K893)</f>
        <v>253</v>
      </c>
      <c r="O893" s="57">
        <f t="shared" si="262"/>
        <v>253</v>
      </c>
      <c r="P893" s="57">
        <f t="shared" si="263"/>
        <v>-10</v>
      </c>
      <c r="Q893" s="63">
        <f t="shared" si="274"/>
        <v>2.2579999999999999E-2</v>
      </c>
      <c r="R893" s="17">
        <f t="shared" si="275"/>
        <v>1.152E-5</v>
      </c>
      <c r="S893" s="46">
        <f>0.37*Model!$B$10*(Q893^2*(N893-K893)*I893/(R893*O893^2))^0.33333*(N893-K893)</f>
        <v>0</v>
      </c>
      <c r="T893" s="51">
        <f>Model!$B$32+(90-Model!$B$6)*SIN(RADIANS(-15*(E893+6)))</f>
        <v>-31.619472402513487</v>
      </c>
      <c r="U893" s="46">
        <f t="shared" si="264"/>
        <v>0</v>
      </c>
      <c r="V893" s="51">
        <f t="shared" si="265"/>
        <v>99999</v>
      </c>
      <c r="W893" s="46">
        <f t="shared" si="266"/>
        <v>0</v>
      </c>
      <c r="X893" s="46">
        <f>0.3*W893*Model!$B$9</f>
        <v>0</v>
      </c>
      <c r="Y893" s="17">
        <f>(S893-X893)/Model!$B$11</f>
        <v>0</v>
      </c>
      <c r="Z893" s="46" t="e">
        <f t="shared" si="267"/>
        <v>#DIV/0!</v>
      </c>
      <c r="AA893" s="57">
        <f>Y893/Model!$B$12*3600</f>
        <v>0</v>
      </c>
      <c r="AB893" s="51">
        <f t="shared" si="272"/>
        <v>0</v>
      </c>
      <c r="AC893" s="51">
        <f t="shared" si="276"/>
        <v>1800</v>
      </c>
      <c r="AD893" s="13">
        <f>IF(AE893=0, Model!$B$19, 0 )</f>
        <v>0</v>
      </c>
      <c r="AE893" s="51">
        <f>IF(AE892+AB892-AB893&lt;Model!$B$19*Model!$B$18, AE892+AB892-AB893,  0)</f>
        <v>443.63457370611354</v>
      </c>
      <c r="AF893" s="13">
        <f t="shared" si="268"/>
        <v>1</v>
      </c>
      <c r="AG893" s="50">
        <f t="shared" si="269"/>
        <v>0</v>
      </c>
    </row>
    <row r="894" spans="2:33" x14ac:dyDescent="0.25">
      <c r="B894" s="15">
        <f t="shared" si="270"/>
        <v>1</v>
      </c>
      <c r="C894" s="15">
        <f>B894+Model!$B$4</f>
        <v>3</v>
      </c>
      <c r="D894" s="15">
        <f t="shared" si="271"/>
        <v>1</v>
      </c>
      <c r="E894" s="15">
        <f t="shared" si="277"/>
        <v>3</v>
      </c>
      <c r="F894" s="16">
        <f>IF(AB894&gt;0, VLOOKUP(B894,Model!$A$40:$B$60, 2), 0)</f>
        <v>0</v>
      </c>
      <c r="G894" s="15">
        <f>IF(AB894&gt;0, VLOOKUP(B894,Model!$A$39:$C$58, 3), 0)</f>
        <v>0</v>
      </c>
      <c r="H894" s="15">
        <f t="shared" si="260"/>
        <v>0</v>
      </c>
      <c r="I894" s="45">
        <f>Model!$B$21*EXP((-0.029*9.81*F894)/(8.31*(273+J894)))</f>
        <v>104500</v>
      </c>
      <c r="J894" s="15">
        <f>IF(Model!$B$31="Summer",  IF(F894&lt;=2000,  Model!$B$20-Model!$B$35*F894/1000,  IF(F894&lt;Model!$B$36,  Model!$B$33-6.5*F894/1000,  Model!$B$38)),     IF(F894&lt;=2000,  Model!$B$20-Model!$B$35*F894/1000,  IF(F894&lt;Model!$B$36,  Model!$B$33-5.4*F894/1000,   Model!$B$38)))</f>
        <v>-20</v>
      </c>
      <c r="K894" s="15">
        <f t="shared" si="273"/>
        <v>253</v>
      </c>
      <c r="L894" s="45">
        <f>IF(AB893-AA893*(B894-B893)&gt;0, L893-Y893*(B894-B893)*3600-AD894*Model!$B$16, 0)</f>
        <v>0</v>
      </c>
      <c r="M894" s="56">
        <f t="shared" si="261"/>
        <v>0</v>
      </c>
      <c r="N894" s="56">
        <f>Model!$B$13*I894*K894/(Model!$B$13*I894-L894*287*K894)</f>
        <v>253</v>
      </c>
      <c r="O894" s="56">
        <f t="shared" si="262"/>
        <v>253</v>
      </c>
      <c r="P894" s="56">
        <f t="shared" si="263"/>
        <v>-10</v>
      </c>
      <c r="Q894" s="62">
        <f t="shared" si="274"/>
        <v>2.2579999999999999E-2</v>
      </c>
      <c r="R894" s="33">
        <f t="shared" si="275"/>
        <v>1.152E-5</v>
      </c>
      <c r="S894" s="45">
        <f>0.37*Model!$B$10*(Q894^2*(N894-K894)*I894/(R894*O894^2))^0.33333*(N894-K894)</f>
        <v>0</v>
      </c>
      <c r="T894" s="50">
        <f>Model!$B$32+(90-Model!$B$6)*SIN(RADIANS(-15*(E894+6)))</f>
        <v>-31.619472402513487</v>
      </c>
      <c r="U894" s="45">
        <f t="shared" si="264"/>
        <v>0</v>
      </c>
      <c r="V894" s="50">
        <f t="shared" si="265"/>
        <v>99999</v>
      </c>
      <c r="W894" s="45">
        <f t="shared" si="266"/>
        <v>0</v>
      </c>
      <c r="X894" s="45">
        <f>0.3*W894*Model!$B$9</f>
        <v>0</v>
      </c>
      <c r="Y894" s="33">
        <f>(S894-X894)/Model!$B$11</f>
        <v>0</v>
      </c>
      <c r="Z894" s="45" t="e">
        <f t="shared" si="267"/>
        <v>#DIV/0!</v>
      </c>
      <c r="AA894" s="56">
        <f>Y894/Model!$B$12*3600</f>
        <v>0</v>
      </c>
      <c r="AB894" s="50">
        <f t="shared" si="272"/>
        <v>0</v>
      </c>
      <c r="AC894" s="50">
        <f t="shared" si="276"/>
        <v>1800</v>
      </c>
      <c r="AD894" s="15">
        <f>IF(AE894=0, Model!$B$19, 0 )</f>
        <v>0</v>
      </c>
      <c r="AE894" s="50">
        <f>IF(AE893+AB893-AB894&lt;Model!$B$19*Model!$B$18, AE893+AB893-AB894,  0)</f>
        <v>443.63457370611354</v>
      </c>
      <c r="AF894" s="15">
        <f t="shared" si="268"/>
        <v>1</v>
      </c>
      <c r="AG894" s="50">
        <f t="shared" si="269"/>
        <v>0</v>
      </c>
    </row>
    <row r="895" spans="2:33" x14ac:dyDescent="0.25">
      <c r="B895" s="13">
        <f t="shared" si="270"/>
        <v>1</v>
      </c>
      <c r="C895" s="13">
        <f>B895+Model!$B$4</f>
        <v>3</v>
      </c>
      <c r="D895" s="13">
        <f t="shared" si="271"/>
        <v>1</v>
      </c>
      <c r="E895" s="13">
        <f t="shared" si="277"/>
        <v>3</v>
      </c>
      <c r="F895" s="14">
        <f>IF(AB895&gt;0, VLOOKUP(B895,Model!$A$40:$B$60, 2), 0)</f>
        <v>0</v>
      </c>
      <c r="G895" s="13">
        <f>IF(AB895&gt;0, VLOOKUP(B895,Model!$A$39:$C$58, 3), 0)</f>
        <v>0</v>
      </c>
      <c r="H895" s="13">
        <f t="shared" si="260"/>
        <v>0</v>
      </c>
      <c r="I895" s="46">
        <f>Model!$B$21*EXP((-0.029*9.81*F895)/(8.31*(273+J895)))</f>
        <v>104500</v>
      </c>
      <c r="J895" s="13">
        <f>IF(Model!$B$31="Summer",  IF(F895&lt;=2000,  Model!$B$20-Model!$B$35*F895/1000,  IF(F895&lt;Model!$B$36,  Model!$B$33-6.5*F895/1000,  Model!$B$38)),     IF(F895&lt;=2000,  Model!$B$20-Model!$B$35*F895/1000,  IF(F895&lt;Model!$B$36,  Model!$B$33-5.4*F895/1000,   Model!$B$38)))</f>
        <v>-20</v>
      </c>
      <c r="K895" s="13">
        <f t="shared" si="273"/>
        <v>253</v>
      </c>
      <c r="L895" s="46">
        <f>IF(AB894-AA894*(B895-B894)&gt;0, L894-Y894*(B895-B894)*3600-AD895*Model!$B$16, 0)</f>
        <v>0</v>
      </c>
      <c r="M895" s="57">
        <f t="shared" si="261"/>
        <v>0</v>
      </c>
      <c r="N895" s="57">
        <f>Model!$B$13*I895*K895/(Model!$B$13*I895-L895*287*K895)</f>
        <v>253</v>
      </c>
      <c r="O895" s="57">
        <f t="shared" si="262"/>
        <v>253</v>
      </c>
      <c r="P895" s="57">
        <f t="shared" si="263"/>
        <v>-10</v>
      </c>
      <c r="Q895" s="63">
        <f t="shared" si="274"/>
        <v>2.2579999999999999E-2</v>
      </c>
      <c r="R895" s="17">
        <f t="shared" si="275"/>
        <v>1.152E-5</v>
      </c>
      <c r="S895" s="46">
        <f>0.37*Model!$B$10*(Q895^2*(N895-K895)*I895/(R895*O895^2))^0.33333*(N895-K895)</f>
        <v>0</v>
      </c>
      <c r="T895" s="51">
        <f>Model!$B$32+(90-Model!$B$6)*SIN(RADIANS(-15*(E895+6)))</f>
        <v>-31.619472402513487</v>
      </c>
      <c r="U895" s="46">
        <f t="shared" si="264"/>
        <v>0</v>
      </c>
      <c r="V895" s="51">
        <f t="shared" si="265"/>
        <v>99999</v>
      </c>
      <c r="W895" s="46">
        <f t="shared" si="266"/>
        <v>0</v>
      </c>
      <c r="X895" s="46">
        <f>0.3*W895*Model!$B$9</f>
        <v>0</v>
      </c>
      <c r="Y895" s="17">
        <f>(S895-X895)/Model!$B$11</f>
        <v>0</v>
      </c>
      <c r="Z895" s="46" t="e">
        <f t="shared" si="267"/>
        <v>#DIV/0!</v>
      </c>
      <c r="AA895" s="57">
        <f>Y895/Model!$B$12*3600</f>
        <v>0</v>
      </c>
      <c r="AB895" s="51">
        <f t="shared" si="272"/>
        <v>0</v>
      </c>
      <c r="AC895" s="51">
        <f t="shared" si="276"/>
        <v>1800</v>
      </c>
      <c r="AD895" s="13">
        <f>IF(AE895=0, Model!$B$19, 0 )</f>
        <v>0</v>
      </c>
      <c r="AE895" s="51">
        <f>IF(AE894+AB894-AB895&lt;Model!$B$19*Model!$B$18, AE894+AB894-AB895,  0)</f>
        <v>443.63457370611354</v>
      </c>
      <c r="AF895" s="13">
        <f t="shared" si="268"/>
        <v>1</v>
      </c>
      <c r="AG895" s="50">
        <f t="shared" si="269"/>
        <v>0</v>
      </c>
    </row>
    <row r="896" spans="2:33" x14ac:dyDescent="0.25">
      <c r="B896" s="15">
        <f t="shared" si="270"/>
        <v>1</v>
      </c>
      <c r="C896" s="15">
        <f>B896+Model!$B$4</f>
        <v>3</v>
      </c>
      <c r="D896" s="15">
        <f t="shared" si="271"/>
        <v>1</v>
      </c>
      <c r="E896" s="15">
        <f t="shared" si="277"/>
        <v>3</v>
      </c>
      <c r="F896" s="16">
        <f>IF(AB896&gt;0, VLOOKUP(B896,Model!$A$40:$B$60, 2), 0)</f>
        <v>0</v>
      </c>
      <c r="G896" s="15">
        <f>IF(AB896&gt;0, VLOOKUP(B896,Model!$A$39:$C$58, 3), 0)</f>
        <v>0</v>
      </c>
      <c r="H896" s="15">
        <f t="shared" si="260"/>
        <v>0</v>
      </c>
      <c r="I896" s="45">
        <f>Model!$B$21*EXP((-0.029*9.81*F896)/(8.31*(273+J896)))</f>
        <v>104500</v>
      </c>
      <c r="J896" s="15">
        <f>IF(Model!$B$31="Summer",  IF(F896&lt;=2000,  Model!$B$20-Model!$B$35*F896/1000,  IF(F896&lt;Model!$B$36,  Model!$B$33-6.5*F896/1000,  Model!$B$38)),     IF(F896&lt;=2000,  Model!$B$20-Model!$B$35*F896/1000,  IF(F896&lt;Model!$B$36,  Model!$B$33-5.4*F896/1000,   Model!$B$38)))</f>
        <v>-20</v>
      </c>
      <c r="K896" s="15">
        <f t="shared" si="273"/>
        <v>253</v>
      </c>
      <c r="L896" s="45">
        <f>IF(AB895-AA895*(B896-B895)&gt;0, L895-Y895*(B896-B895)*3600-AD896*Model!$B$16, 0)</f>
        <v>0</v>
      </c>
      <c r="M896" s="56">
        <f t="shared" si="261"/>
        <v>0</v>
      </c>
      <c r="N896" s="56">
        <f>Model!$B$13*I896*K896/(Model!$B$13*I896-L896*287*K896)</f>
        <v>253</v>
      </c>
      <c r="O896" s="56">
        <f t="shared" si="262"/>
        <v>253</v>
      </c>
      <c r="P896" s="56">
        <f t="shared" si="263"/>
        <v>-10</v>
      </c>
      <c r="Q896" s="62">
        <f t="shared" si="274"/>
        <v>2.2579999999999999E-2</v>
      </c>
      <c r="R896" s="33">
        <f t="shared" si="275"/>
        <v>1.152E-5</v>
      </c>
      <c r="S896" s="45">
        <f>0.37*Model!$B$10*(Q896^2*(N896-K896)*I896/(R896*O896^2))^0.33333*(N896-K896)</f>
        <v>0</v>
      </c>
      <c r="T896" s="50">
        <f>Model!$B$32+(90-Model!$B$6)*SIN(RADIANS(-15*(E896+6)))</f>
        <v>-31.619472402513487</v>
      </c>
      <c r="U896" s="45">
        <f t="shared" si="264"/>
        <v>0</v>
      </c>
      <c r="V896" s="50">
        <f t="shared" si="265"/>
        <v>99999</v>
      </c>
      <c r="W896" s="45">
        <f t="shared" si="266"/>
        <v>0</v>
      </c>
      <c r="X896" s="45">
        <f>0.3*W896*Model!$B$9</f>
        <v>0</v>
      </c>
      <c r="Y896" s="33">
        <f>(S896-X896)/Model!$B$11</f>
        <v>0</v>
      </c>
      <c r="Z896" s="45" t="e">
        <f t="shared" si="267"/>
        <v>#DIV/0!</v>
      </c>
      <c r="AA896" s="56">
        <f>Y896/Model!$B$12*3600</f>
        <v>0</v>
      </c>
      <c r="AB896" s="50">
        <f t="shared" si="272"/>
        <v>0</v>
      </c>
      <c r="AC896" s="50">
        <f t="shared" si="276"/>
        <v>1800</v>
      </c>
      <c r="AD896" s="15">
        <f>IF(AE896=0, Model!$B$19, 0 )</f>
        <v>0</v>
      </c>
      <c r="AE896" s="50">
        <f>IF(AE895+AB895-AB896&lt;Model!$B$19*Model!$B$18, AE895+AB895-AB896,  0)</f>
        <v>443.63457370611354</v>
      </c>
      <c r="AF896" s="15">
        <f t="shared" si="268"/>
        <v>1</v>
      </c>
      <c r="AG896" s="50">
        <f t="shared" si="269"/>
        <v>0</v>
      </c>
    </row>
    <row r="897" spans="2:33" x14ac:dyDescent="0.25">
      <c r="B897" s="13">
        <f t="shared" si="270"/>
        <v>1</v>
      </c>
      <c r="C897" s="13">
        <f>B897+Model!$B$4</f>
        <v>3</v>
      </c>
      <c r="D897" s="13">
        <f t="shared" si="271"/>
        <v>1</v>
      </c>
      <c r="E897" s="13">
        <f t="shared" si="277"/>
        <v>3</v>
      </c>
      <c r="F897" s="14">
        <f>IF(AB897&gt;0, VLOOKUP(B897,Model!$A$40:$B$60, 2), 0)</f>
        <v>0</v>
      </c>
      <c r="G897" s="13">
        <f>IF(AB897&gt;0, VLOOKUP(B897,Model!$A$39:$C$58, 3), 0)</f>
        <v>0</v>
      </c>
      <c r="H897" s="13">
        <f t="shared" si="260"/>
        <v>0</v>
      </c>
      <c r="I897" s="46">
        <f>Model!$B$21*EXP((-0.029*9.81*F897)/(8.31*(273+J897)))</f>
        <v>104500</v>
      </c>
      <c r="J897" s="13">
        <f>IF(Model!$B$31="Summer",  IF(F897&lt;=2000,  Model!$B$20-Model!$B$35*F897/1000,  IF(F897&lt;Model!$B$36,  Model!$B$33-6.5*F897/1000,  Model!$B$38)),     IF(F897&lt;=2000,  Model!$B$20-Model!$B$35*F897/1000,  IF(F897&lt;Model!$B$36,  Model!$B$33-5.4*F897/1000,   Model!$B$38)))</f>
        <v>-20</v>
      </c>
      <c r="K897" s="13">
        <f t="shared" si="273"/>
        <v>253</v>
      </c>
      <c r="L897" s="46">
        <f>IF(AB896-AA896*(B897-B896)&gt;0, L896-Y896*(B897-B896)*3600-AD897*Model!$B$16, 0)</f>
        <v>0</v>
      </c>
      <c r="M897" s="57">
        <f t="shared" si="261"/>
        <v>0</v>
      </c>
      <c r="N897" s="57">
        <f>Model!$B$13*I897*K897/(Model!$B$13*I897-L897*287*K897)</f>
        <v>253</v>
      </c>
      <c r="O897" s="57">
        <f t="shared" si="262"/>
        <v>253</v>
      </c>
      <c r="P897" s="57">
        <f t="shared" si="263"/>
        <v>-10</v>
      </c>
      <c r="Q897" s="63">
        <f t="shared" si="274"/>
        <v>2.2579999999999999E-2</v>
      </c>
      <c r="R897" s="17">
        <f t="shared" si="275"/>
        <v>1.152E-5</v>
      </c>
      <c r="S897" s="46">
        <f>0.37*Model!$B$10*(Q897^2*(N897-K897)*I897/(R897*O897^2))^0.33333*(N897-K897)</f>
        <v>0</v>
      </c>
      <c r="T897" s="51">
        <f>Model!$B$32+(90-Model!$B$6)*SIN(RADIANS(-15*(E897+6)))</f>
        <v>-31.619472402513487</v>
      </c>
      <c r="U897" s="46">
        <f t="shared" si="264"/>
        <v>0</v>
      </c>
      <c r="V897" s="51">
        <f t="shared" si="265"/>
        <v>99999</v>
      </c>
      <c r="W897" s="46">
        <f t="shared" si="266"/>
        <v>0</v>
      </c>
      <c r="X897" s="46">
        <f>0.3*W897*Model!$B$9</f>
        <v>0</v>
      </c>
      <c r="Y897" s="17">
        <f>(S897-X897)/Model!$B$11</f>
        <v>0</v>
      </c>
      <c r="Z897" s="46" t="e">
        <f t="shared" si="267"/>
        <v>#DIV/0!</v>
      </c>
      <c r="AA897" s="57">
        <f>Y897/Model!$B$12*3600</f>
        <v>0</v>
      </c>
      <c r="AB897" s="51">
        <f t="shared" si="272"/>
        <v>0</v>
      </c>
      <c r="AC897" s="51">
        <f t="shared" si="276"/>
        <v>1800</v>
      </c>
      <c r="AD897" s="13">
        <f>IF(AE897=0, Model!$B$19, 0 )</f>
        <v>0</v>
      </c>
      <c r="AE897" s="51">
        <f>IF(AE896+AB896-AB897&lt;Model!$B$19*Model!$B$18, AE896+AB896-AB897,  0)</f>
        <v>443.63457370611354</v>
      </c>
      <c r="AF897" s="13">
        <f t="shared" si="268"/>
        <v>1</v>
      </c>
      <c r="AG897" s="50">
        <f t="shared" si="269"/>
        <v>0</v>
      </c>
    </row>
    <row r="898" spans="2:33" x14ac:dyDescent="0.25">
      <c r="B898" s="15">
        <f t="shared" si="270"/>
        <v>1</v>
      </c>
      <c r="C898" s="15">
        <f>B898+Model!$B$4</f>
        <v>3</v>
      </c>
      <c r="D898" s="15">
        <f t="shared" si="271"/>
        <v>1</v>
      </c>
      <c r="E898" s="15">
        <f t="shared" si="277"/>
        <v>3</v>
      </c>
      <c r="F898" s="16">
        <f>IF(AB898&gt;0, VLOOKUP(B898,Model!$A$40:$B$60, 2), 0)</f>
        <v>0</v>
      </c>
      <c r="G898" s="15">
        <f>IF(AB898&gt;0, VLOOKUP(B898,Model!$A$39:$C$58, 3), 0)</f>
        <v>0</v>
      </c>
      <c r="H898" s="15">
        <f t="shared" ref="H898:H961" si="278">IF(B898=1, 0, G898*97)</f>
        <v>0</v>
      </c>
      <c r="I898" s="45">
        <f>Model!$B$21*EXP((-0.029*9.81*F898)/(8.31*(273+J898)))</f>
        <v>104500</v>
      </c>
      <c r="J898" s="15">
        <f>IF(Model!$B$31="Summer",  IF(F898&lt;=2000,  Model!$B$20-Model!$B$35*F898/1000,  IF(F898&lt;Model!$B$36,  Model!$B$33-6.5*F898/1000,  Model!$B$38)),     IF(F898&lt;=2000,  Model!$B$20-Model!$B$35*F898/1000,  IF(F898&lt;Model!$B$36,  Model!$B$33-5.4*F898/1000,   Model!$B$38)))</f>
        <v>-20</v>
      </c>
      <c r="K898" s="15">
        <f t="shared" si="273"/>
        <v>253</v>
      </c>
      <c r="L898" s="45">
        <f>IF(AB897-AA897*(B898-B897)&gt;0, L897-Y897*(B898-B897)*3600-AD898*Model!$B$16, 0)</f>
        <v>0</v>
      </c>
      <c r="M898" s="56">
        <f t="shared" ref="M898:M961" si="279">IF(AB898=0, 0, N898-273)</f>
        <v>0</v>
      </c>
      <c r="N898" s="56">
        <f>Model!$B$13*I898*K898/(Model!$B$13*I898-L898*287*K898)</f>
        <v>253</v>
      </c>
      <c r="O898" s="56">
        <f t="shared" ref="O898:O961" si="280">(K898+N898)/2</f>
        <v>253</v>
      </c>
      <c r="P898" s="56">
        <f t="shared" ref="P898:P961" si="281">(J898+M898)/2+W897/150</f>
        <v>-10</v>
      </c>
      <c r="Q898" s="62">
        <f t="shared" si="274"/>
        <v>2.2579999999999999E-2</v>
      </c>
      <c r="R898" s="33">
        <f t="shared" si="275"/>
        <v>1.152E-5</v>
      </c>
      <c r="S898" s="45">
        <f>0.37*Model!$B$10*(Q898^2*(N898-K898)*I898/(R898*O898^2))^0.33333*(N898-K898)</f>
        <v>0</v>
      </c>
      <c r="T898" s="50">
        <f>Model!$B$32+(90-Model!$B$6)*SIN(RADIANS(-15*(E898+6)))</f>
        <v>-31.619472402513487</v>
      </c>
      <c r="U898" s="45">
        <f t="shared" ref="U898:U961" si="282">IF(OR(T898&lt;0, AB898=0),  0, T898)</f>
        <v>0</v>
      </c>
      <c r="V898" s="50">
        <f t="shared" ref="V898:V961" si="283">IF(T898&lt;0,99999,1/SIN(RADIANS(T898)))</f>
        <v>99999</v>
      </c>
      <c r="W898" s="45">
        <f t="shared" ref="W898:W961" si="284">IF(G898=0,0, 1353*((1+F898/7100)*0.7^V898^0.678)+F898/7100)</f>
        <v>0</v>
      </c>
      <c r="X898" s="45">
        <f>0.3*W898*Model!$B$9</f>
        <v>0</v>
      </c>
      <c r="Y898" s="33">
        <f>(S898-X898)/Model!$B$11</f>
        <v>0</v>
      </c>
      <c r="Z898" s="45" t="e">
        <f t="shared" ref="Z898:Z961" si="285">100*X898/S898</f>
        <v>#DIV/0!</v>
      </c>
      <c r="AA898" s="56">
        <f>Y898/Model!$B$12*3600</f>
        <v>0</v>
      </c>
      <c r="AB898" s="50">
        <f t="shared" si="272"/>
        <v>0</v>
      </c>
      <c r="AC898" s="50">
        <f t="shared" si="276"/>
        <v>1800</v>
      </c>
      <c r="AD898" s="15">
        <f>IF(AE898=0, Model!$B$19, 0 )</f>
        <v>0</v>
      </c>
      <c r="AE898" s="50">
        <f>IF(AE897+AB897-AB898&lt;Model!$B$19*Model!$B$18, AE897+AB897-AB898,  0)</f>
        <v>443.63457370611354</v>
      </c>
      <c r="AF898" s="15">
        <f t="shared" ref="AF898:AF961" si="286">B898</f>
        <v>1</v>
      </c>
      <c r="AG898" s="50">
        <f t="shared" ref="AG898:AG961" si="287">IF(OR(P898&gt;0, AB898&lt;=0),0, IF(P898&lt;-2,0.99,ABS(P898/2)))</f>
        <v>0</v>
      </c>
    </row>
    <row r="899" spans="2:33" x14ac:dyDescent="0.25">
      <c r="B899" s="13">
        <f t="shared" ref="B899:B962" si="288">IF(AB898&gt;0, B898+0.05, 1)</f>
        <v>1</v>
      </c>
      <c r="C899" s="13">
        <f>B899+Model!$B$4</f>
        <v>3</v>
      </c>
      <c r="D899" s="13">
        <f t="shared" ref="D899:D962" si="289">INT(C899/24+1)</f>
        <v>1</v>
      </c>
      <c r="E899" s="13">
        <f t="shared" si="277"/>
        <v>3</v>
      </c>
      <c r="F899" s="14">
        <f>IF(AB899&gt;0, VLOOKUP(B899,Model!$A$40:$B$60, 2), 0)</f>
        <v>0</v>
      </c>
      <c r="G899" s="13">
        <f>IF(AB899&gt;0, VLOOKUP(B899,Model!$A$39:$C$58, 3), 0)</f>
        <v>0</v>
      </c>
      <c r="H899" s="13">
        <f t="shared" si="278"/>
        <v>0</v>
      </c>
      <c r="I899" s="46">
        <f>Model!$B$21*EXP((-0.029*9.81*F899)/(8.31*(273+J899)))</f>
        <v>104500</v>
      </c>
      <c r="J899" s="13">
        <f>IF(Model!$B$31="Summer",  IF(F899&lt;=2000,  Model!$B$20-Model!$B$35*F899/1000,  IF(F899&lt;Model!$B$36,  Model!$B$33-6.5*F899/1000,  Model!$B$38)),     IF(F899&lt;=2000,  Model!$B$20-Model!$B$35*F899/1000,  IF(F899&lt;Model!$B$36,  Model!$B$33-5.4*F899/1000,   Model!$B$38)))</f>
        <v>-20</v>
      </c>
      <c r="K899" s="13">
        <f t="shared" si="273"/>
        <v>253</v>
      </c>
      <c r="L899" s="46">
        <f>IF(AB898-AA898*(B899-B898)&gt;0, L898-Y898*(B899-B898)*3600-AD899*Model!$B$16, 0)</f>
        <v>0</v>
      </c>
      <c r="M899" s="57">
        <f t="shared" si="279"/>
        <v>0</v>
      </c>
      <c r="N899" s="57">
        <f>Model!$B$13*I899*K899/(Model!$B$13*I899-L899*287*K899)</f>
        <v>253</v>
      </c>
      <c r="O899" s="57">
        <f t="shared" si="280"/>
        <v>253</v>
      </c>
      <c r="P899" s="57">
        <f t="shared" si="281"/>
        <v>-10</v>
      </c>
      <c r="Q899" s="63">
        <f t="shared" si="274"/>
        <v>2.2579999999999999E-2</v>
      </c>
      <c r="R899" s="17">
        <f t="shared" si="275"/>
        <v>1.152E-5</v>
      </c>
      <c r="S899" s="46">
        <f>0.37*Model!$B$10*(Q899^2*(N899-K899)*I899/(R899*O899^2))^0.33333*(N899-K899)</f>
        <v>0</v>
      </c>
      <c r="T899" s="51">
        <f>Model!$B$32+(90-Model!$B$6)*SIN(RADIANS(-15*(E899+6)))</f>
        <v>-31.619472402513487</v>
      </c>
      <c r="U899" s="46">
        <f t="shared" si="282"/>
        <v>0</v>
      </c>
      <c r="V899" s="51">
        <f t="shared" si="283"/>
        <v>99999</v>
      </c>
      <c r="W899" s="46">
        <f t="shared" si="284"/>
        <v>0</v>
      </c>
      <c r="X899" s="46">
        <f>0.3*W899*Model!$B$9</f>
        <v>0</v>
      </c>
      <c r="Y899" s="17">
        <f>(S899-X899)/Model!$B$11</f>
        <v>0</v>
      </c>
      <c r="Z899" s="46" t="e">
        <f t="shared" si="285"/>
        <v>#DIV/0!</v>
      </c>
      <c r="AA899" s="57">
        <f>Y899/Model!$B$12*3600</f>
        <v>0</v>
      </c>
      <c r="AB899" s="51">
        <f t="shared" ref="AB899:AB962" si="290">IF(AB898-AA898*(B899-B898)&gt;0, AB898-AA898*(B899-B898), 0)</f>
        <v>0</v>
      </c>
      <c r="AC899" s="51">
        <f t="shared" si="276"/>
        <v>1800</v>
      </c>
      <c r="AD899" s="13">
        <f>IF(AE899=0, Model!$B$19, 0 )</f>
        <v>0</v>
      </c>
      <c r="AE899" s="51">
        <f>IF(AE898+AB898-AB899&lt;Model!$B$19*Model!$B$18, AE898+AB898-AB899,  0)</f>
        <v>443.63457370611354</v>
      </c>
      <c r="AF899" s="13">
        <f t="shared" si="286"/>
        <v>1</v>
      </c>
      <c r="AG899" s="50">
        <f t="shared" si="287"/>
        <v>0</v>
      </c>
    </row>
    <row r="900" spans="2:33" x14ac:dyDescent="0.25">
      <c r="B900" s="15">
        <f t="shared" si="288"/>
        <v>1</v>
      </c>
      <c r="C900" s="15">
        <f>B900+Model!$B$4</f>
        <v>3</v>
      </c>
      <c r="D900" s="15">
        <f t="shared" si="289"/>
        <v>1</v>
      </c>
      <c r="E900" s="15">
        <f t="shared" si="277"/>
        <v>3</v>
      </c>
      <c r="F900" s="16">
        <f>IF(AB900&gt;0, VLOOKUP(B900,Model!$A$40:$B$60, 2), 0)</f>
        <v>0</v>
      </c>
      <c r="G900" s="15">
        <f>IF(AB900&gt;0, VLOOKUP(B900,Model!$A$39:$C$58, 3), 0)</f>
        <v>0</v>
      </c>
      <c r="H900" s="15">
        <f t="shared" si="278"/>
        <v>0</v>
      </c>
      <c r="I900" s="45">
        <f>Model!$B$21*EXP((-0.029*9.81*F900)/(8.31*(273+J900)))</f>
        <v>104500</v>
      </c>
      <c r="J900" s="15">
        <f>IF(Model!$B$31="Summer",  IF(F900&lt;=2000,  Model!$B$20-Model!$B$35*F900/1000,  IF(F900&lt;Model!$B$36,  Model!$B$33-6.5*F900/1000,  Model!$B$38)),     IF(F900&lt;=2000,  Model!$B$20-Model!$B$35*F900/1000,  IF(F900&lt;Model!$B$36,  Model!$B$33-5.4*F900/1000,   Model!$B$38)))</f>
        <v>-20</v>
      </c>
      <c r="K900" s="15">
        <f t="shared" si="273"/>
        <v>253</v>
      </c>
      <c r="L900" s="45">
        <f>IF(AB899-AA899*(B900-B899)&gt;0, L899-Y899*(B900-B899)*3600-AD900*Model!$B$16, 0)</f>
        <v>0</v>
      </c>
      <c r="M900" s="56">
        <f t="shared" si="279"/>
        <v>0</v>
      </c>
      <c r="N900" s="56">
        <f>Model!$B$13*I900*K900/(Model!$B$13*I900-L900*287*K900)</f>
        <v>253</v>
      </c>
      <c r="O900" s="56">
        <f t="shared" si="280"/>
        <v>253</v>
      </c>
      <c r="P900" s="56">
        <f t="shared" si="281"/>
        <v>-10</v>
      </c>
      <c r="Q900" s="62">
        <f t="shared" si="274"/>
        <v>2.2579999999999999E-2</v>
      </c>
      <c r="R900" s="33">
        <f t="shared" si="275"/>
        <v>1.152E-5</v>
      </c>
      <c r="S900" s="45">
        <f>0.37*Model!$B$10*(Q900^2*(N900-K900)*I900/(R900*O900^2))^0.33333*(N900-K900)</f>
        <v>0</v>
      </c>
      <c r="T900" s="50">
        <f>Model!$B$32+(90-Model!$B$6)*SIN(RADIANS(-15*(E900+6)))</f>
        <v>-31.619472402513487</v>
      </c>
      <c r="U900" s="45">
        <f t="shared" si="282"/>
        <v>0</v>
      </c>
      <c r="V900" s="50">
        <f t="shared" si="283"/>
        <v>99999</v>
      </c>
      <c r="W900" s="45">
        <f t="shared" si="284"/>
        <v>0</v>
      </c>
      <c r="X900" s="45">
        <f>0.3*W900*Model!$B$9</f>
        <v>0</v>
      </c>
      <c r="Y900" s="33">
        <f>(S900-X900)/Model!$B$11</f>
        <v>0</v>
      </c>
      <c r="Z900" s="45" t="e">
        <f t="shared" si="285"/>
        <v>#DIV/0!</v>
      </c>
      <c r="AA900" s="56">
        <f>Y900/Model!$B$12*3600</f>
        <v>0</v>
      </c>
      <c r="AB900" s="50">
        <f t="shared" si="290"/>
        <v>0</v>
      </c>
      <c r="AC900" s="50">
        <f t="shared" si="276"/>
        <v>1800</v>
      </c>
      <c r="AD900" s="15">
        <f>IF(AE900=0, Model!$B$19, 0 )</f>
        <v>0</v>
      </c>
      <c r="AE900" s="50">
        <f>IF(AE899+AB899-AB900&lt;Model!$B$19*Model!$B$18, AE899+AB899-AB900,  0)</f>
        <v>443.63457370611354</v>
      </c>
      <c r="AF900" s="15">
        <f t="shared" si="286"/>
        <v>1</v>
      </c>
      <c r="AG900" s="50">
        <f t="shared" si="287"/>
        <v>0</v>
      </c>
    </row>
    <row r="901" spans="2:33" x14ac:dyDescent="0.25">
      <c r="B901" s="13">
        <f t="shared" si="288"/>
        <v>1</v>
      </c>
      <c r="C901" s="13">
        <f>B901+Model!$B$4</f>
        <v>3</v>
      </c>
      <c r="D901" s="13">
        <f t="shared" si="289"/>
        <v>1</v>
      </c>
      <c r="E901" s="13">
        <f t="shared" si="277"/>
        <v>3</v>
      </c>
      <c r="F901" s="14">
        <f>IF(AB901&gt;0, VLOOKUP(B901,Model!$A$40:$B$60, 2), 0)</f>
        <v>0</v>
      </c>
      <c r="G901" s="13">
        <f>IF(AB901&gt;0, VLOOKUP(B901,Model!$A$39:$C$58, 3), 0)</f>
        <v>0</v>
      </c>
      <c r="H901" s="13">
        <f t="shared" si="278"/>
        <v>0</v>
      </c>
      <c r="I901" s="46">
        <f>Model!$B$21*EXP((-0.029*9.81*F901)/(8.31*(273+J901)))</f>
        <v>104500</v>
      </c>
      <c r="J901" s="13">
        <f>IF(Model!$B$31="Summer",  IF(F901&lt;=2000,  Model!$B$20-Model!$B$35*F901/1000,  IF(F901&lt;Model!$B$36,  Model!$B$33-6.5*F901/1000,  Model!$B$38)),     IF(F901&lt;=2000,  Model!$B$20-Model!$B$35*F901/1000,  IF(F901&lt;Model!$B$36,  Model!$B$33-5.4*F901/1000,   Model!$B$38)))</f>
        <v>-20</v>
      </c>
      <c r="K901" s="13">
        <f t="shared" si="273"/>
        <v>253</v>
      </c>
      <c r="L901" s="46">
        <f>IF(AB900-AA900*(B901-B900)&gt;0, L900-Y900*(B901-B900)*3600-AD901*Model!$B$16, 0)</f>
        <v>0</v>
      </c>
      <c r="M901" s="57">
        <f t="shared" si="279"/>
        <v>0</v>
      </c>
      <c r="N901" s="57">
        <f>Model!$B$13*I901*K901/(Model!$B$13*I901-L901*287*K901)</f>
        <v>253</v>
      </c>
      <c r="O901" s="57">
        <f t="shared" si="280"/>
        <v>253</v>
      </c>
      <c r="P901" s="57">
        <f t="shared" si="281"/>
        <v>-10</v>
      </c>
      <c r="Q901" s="63">
        <f t="shared" si="274"/>
        <v>2.2579999999999999E-2</v>
      </c>
      <c r="R901" s="17">
        <f t="shared" si="275"/>
        <v>1.152E-5</v>
      </c>
      <c r="S901" s="46">
        <f>0.37*Model!$B$10*(Q901^2*(N901-K901)*I901/(R901*O901^2))^0.33333*(N901-K901)</f>
        <v>0</v>
      </c>
      <c r="T901" s="51">
        <f>Model!$B$32+(90-Model!$B$6)*SIN(RADIANS(-15*(E901+6)))</f>
        <v>-31.619472402513487</v>
      </c>
      <c r="U901" s="46">
        <f t="shared" si="282"/>
        <v>0</v>
      </c>
      <c r="V901" s="51">
        <f t="shared" si="283"/>
        <v>99999</v>
      </c>
      <c r="W901" s="46">
        <f t="shared" si="284"/>
        <v>0</v>
      </c>
      <c r="X901" s="46">
        <f>0.3*W901*Model!$B$9</f>
        <v>0</v>
      </c>
      <c r="Y901" s="17">
        <f>(S901-X901)/Model!$B$11</f>
        <v>0</v>
      </c>
      <c r="Z901" s="46" t="e">
        <f t="shared" si="285"/>
        <v>#DIV/0!</v>
      </c>
      <c r="AA901" s="57">
        <f>Y901/Model!$B$12*3600</f>
        <v>0</v>
      </c>
      <c r="AB901" s="51">
        <f t="shared" si="290"/>
        <v>0</v>
      </c>
      <c r="AC901" s="51">
        <f t="shared" si="276"/>
        <v>1800</v>
      </c>
      <c r="AD901" s="13">
        <f>IF(AE901=0, Model!$B$19, 0 )</f>
        <v>0</v>
      </c>
      <c r="AE901" s="51">
        <f>IF(AE900+AB900-AB901&lt;Model!$B$19*Model!$B$18, AE900+AB900-AB901,  0)</f>
        <v>443.63457370611354</v>
      </c>
      <c r="AF901" s="13">
        <f t="shared" si="286"/>
        <v>1</v>
      </c>
      <c r="AG901" s="50">
        <f t="shared" si="287"/>
        <v>0</v>
      </c>
    </row>
    <row r="902" spans="2:33" x14ac:dyDescent="0.25">
      <c r="B902" s="15">
        <f t="shared" si="288"/>
        <v>1</v>
      </c>
      <c r="C902" s="15">
        <f>B902+Model!$B$4</f>
        <v>3</v>
      </c>
      <c r="D902" s="15">
        <f t="shared" si="289"/>
        <v>1</v>
      </c>
      <c r="E902" s="15">
        <f t="shared" si="277"/>
        <v>3</v>
      </c>
      <c r="F902" s="16">
        <f>IF(AB902&gt;0, VLOOKUP(B902,Model!$A$40:$B$60, 2), 0)</f>
        <v>0</v>
      </c>
      <c r="G902" s="15">
        <f>IF(AB902&gt;0, VLOOKUP(B902,Model!$A$39:$C$58, 3), 0)</f>
        <v>0</v>
      </c>
      <c r="H902" s="15">
        <f t="shared" si="278"/>
        <v>0</v>
      </c>
      <c r="I902" s="45">
        <f>Model!$B$21*EXP((-0.029*9.81*F902)/(8.31*(273+J902)))</f>
        <v>104500</v>
      </c>
      <c r="J902" s="15">
        <f>IF(Model!$B$31="Summer",  IF(F902&lt;=2000,  Model!$B$20-Model!$B$35*F902/1000,  IF(F902&lt;Model!$B$36,  Model!$B$33-6.5*F902/1000,  Model!$B$38)),     IF(F902&lt;=2000,  Model!$B$20-Model!$B$35*F902/1000,  IF(F902&lt;Model!$B$36,  Model!$B$33-5.4*F902/1000,   Model!$B$38)))</f>
        <v>-20</v>
      </c>
      <c r="K902" s="15">
        <f t="shared" si="273"/>
        <v>253</v>
      </c>
      <c r="L902" s="45">
        <f>IF(AB901-AA901*(B902-B901)&gt;0, L901-Y901*(B902-B901)*3600-AD902*Model!$B$16, 0)</f>
        <v>0</v>
      </c>
      <c r="M902" s="56">
        <f t="shared" si="279"/>
        <v>0</v>
      </c>
      <c r="N902" s="56">
        <f>Model!$B$13*I902*K902/(Model!$B$13*I902-L902*287*K902)</f>
        <v>253</v>
      </c>
      <c r="O902" s="56">
        <f t="shared" si="280"/>
        <v>253</v>
      </c>
      <c r="P902" s="56">
        <f t="shared" si="281"/>
        <v>-10</v>
      </c>
      <c r="Q902" s="62">
        <f t="shared" si="274"/>
        <v>2.2579999999999999E-2</v>
      </c>
      <c r="R902" s="33">
        <f t="shared" si="275"/>
        <v>1.152E-5</v>
      </c>
      <c r="S902" s="45">
        <f>0.37*Model!$B$10*(Q902^2*(N902-K902)*I902/(R902*O902^2))^0.33333*(N902-K902)</f>
        <v>0</v>
      </c>
      <c r="T902" s="50">
        <f>Model!$B$32+(90-Model!$B$6)*SIN(RADIANS(-15*(E902+6)))</f>
        <v>-31.619472402513487</v>
      </c>
      <c r="U902" s="45">
        <f t="shared" si="282"/>
        <v>0</v>
      </c>
      <c r="V902" s="50">
        <f t="shared" si="283"/>
        <v>99999</v>
      </c>
      <c r="W902" s="45">
        <f t="shared" si="284"/>
        <v>0</v>
      </c>
      <c r="X902" s="45">
        <f>0.3*W902*Model!$B$9</f>
        <v>0</v>
      </c>
      <c r="Y902" s="33">
        <f>(S902-X902)/Model!$B$11</f>
        <v>0</v>
      </c>
      <c r="Z902" s="45" t="e">
        <f t="shared" si="285"/>
        <v>#DIV/0!</v>
      </c>
      <c r="AA902" s="56">
        <f>Y902/Model!$B$12*3600</f>
        <v>0</v>
      </c>
      <c r="AB902" s="50">
        <f t="shared" si="290"/>
        <v>0</v>
      </c>
      <c r="AC902" s="50">
        <f t="shared" si="276"/>
        <v>1800</v>
      </c>
      <c r="AD902" s="15">
        <f>IF(AE902=0, Model!$B$19, 0 )</f>
        <v>0</v>
      </c>
      <c r="AE902" s="50">
        <f>IF(AE901+AB901-AB902&lt;Model!$B$19*Model!$B$18, AE901+AB901-AB902,  0)</f>
        <v>443.63457370611354</v>
      </c>
      <c r="AF902" s="15">
        <f t="shared" si="286"/>
        <v>1</v>
      </c>
      <c r="AG902" s="50">
        <f t="shared" si="287"/>
        <v>0</v>
      </c>
    </row>
    <row r="903" spans="2:33" x14ac:dyDescent="0.25">
      <c r="B903" s="13">
        <f t="shared" si="288"/>
        <v>1</v>
      </c>
      <c r="C903" s="13">
        <f>B903+Model!$B$4</f>
        <v>3</v>
      </c>
      <c r="D903" s="13">
        <f t="shared" si="289"/>
        <v>1</v>
      </c>
      <c r="E903" s="13">
        <f t="shared" si="277"/>
        <v>3</v>
      </c>
      <c r="F903" s="14">
        <f>IF(AB903&gt;0, VLOOKUP(B903,Model!$A$40:$B$60, 2), 0)</f>
        <v>0</v>
      </c>
      <c r="G903" s="13">
        <f>IF(AB903&gt;0, VLOOKUP(B903,Model!$A$39:$C$58, 3), 0)</f>
        <v>0</v>
      </c>
      <c r="H903" s="13">
        <f t="shared" si="278"/>
        <v>0</v>
      </c>
      <c r="I903" s="46">
        <f>Model!$B$21*EXP((-0.029*9.81*F903)/(8.31*(273+J903)))</f>
        <v>104500</v>
      </c>
      <c r="J903" s="13">
        <f>IF(Model!$B$31="Summer",  IF(F903&lt;=2000,  Model!$B$20-Model!$B$35*F903/1000,  IF(F903&lt;Model!$B$36,  Model!$B$33-6.5*F903/1000,  Model!$B$38)),     IF(F903&lt;=2000,  Model!$B$20-Model!$B$35*F903/1000,  IF(F903&lt;Model!$B$36,  Model!$B$33-5.4*F903/1000,   Model!$B$38)))</f>
        <v>-20</v>
      </c>
      <c r="K903" s="13">
        <f t="shared" si="273"/>
        <v>253</v>
      </c>
      <c r="L903" s="46">
        <f>IF(AB902-AA902*(B903-B902)&gt;0, L902-Y902*(B903-B902)*3600-AD903*Model!$B$16, 0)</f>
        <v>0</v>
      </c>
      <c r="M903" s="57">
        <f t="shared" si="279"/>
        <v>0</v>
      </c>
      <c r="N903" s="57">
        <f>Model!$B$13*I903*K903/(Model!$B$13*I903-L903*287*K903)</f>
        <v>253</v>
      </c>
      <c r="O903" s="57">
        <f t="shared" si="280"/>
        <v>253</v>
      </c>
      <c r="P903" s="57">
        <f t="shared" si="281"/>
        <v>-10</v>
      </c>
      <c r="Q903" s="63">
        <f t="shared" si="274"/>
        <v>2.2579999999999999E-2</v>
      </c>
      <c r="R903" s="17">
        <f t="shared" si="275"/>
        <v>1.152E-5</v>
      </c>
      <c r="S903" s="46">
        <f>0.37*Model!$B$10*(Q903^2*(N903-K903)*I903/(R903*O903^2))^0.33333*(N903-K903)</f>
        <v>0</v>
      </c>
      <c r="T903" s="51">
        <f>Model!$B$32+(90-Model!$B$6)*SIN(RADIANS(-15*(E903+6)))</f>
        <v>-31.619472402513487</v>
      </c>
      <c r="U903" s="46">
        <f t="shared" si="282"/>
        <v>0</v>
      </c>
      <c r="V903" s="51">
        <f t="shared" si="283"/>
        <v>99999</v>
      </c>
      <c r="W903" s="46">
        <f t="shared" si="284"/>
        <v>0</v>
      </c>
      <c r="X903" s="46">
        <f>0.3*W903*Model!$B$9</f>
        <v>0</v>
      </c>
      <c r="Y903" s="17">
        <f>(S903-X903)/Model!$B$11</f>
        <v>0</v>
      </c>
      <c r="Z903" s="46" t="e">
        <f t="shared" si="285"/>
        <v>#DIV/0!</v>
      </c>
      <c r="AA903" s="57">
        <f>Y903/Model!$B$12*3600</f>
        <v>0</v>
      </c>
      <c r="AB903" s="51">
        <f t="shared" si="290"/>
        <v>0</v>
      </c>
      <c r="AC903" s="51">
        <f t="shared" si="276"/>
        <v>1800</v>
      </c>
      <c r="AD903" s="13">
        <f>IF(AE903=0, Model!$B$19, 0 )</f>
        <v>0</v>
      </c>
      <c r="AE903" s="51">
        <f>IF(AE902+AB902-AB903&lt;Model!$B$19*Model!$B$18, AE902+AB902-AB903,  0)</f>
        <v>443.63457370611354</v>
      </c>
      <c r="AF903" s="13">
        <f t="shared" si="286"/>
        <v>1</v>
      </c>
      <c r="AG903" s="50">
        <f t="shared" si="287"/>
        <v>0</v>
      </c>
    </row>
    <row r="904" spans="2:33" x14ac:dyDescent="0.25">
      <c r="B904" s="15">
        <f t="shared" si="288"/>
        <v>1</v>
      </c>
      <c r="C904" s="15">
        <f>B904+Model!$B$4</f>
        <v>3</v>
      </c>
      <c r="D904" s="15">
        <f t="shared" si="289"/>
        <v>1</v>
      </c>
      <c r="E904" s="15">
        <f t="shared" si="277"/>
        <v>3</v>
      </c>
      <c r="F904" s="16">
        <f>IF(AB904&gt;0, VLOOKUP(B904,Model!$A$40:$B$60, 2), 0)</f>
        <v>0</v>
      </c>
      <c r="G904" s="15">
        <f>IF(AB904&gt;0, VLOOKUP(B904,Model!$A$39:$C$58, 3), 0)</f>
        <v>0</v>
      </c>
      <c r="H904" s="15">
        <f t="shared" si="278"/>
        <v>0</v>
      </c>
      <c r="I904" s="45">
        <f>Model!$B$21*EXP((-0.029*9.81*F904)/(8.31*(273+J904)))</f>
        <v>104500</v>
      </c>
      <c r="J904" s="15">
        <f>IF(Model!$B$31="Summer",  IF(F904&lt;=2000,  Model!$B$20-Model!$B$35*F904/1000,  IF(F904&lt;Model!$B$36,  Model!$B$33-6.5*F904/1000,  Model!$B$38)),     IF(F904&lt;=2000,  Model!$B$20-Model!$B$35*F904/1000,  IF(F904&lt;Model!$B$36,  Model!$B$33-5.4*F904/1000,   Model!$B$38)))</f>
        <v>-20</v>
      </c>
      <c r="K904" s="15">
        <f t="shared" si="273"/>
        <v>253</v>
      </c>
      <c r="L904" s="45">
        <f>IF(AB903-AA903*(B904-B903)&gt;0, L903-Y903*(B904-B903)*3600-AD904*Model!$B$16, 0)</f>
        <v>0</v>
      </c>
      <c r="M904" s="56">
        <f t="shared" si="279"/>
        <v>0</v>
      </c>
      <c r="N904" s="56">
        <f>Model!$B$13*I904*K904/(Model!$B$13*I904-L904*287*K904)</f>
        <v>253</v>
      </c>
      <c r="O904" s="56">
        <f t="shared" si="280"/>
        <v>253</v>
      </c>
      <c r="P904" s="56">
        <f t="shared" si="281"/>
        <v>-10</v>
      </c>
      <c r="Q904" s="62">
        <f t="shared" si="274"/>
        <v>2.2579999999999999E-2</v>
      </c>
      <c r="R904" s="33">
        <f t="shared" si="275"/>
        <v>1.152E-5</v>
      </c>
      <c r="S904" s="45">
        <f>0.37*Model!$B$10*(Q904^2*(N904-K904)*I904/(R904*O904^2))^0.33333*(N904-K904)</f>
        <v>0</v>
      </c>
      <c r="T904" s="50">
        <f>Model!$B$32+(90-Model!$B$6)*SIN(RADIANS(-15*(E904+6)))</f>
        <v>-31.619472402513487</v>
      </c>
      <c r="U904" s="45">
        <f t="shared" si="282"/>
        <v>0</v>
      </c>
      <c r="V904" s="50">
        <f t="shared" si="283"/>
        <v>99999</v>
      </c>
      <c r="W904" s="45">
        <f t="shared" si="284"/>
        <v>0</v>
      </c>
      <c r="X904" s="45">
        <f>0.3*W904*Model!$B$9</f>
        <v>0</v>
      </c>
      <c r="Y904" s="33">
        <f>(S904-X904)/Model!$B$11</f>
        <v>0</v>
      </c>
      <c r="Z904" s="45" t="e">
        <f t="shared" si="285"/>
        <v>#DIV/0!</v>
      </c>
      <c r="AA904" s="56">
        <f>Y904/Model!$B$12*3600</f>
        <v>0</v>
      </c>
      <c r="AB904" s="50">
        <f t="shared" si="290"/>
        <v>0</v>
      </c>
      <c r="AC904" s="50">
        <f t="shared" si="276"/>
        <v>1800</v>
      </c>
      <c r="AD904" s="15">
        <f>IF(AE904=0, Model!$B$19, 0 )</f>
        <v>0</v>
      </c>
      <c r="AE904" s="50">
        <f>IF(AE903+AB903-AB904&lt;Model!$B$19*Model!$B$18, AE903+AB903-AB904,  0)</f>
        <v>443.63457370611354</v>
      </c>
      <c r="AF904" s="15">
        <f t="shared" si="286"/>
        <v>1</v>
      </c>
      <c r="AG904" s="50">
        <f t="shared" si="287"/>
        <v>0</v>
      </c>
    </row>
    <row r="905" spans="2:33" x14ac:dyDescent="0.25">
      <c r="B905" s="13">
        <f t="shared" si="288"/>
        <v>1</v>
      </c>
      <c r="C905" s="13">
        <f>B905+Model!$B$4</f>
        <v>3</v>
      </c>
      <c r="D905" s="13">
        <f t="shared" si="289"/>
        <v>1</v>
      </c>
      <c r="E905" s="13">
        <f t="shared" si="277"/>
        <v>3</v>
      </c>
      <c r="F905" s="14">
        <f>IF(AB905&gt;0, VLOOKUP(B905,Model!$A$40:$B$60, 2), 0)</f>
        <v>0</v>
      </c>
      <c r="G905" s="13">
        <f>IF(AB905&gt;0, VLOOKUP(B905,Model!$A$39:$C$58, 3), 0)</f>
        <v>0</v>
      </c>
      <c r="H905" s="13">
        <f t="shared" si="278"/>
        <v>0</v>
      </c>
      <c r="I905" s="46">
        <f>Model!$B$21*EXP((-0.029*9.81*F905)/(8.31*(273+J905)))</f>
        <v>104500</v>
      </c>
      <c r="J905" s="13">
        <f>IF(Model!$B$31="Summer",  IF(F905&lt;=2000,  Model!$B$20-Model!$B$35*F905/1000,  IF(F905&lt;Model!$B$36,  Model!$B$33-6.5*F905/1000,  Model!$B$38)),     IF(F905&lt;=2000,  Model!$B$20-Model!$B$35*F905/1000,  IF(F905&lt;Model!$B$36,  Model!$B$33-5.4*F905/1000,   Model!$B$38)))</f>
        <v>-20</v>
      </c>
      <c r="K905" s="13">
        <f t="shared" si="273"/>
        <v>253</v>
      </c>
      <c r="L905" s="46">
        <f>IF(AB904-AA904*(B905-B904)&gt;0, L904-Y904*(B905-B904)*3600-AD905*Model!$B$16, 0)</f>
        <v>0</v>
      </c>
      <c r="M905" s="57">
        <f t="shared" si="279"/>
        <v>0</v>
      </c>
      <c r="N905" s="57">
        <f>Model!$B$13*I905*K905/(Model!$B$13*I905-L905*287*K905)</f>
        <v>253</v>
      </c>
      <c r="O905" s="57">
        <f t="shared" si="280"/>
        <v>253</v>
      </c>
      <c r="P905" s="57">
        <f t="shared" si="281"/>
        <v>-10</v>
      </c>
      <c r="Q905" s="63">
        <f t="shared" si="274"/>
        <v>2.2579999999999999E-2</v>
      </c>
      <c r="R905" s="17">
        <f t="shared" si="275"/>
        <v>1.152E-5</v>
      </c>
      <c r="S905" s="46">
        <f>0.37*Model!$B$10*(Q905^2*(N905-K905)*I905/(R905*O905^2))^0.33333*(N905-K905)</f>
        <v>0</v>
      </c>
      <c r="T905" s="51">
        <f>Model!$B$32+(90-Model!$B$6)*SIN(RADIANS(-15*(E905+6)))</f>
        <v>-31.619472402513487</v>
      </c>
      <c r="U905" s="46">
        <f t="shared" si="282"/>
        <v>0</v>
      </c>
      <c r="V905" s="51">
        <f t="shared" si="283"/>
        <v>99999</v>
      </c>
      <c r="W905" s="46">
        <f t="shared" si="284"/>
        <v>0</v>
      </c>
      <c r="X905" s="46">
        <f>0.3*W905*Model!$B$9</f>
        <v>0</v>
      </c>
      <c r="Y905" s="17">
        <f>(S905-X905)/Model!$B$11</f>
        <v>0</v>
      </c>
      <c r="Z905" s="46" t="e">
        <f t="shared" si="285"/>
        <v>#DIV/0!</v>
      </c>
      <c r="AA905" s="57">
        <f>Y905/Model!$B$12*3600</f>
        <v>0</v>
      </c>
      <c r="AB905" s="51">
        <f t="shared" si="290"/>
        <v>0</v>
      </c>
      <c r="AC905" s="51">
        <f t="shared" si="276"/>
        <v>1800</v>
      </c>
      <c r="AD905" s="13">
        <f>IF(AE905=0, Model!$B$19, 0 )</f>
        <v>0</v>
      </c>
      <c r="AE905" s="51">
        <f>IF(AE904+AB904-AB905&lt;Model!$B$19*Model!$B$18, AE904+AB904-AB905,  0)</f>
        <v>443.63457370611354</v>
      </c>
      <c r="AF905" s="13">
        <f t="shared" si="286"/>
        <v>1</v>
      </c>
      <c r="AG905" s="50">
        <f t="shared" si="287"/>
        <v>0</v>
      </c>
    </row>
    <row r="906" spans="2:33" x14ac:dyDescent="0.25">
      <c r="B906" s="15">
        <f t="shared" si="288"/>
        <v>1</v>
      </c>
      <c r="C906" s="15">
        <f>B906+Model!$B$4</f>
        <v>3</v>
      </c>
      <c r="D906" s="15">
        <f t="shared" si="289"/>
        <v>1</v>
      </c>
      <c r="E906" s="15">
        <f t="shared" si="277"/>
        <v>3</v>
      </c>
      <c r="F906" s="16">
        <f>IF(AB906&gt;0, VLOOKUP(B906,Model!$A$40:$B$60, 2), 0)</f>
        <v>0</v>
      </c>
      <c r="G906" s="15">
        <f>IF(AB906&gt;0, VLOOKUP(B906,Model!$A$39:$C$58, 3), 0)</f>
        <v>0</v>
      </c>
      <c r="H906" s="15">
        <f t="shared" si="278"/>
        <v>0</v>
      </c>
      <c r="I906" s="45">
        <f>Model!$B$21*EXP((-0.029*9.81*F906)/(8.31*(273+J906)))</f>
        <v>104500</v>
      </c>
      <c r="J906" s="15">
        <f>IF(Model!$B$31="Summer",  IF(F906&lt;=2000,  Model!$B$20-Model!$B$35*F906/1000,  IF(F906&lt;Model!$B$36,  Model!$B$33-6.5*F906/1000,  Model!$B$38)),     IF(F906&lt;=2000,  Model!$B$20-Model!$B$35*F906/1000,  IF(F906&lt;Model!$B$36,  Model!$B$33-5.4*F906/1000,   Model!$B$38)))</f>
        <v>-20</v>
      </c>
      <c r="K906" s="15">
        <f t="shared" si="273"/>
        <v>253</v>
      </c>
      <c r="L906" s="45">
        <f>IF(AB905-AA905*(B906-B905)&gt;0, L905-Y905*(B906-B905)*3600-AD906*Model!$B$16, 0)</f>
        <v>0</v>
      </c>
      <c r="M906" s="56">
        <f t="shared" si="279"/>
        <v>0</v>
      </c>
      <c r="N906" s="56">
        <f>Model!$B$13*I906*K906/(Model!$B$13*I906-L906*287*K906)</f>
        <v>253</v>
      </c>
      <c r="O906" s="56">
        <f t="shared" si="280"/>
        <v>253</v>
      </c>
      <c r="P906" s="56">
        <f t="shared" si="281"/>
        <v>-10</v>
      </c>
      <c r="Q906" s="62">
        <f t="shared" si="274"/>
        <v>2.2579999999999999E-2</v>
      </c>
      <c r="R906" s="33">
        <f t="shared" si="275"/>
        <v>1.152E-5</v>
      </c>
      <c r="S906" s="45">
        <f>0.37*Model!$B$10*(Q906^2*(N906-K906)*I906/(R906*O906^2))^0.33333*(N906-K906)</f>
        <v>0</v>
      </c>
      <c r="T906" s="50">
        <f>Model!$B$32+(90-Model!$B$6)*SIN(RADIANS(-15*(E906+6)))</f>
        <v>-31.619472402513487</v>
      </c>
      <c r="U906" s="45">
        <f t="shared" si="282"/>
        <v>0</v>
      </c>
      <c r="V906" s="50">
        <f t="shared" si="283"/>
        <v>99999</v>
      </c>
      <c r="W906" s="45">
        <f t="shared" si="284"/>
        <v>0</v>
      </c>
      <c r="X906" s="45">
        <f>0.3*W906*Model!$B$9</f>
        <v>0</v>
      </c>
      <c r="Y906" s="33">
        <f>(S906-X906)/Model!$B$11</f>
        <v>0</v>
      </c>
      <c r="Z906" s="45" t="e">
        <f t="shared" si="285"/>
        <v>#DIV/0!</v>
      </c>
      <c r="AA906" s="56">
        <f>Y906/Model!$B$12*3600</f>
        <v>0</v>
      </c>
      <c r="AB906" s="50">
        <f t="shared" si="290"/>
        <v>0</v>
      </c>
      <c r="AC906" s="50">
        <f t="shared" si="276"/>
        <v>1800</v>
      </c>
      <c r="AD906" s="15">
        <f>IF(AE906=0, Model!$B$19, 0 )</f>
        <v>0</v>
      </c>
      <c r="AE906" s="50">
        <f>IF(AE905+AB905-AB906&lt;Model!$B$19*Model!$B$18, AE905+AB905-AB906,  0)</f>
        <v>443.63457370611354</v>
      </c>
      <c r="AF906" s="15">
        <f t="shared" si="286"/>
        <v>1</v>
      </c>
      <c r="AG906" s="50">
        <f t="shared" si="287"/>
        <v>0</v>
      </c>
    </row>
    <row r="907" spans="2:33" x14ac:dyDescent="0.25">
      <c r="B907" s="13">
        <f t="shared" si="288"/>
        <v>1</v>
      </c>
      <c r="C907" s="13">
        <f>B907+Model!$B$4</f>
        <v>3</v>
      </c>
      <c r="D907" s="13">
        <f t="shared" si="289"/>
        <v>1</v>
      </c>
      <c r="E907" s="13">
        <f t="shared" si="277"/>
        <v>3</v>
      </c>
      <c r="F907" s="14">
        <f>IF(AB907&gt;0, VLOOKUP(B907,Model!$A$40:$B$60, 2), 0)</f>
        <v>0</v>
      </c>
      <c r="G907" s="13">
        <f>IF(AB907&gt;0, VLOOKUP(B907,Model!$A$39:$C$58, 3), 0)</f>
        <v>0</v>
      </c>
      <c r="H907" s="13">
        <f t="shared" si="278"/>
        <v>0</v>
      </c>
      <c r="I907" s="46">
        <f>Model!$B$21*EXP((-0.029*9.81*F907)/(8.31*(273+J907)))</f>
        <v>104500</v>
      </c>
      <c r="J907" s="13">
        <f>IF(Model!$B$31="Summer",  IF(F907&lt;=2000,  Model!$B$20-Model!$B$35*F907/1000,  IF(F907&lt;Model!$B$36,  Model!$B$33-6.5*F907/1000,  Model!$B$38)),     IF(F907&lt;=2000,  Model!$B$20-Model!$B$35*F907/1000,  IF(F907&lt;Model!$B$36,  Model!$B$33-5.4*F907/1000,   Model!$B$38)))</f>
        <v>-20</v>
      </c>
      <c r="K907" s="13">
        <f t="shared" si="273"/>
        <v>253</v>
      </c>
      <c r="L907" s="46">
        <f>IF(AB906-AA906*(B907-B906)&gt;0, L906-Y906*(B907-B906)*3600-AD907*Model!$B$16, 0)</f>
        <v>0</v>
      </c>
      <c r="M907" s="57">
        <f t="shared" si="279"/>
        <v>0</v>
      </c>
      <c r="N907" s="57">
        <f>Model!$B$13*I907*K907/(Model!$B$13*I907-L907*287*K907)</f>
        <v>253</v>
      </c>
      <c r="O907" s="57">
        <f t="shared" si="280"/>
        <v>253</v>
      </c>
      <c r="P907" s="57">
        <f t="shared" si="281"/>
        <v>-10</v>
      </c>
      <c r="Q907" s="63">
        <f t="shared" si="274"/>
        <v>2.2579999999999999E-2</v>
      </c>
      <c r="R907" s="17">
        <f t="shared" si="275"/>
        <v>1.152E-5</v>
      </c>
      <c r="S907" s="46">
        <f>0.37*Model!$B$10*(Q907^2*(N907-K907)*I907/(R907*O907^2))^0.33333*(N907-K907)</f>
        <v>0</v>
      </c>
      <c r="T907" s="51">
        <f>Model!$B$32+(90-Model!$B$6)*SIN(RADIANS(-15*(E907+6)))</f>
        <v>-31.619472402513487</v>
      </c>
      <c r="U907" s="46">
        <f t="shared" si="282"/>
        <v>0</v>
      </c>
      <c r="V907" s="51">
        <f t="shared" si="283"/>
        <v>99999</v>
      </c>
      <c r="W907" s="46">
        <f t="shared" si="284"/>
        <v>0</v>
      </c>
      <c r="X907" s="46">
        <f>0.3*W907*Model!$B$9</f>
        <v>0</v>
      </c>
      <c r="Y907" s="17">
        <f>(S907-X907)/Model!$B$11</f>
        <v>0</v>
      </c>
      <c r="Z907" s="46" t="e">
        <f t="shared" si="285"/>
        <v>#DIV/0!</v>
      </c>
      <c r="AA907" s="57">
        <f>Y907/Model!$B$12*3600</f>
        <v>0</v>
      </c>
      <c r="AB907" s="51">
        <f t="shared" si="290"/>
        <v>0</v>
      </c>
      <c r="AC907" s="51">
        <f t="shared" si="276"/>
        <v>1800</v>
      </c>
      <c r="AD907" s="13">
        <f>IF(AE907=0, Model!$B$19, 0 )</f>
        <v>0</v>
      </c>
      <c r="AE907" s="51">
        <f>IF(AE906+AB906-AB907&lt;Model!$B$19*Model!$B$18, AE906+AB906-AB907,  0)</f>
        <v>443.63457370611354</v>
      </c>
      <c r="AF907" s="13">
        <f t="shared" si="286"/>
        <v>1</v>
      </c>
      <c r="AG907" s="50">
        <f t="shared" si="287"/>
        <v>0</v>
      </c>
    </row>
    <row r="908" spans="2:33" x14ac:dyDescent="0.25">
      <c r="B908" s="15">
        <f t="shared" si="288"/>
        <v>1</v>
      </c>
      <c r="C908" s="15">
        <f>B908+Model!$B$4</f>
        <v>3</v>
      </c>
      <c r="D908" s="15">
        <f t="shared" si="289"/>
        <v>1</v>
      </c>
      <c r="E908" s="15">
        <f t="shared" si="277"/>
        <v>3</v>
      </c>
      <c r="F908" s="16">
        <f>IF(AB908&gt;0, VLOOKUP(B908,Model!$A$40:$B$60, 2), 0)</f>
        <v>0</v>
      </c>
      <c r="G908" s="15">
        <f>IF(AB908&gt;0, VLOOKUP(B908,Model!$A$39:$C$58, 3), 0)</f>
        <v>0</v>
      </c>
      <c r="H908" s="15">
        <f t="shared" si="278"/>
        <v>0</v>
      </c>
      <c r="I908" s="45">
        <f>Model!$B$21*EXP((-0.029*9.81*F908)/(8.31*(273+J908)))</f>
        <v>104500</v>
      </c>
      <c r="J908" s="15">
        <f>IF(Model!$B$31="Summer",  IF(F908&lt;=2000,  Model!$B$20-Model!$B$35*F908/1000,  IF(F908&lt;Model!$B$36,  Model!$B$33-6.5*F908/1000,  Model!$B$38)),     IF(F908&lt;=2000,  Model!$B$20-Model!$B$35*F908/1000,  IF(F908&lt;Model!$B$36,  Model!$B$33-5.4*F908/1000,   Model!$B$38)))</f>
        <v>-20</v>
      </c>
      <c r="K908" s="15">
        <f t="shared" si="273"/>
        <v>253</v>
      </c>
      <c r="L908" s="45">
        <f>IF(AB907-AA907*(B908-B907)&gt;0, L907-Y907*(B908-B907)*3600-AD908*Model!$B$16, 0)</f>
        <v>0</v>
      </c>
      <c r="M908" s="56">
        <f t="shared" si="279"/>
        <v>0</v>
      </c>
      <c r="N908" s="56">
        <f>Model!$B$13*I908*K908/(Model!$B$13*I908-L908*287*K908)</f>
        <v>253</v>
      </c>
      <c r="O908" s="56">
        <f t="shared" si="280"/>
        <v>253</v>
      </c>
      <c r="P908" s="56">
        <f t="shared" si="281"/>
        <v>-10</v>
      </c>
      <c r="Q908" s="62">
        <f t="shared" si="274"/>
        <v>2.2579999999999999E-2</v>
      </c>
      <c r="R908" s="33">
        <f t="shared" si="275"/>
        <v>1.152E-5</v>
      </c>
      <c r="S908" s="45">
        <f>0.37*Model!$B$10*(Q908^2*(N908-K908)*I908/(R908*O908^2))^0.33333*(N908-K908)</f>
        <v>0</v>
      </c>
      <c r="T908" s="50">
        <f>Model!$B$32+(90-Model!$B$6)*SIN(RADIANS(-15*(E908+6)))</f>
        <v>-31.619472402513487</v>
      </c>
      <c r="U908" s="45">
        <f t="shared" si="282"/>
        <v>0</v>
      </c>
      <c r="V908" s="50">
        <f t="shared" si="283"/>
        <v>99999</v>
      </c>
      <c r="W908" s="45">
        <f t="shared" si="284"/>
        <v>0</v>
      </c>
      <c r="X908" s="45">
        <f>0.3*W908*Model!$B$9</f>
        <v>0</v>
      </c>
      <c r="Y908" s="33">
        <f>(S908-X908)/Model!$B$11</f>
        <v>0</v>
      </c>
      <c r="Z908" s="45" t="e">
        <f t="shared" si="285"/>
        <v>#DIV/0!</v>
      </c>
      <c r="AA908" s="56">
        <f>Y908/Model!$B$12*3600</f>
        <v>0</v>
      </c>
      <c r="AB908" s="50">
        <f t="shared" si="290"/>
        <v>0</v>
      </c>
      <c r="AC908" s="50">
        <f t="shared" si="276"/>
        <v>1800</v>
      </c>
      <c r="AD908" s="15">
        <f>IF(AE908=0, Model!$B$19, 0 )</f>
        <v>0</v>
      </c>
      <c r="AE908" s="50">
        <f>IF(AE907+AB907-AB908&lt;Model!$B$19*Model!$B$18, AE907+AB907-AB908,  0)</f>
        <v>443.63457370611354</v>
      </c>
      <c r="AF908" s="15">
        <f t="shared" si="286"/>
        <v>1</v>
      </c>
      <c r="AG908" s="50">
        <f t="shared" si="287"/>
        <v>0</v>
      </c>
    </row>
    <row r="909" spans="2:33" x14ac:dyDescent="0.25">
      <c r="B909" s="13">
        <f t="shared" si="288"/>
        <v>1</v>
      </c>
      <c r="C909" s="13">
        <f>B909+Model!$B$4</f>
        <v>3</v>
      </c>
      <c r="D909" s="13">
        <f t="shared" si="289"/>
        <v>1</v>
      </c>
      <c r="E909" s="13">
        <f t="shared" si="277"/>
        <v>3</v>
      </c>
      <c r="F909" s="14">
        <f>IF(AB909&gt;0, VLOOKUP(B909,Model!$A$40:$B$60, 2), 0)</f>
        <v>0</v>
      </c>
      <c r="G909" s="13">
        <f>IF(AB909&gt;0, VLOOKUP(B909,Model!$A$39:$C$58, 3), 0)</f>
        <v>0</v>
      </c>
      <c r="H909" s="13">
        <f t="shared" si="278"/>
        <v>0</v>
      </c>
      <c r="I909" s="46">
        <f>Model!$B$21*EXP((-0.029*9.81*F909)/(8.31*(273+J909)))</f>
        <v>104500</v>
      </c>
      <c r="J909" s="13">
        <f>IF(Model!$B$31="Summer",  IF(F909&lt;=2000,  Model!$B$20-Model!$B$35*F909/1000,  IF(F909&lt;Model!$B$36,  Model!$B$33-6.5*F909/1000,  Model!$B$38)),     IF(F909&lt;=2000,  Model!$B$20-Model!$B$35*F909/1000,  IF(F909&lt;Model!$B$36,  Model!$B$33-5.4*F909/1000,   Model!$B$38)))</f>
        <v>-20</v>
      </c>
      <c r="K909" s="13">
        <f t="shared" si="273"/>
        <v>253</v>
      </c>
      <c r="L909" s="46">
        <f>IF(AB908-AA908*(B909-B908)&gt;0, L908-Y908*(B909-B908)*3600-AD909*Model!$B$16, 0)</f>
        <v>0</v>
      </c>
      <c r="M909" s="57">
        <f t="shared" si="279"/>
        <v>0</v>
      </c>
      <c r="N909" s="57">
        <f>Model!$B$13*I909*K909/(Model!$B$13*I909-L909*287*K909)</f>
        <v>253</v>
      </c>
      <c r="O909" s="57">
        <f t="shared" si="280"/>
        <v>253</v>
      </c>
      <c r="P909" s="57">
        <f t="shared" si="281"/>
        <v>-10</v>
      </c>
      <c r="Q909" s="63">
        <f t="shared" si="274"/>
        <v>2.2579999999999999E-2</v>
      </c>
      <c r="R909" s="17">
        <f t="shared" si="275"/>
        <v>1.152E-5</v>
      </c>
      <c r="S909" s="46">
        <f>0.37*Model!$B$10*(Q909^2*(N909-K909)*I909/(R909*O909^2))^0.33333*(N909-K909)</f>
        <v>0</v>
      </c>
      <c r="T909" s="51">
        <f>Model!$B$32+(90-Model!$B$6)*SIN(RADIANS(-15*(E909+6)))</f>
        <v>-31.619472402513487</v>
      </c>
      <c r="U909" s="46">
        <f t="shared" si="282"/>
        <v>0</v>
      </c>
      <c r="V909" s="51">
        <f t="shared" si="283"/>
        <v>99999</v>
      </c>
      <c r="W909" s="46">
        <f t="shared" si="284"/>
        <v>0</v>
      </c>
      <c r="X909" s="46">
        <f>0.3*W909*Model!$B$9</f>
        <v>0</v>
      </c>
      <c r="Y909" s="17">
        <f>(S909-X909)/Model!$B$11</f>
        <v>0</v>
      </c>
      <c r="Z909" s="46" t="e">
        <f t="shared" si="285"/>
        <v>#DIV/0!</v>
      </c>
      <c r="AA909" s="57">
        <f>Y909/Model!$B$12*3600</f>
        <v>0</v>
      </c>
      <c r="AB909" s="51">
        <f t="shared" si="290"/>
        <v>0</v>
      </c>
      <c r="AC909" s="51">
        <f t="shared" si="276"/>
        <v>1800</v>
      </c>
      <c r="AD909" s="13">
        <f>IF(AE909=0, Model!$B$19, 0 )</f>
        <v>0</v>
      </c>
      <c r="AE909" s="51">
        <f>IF(AE908+AB908-AB909&lt;Model!$B$19*Model!$B$18, AE908+AB908-AB909,  0)</f>
        <v>443.63457370611354</v>
      </c>
      <c r="AF909" s="13">
        <f t="shared" si="286"/>
        <v>1</v>
      </c>
      <c r="AG909" s="50">
        <f t="shared" si="287"/>
        <v>0</v>
      </c>
    </row>
    <row r="910" spans="2:33" x14ac:dyDescent="0.25">
      <c r="B910" s="15">
        <f t="shared" si="288"/>
        <v>1</v>
      </c>
      <c r="C910" s="15">
        <f>B910+Model!$B$4</f>
        <v>3</v>
      </c>
      <c r="D910" s="15">
        <f t="shared" si="289"/>
        <v>1</v>
      </c>
      <c r="E910" s="15">
        <f t="shared" si="277"/>
        <v>3</v>
      </c>
      <c r="F910" s="16">
        <f>IF(AB910&gt;0, VLOOKUP(B910,Model!$A$40:$B$60, 2), 0)</f>
        <v>0</v>
      </c>
      <c r="G910" s="15">
        <f>IF(AB910&gt;0, VLOOKUP(B910,Model!$A$39:$C$58, 3), 0)</f>
        <v>0</v>
      </c>
      <c r="H910" s="15">
        <f t="shared" si="278"/>
        <v>0</v>
      </c>
      <c r="I910" s="45">
        <f>Model!$B$21*EXP((-0.029*9.81*F910)/(8.31*(273+J910)))</f>
        <v>104500</v>
      </c>
      <c r="J910" s="15">
        <f>IF(Model!$B$31="Summer",  IF(F910&lt;=2000,  Model!$B$20-Model!$B$35*F910/1000,  IF(F910&lt;Model!$B$36,  Model!$B$33-6.5*F910/1000,  Model!$B$38)),     IF(F910&lt;=2000,  Model!$B$20-Model!$B$35*F910/1000,  IF(F910&lt;Model!$B$36,  Model!$B$33-5.4*F910/1000,   Model!$B$38)))</f>
        <v>-20</v>
      </c>
      <c r="K910" s="15">
        <f t="shared" si="273"/>
        <v>253</v>
      </c>
      <c r="L910" s="45">
        <f>IF(AB909-AA909*(B910-B909)&gt;0, L909-Y909*(B910-B909)*3600-AD910*Model!$B$16, 0)</f>
        <v>0</v>
      </c>
      <c r="M910" s="56">
        <f t="shared" si="279"/>
        <v>0</v>
      </c>
      <c r="N910" s="56">
        <f>Model!$B$13*I910*K910/(Model!$B$13*I910-L910*287*K910)</f>
        <v>253</v>
      </c>
      <c r="O910" s="56">
        <f t="shared" si="280"/>
        <v>253</v>
      </c>
      <c r="P910" s="56">
        <f t="shared" si="281"/>
        <v>-10</v>
      </c>
      <c r="Q910" s="62">
        <f t="shared" si="274"/>
        <v>2.2579999999999999E-2</v>
      </c>
      <c r="R910" s="33">
        <f t="shared" si="275"/>
        <v>1.152E-5</v>
      </c>
      <c r="S910" s="45">
        <f>0.37*Model!$B$10*(Q910^2*(N910-K910)*I910/(R910*O910^2))^0.33333*(N910-K910)</f>
        <v>0</v>
      </c>
      <c r="T910" s="50">
        <f>Model!$B$32+(90-Model!$B$6)*SIN(RADIANS(-15*(E910+6)))</f>
        <v>-31.619472402513487</v>
      </c>
      <c r="U910" s="45">
        <f t="shared" si="282"/>
        <v>0</v>
      </c>
      <c r="V910" s="50">
        <f t="shared" si="283"/>
        <v>99999</v>
      </c>
      <c r="W910" s="45">
        <f t="shared" si="284"/>
        <v>0</v>
      </c>
      <c r="X910" s="45">
        <f>0.3*W910*Model!$B$9</f>
        <v>0</v>
      </c>
      <c r="Y910" s="33">
        <f>(S910-X910)/Model!$B$11</f>
        <v>0</v>
      </c>
      <c r="Z910" s="45" t="e">
        <f t="shared" si="285"/>
        <v>#DIV/0!</v>
      </c>
      <c r="AA910" s="56">
        <f>Y910/Model!$B$12*3600</f>
        <v>0</v>
      </c>
      <c r="AB910" s="50">
        <f t="shared" si="290"/>
        <v>0</v>
      </c>
      <c r="AC910" s="50">
        <f t="shared" si="276"/>
        <v>1800</v>
      </c>
      <c r="AD910" s="15">
        <f>IF(AE910=0, Model!$B$19, 0 )</f>
        <v>0</v>
      </c>
      <c r="AE910" s="50">
        <f>IF(AE909+AB909-AB910&lt;Model!$B$19*Model!$B$18, AE909+AB909-AB910,  0)</f>
        <v>443.63457370611354</v>
      </c>
      <c r="AF910" s="15">
        <f t="shared" si="286"/>
        <v>1</v>
      </c>
      <c r="AG910" s="50">
        <f t="shared" si="287"/>
        <v>0</v>
      </c>
    </row>
    <row r="911" spans="2:33" x14ac:dyDescent="0.25">
      <c r="B911" s="13">
        <f t="shared" si="288"/>
        <v>1</v>
      </c>
      <c r="C911" s="13">
        <f>B911+Model!$B$4</f>
        <v>3</v>
      </c>
      <c r="D911" s="13">
        <f t="shared" si="289"/>
        <v>1</v>
      </c>
      <c r="E911" s="13">
        <f t="shared" si="277"/>
        <v>3</v>
      </c>
      <c r="F911" s="14">
        <f>IF(AB911&gt;0, VLOOKUP(B911,Model!$A$40:$B$60, 2), 0)</f>
        <v>0</v>
      </c>
      <c r="G911" s="13">
        <f>IF(AB911&gt;0, VLOOKUP(B911,Model!$A$39:$C$58, 3), 0)</f>
        <v>0</v>
      </c>
      <c r="H911" s="13">
        <f t="shared" si="278"/>
        <v>0</v>
      </c>
      <c r="I911" s="46">
        <f>Model!$B$21*EXP((-0.029*9.81*F911)/(8.31*(273+J911)))</f>
        <v>104500</v>
      </c>
      <c r="J911" s="13">
        <f>IF(Model!$B$31="Summer",  IF(F911&lt;=2000,  Model!$B$20-Model!$B$35*F911/1000,  IF(F911&lt;Model!$B$36,  Model!$B$33-6.5*F911/1000,  Model!$B$38)),     IF(F911&lt;=2000,  Model!$B$20-Model!$B$35*F911/1000,  IF(F911&lt;Model!$B$36,  Model!$B$33-5.4*F911/1000,   Model!$B$38)))</f>
        <v>-20</v>
      </c>
      <c r="K911" s="13">
        <f t="shared" si="273"/>
        <v>253</v>
      </c>
      <c r="L911" s="46">
        <f>IF(AB910-AA910*(B911-B910)&gt;0, L910-Y910*(B911-B910)*3600-AD911*Model!$B$16, 0)</f>
        <v>0</v>
      </c>
      <c r="M911" s="57">
        <f t="shared" si="279"/>
        <v>0</v>
      </c>
      <c r="N911" s="57">
        <f>Model!$B$13*I911*K911/(Model!$B$13*I911-L911*287*K911)</f>
        <v>253</v>
      </c>
      <c r="O911" s="57">
        <f t="shared" si="280"/>
        <v>253</v>
      </c>
      <c r="P911" s="57">
        <f t="shared" si="281"/>
        <v>-10</v>
      </c>
      <c r="Q911" s="63">
        <f t="shared" si="274"/>
        <v>2.2579999999999999E-2</v>
      </c>
      <c r="R911" s="17">
        <f t="shared" si="275"/>
        <v>1.152E-5</v>
      </c>
      <c r="S911" s="46">
        <f>0.37*Model!$B$10*(Q911^2*(N911-K911)*I911/(R911*O911^2))^0.33333*(N911-K911)</f>
        <v>0</v>
      </c>
      <c r="T911" s="51">
        <f>Model!$B$32+(90-Model!$B$6)*SIN(RADIANS(-15*(E911+6)))</f>
        <v>-31.619472402513487</v>
      </c>
      <c r="U911" s="46">
        <f t="shared" si="282"/>
        <v>0</v>
      </c>
      <c r="V911" s="51">
        <f t="shared" si="283"/>
        <v>99999</v>
      </c>
      <c r="W911" s="46">
        <f t="shared" si="284"/>
        <v>0</v>
      </c>
      <c r="X911" s="46">
        <f>0.3*W911*Model!$B$9</f>
        <v>0</v>
      </c>
      <c r="Y911" s="17">
        <f>(S911-X911)/Model!$B$11</f>
        <v>0</v>
      </c>
      <c r="Z911" s="46" t="e">
        <f t="shared" si="285"/>
        <v>#DIV/0!</v>
      </c>
      <c r="AA911" s="57">
        <f>Y911/Model!$B$12*3600</f>
        <v>0</v>
      </c>
      <c r="AB911" s="51">
        <f t="shared" si="290"/>
        <v>0</v>
      </c>
      <c r="AC911" s="51">
        <f t="shared" si="276"/>
        <v>1800</v>
      </c>
      <c r="AD911" s="13">
        <f>IF(AE911=0, Model!$B$19, 0 )</f>
        <v>0</v>
      </c>
      <c r="AE911" s="51">
        <f>IF(AE910+AB910-AB911&lt;Model!$B$19*Model!$B$18, AE910+AB910-AB911,  0)</f>
        <v>443.63457370611354</v>
      </c>
      <c r="AF911" s="13">
        <f t="shared" si="286"/>
        <v>1</v>
      </c>
      <c r="AG911" s="50">
        <f t="shared" si="287"/>
        <v>0</v>
      </c>
    </row>
    <row r="912" spans="2:33" x14ac:dyDescent="0.25">
      <c r="B912" s="15">
        <f t="shared" si="288"/>
        <v>1</v>
      </c>
      <c r="C912" s="15">
        <f>B912+Model!$B$4</f>
        <v>3</v>
      </c>
      <c r="D912" s="15">
        <f t="shared" si="289"/>
        <v>1</v>
      </c>
      <c r="E912" s="15">
        <f t="shared" si="277"/>
        <v>3</v>
      </c>
      <c r="F912" s="16">
        <f>IF(AB912&gt;0, VLOOKUP(B912,Model!$A$40:$B$60, 2), 0)</f>
        <v>0</v>
      </c>
      <c r="G912" s="15">
        <f>IF(AB912&gt;0, VLOOKUP(B912,Model!$A$39:$C$58, 3), 0)</f>
        <v>0</v>
      </c>
      <c r="H912" s="15">
        <f t="shared" si="278"/>
        <v>0</v>
      </c>
      <c r="I912" s="45">
        <f>Model!$B$21*EXP((-0.029*9.81*F912)/(8.31*(273+J912)))</f>
        <v>104500</v>
      </c>
      <c r="J912" s="15">
        <f>IF(Model!$B$31="Summer",  IF(F912&lt;=2000,  Model!$B$20-Model!$B$35*F912/1000,  IF(F912&lt;Model!$B$36,  Model!$B$33-6.5*F912/1000,  Model!$B$38)),     IF(F912&lt;=2000,  Model!$B$20-Model!$B$35*F912/1000,  IF(F912&lt;Model!$B$36,  Model!$B$33-5.4*F912/1000,   Model!$B$38)))</f>
        <v>-20</v>
      </c>
      <c r="K912" s="15">
        <f t="shared" si="273"/>
        <v>253</v>
      </c>
      <c r="L912" s="45">
        <f>IF(AB911-AA911*(B912-B911)&gt;0, L911-Y911*(B912-B911)*3600-AD912*Model!$B$16, 0)</f>
        <v>0</v>
      </c>
      <c r="M912" s="56">
        <f t="shared" si="279"/>
        <v>0</v>
      </c>
      <c r="N912" s="56">
        <f>Model!$B$13*I912*K912/(Model!$B$13*I912-L912*287*K912)</f>
        <v>253</v>
      </c>
      <c r="O912" s="56">
        <f t="shared" si="280"/>
        <v>253</v>
      </c>
      <c r="P912" s="56">
        <f t="shared" si="281"/>
        <v>-10</v>
      </c>
      <c r="Q912" s="62">
        <f t="shared" si="274"/>
        <v>2.2579999999999999E-2</v>
      </c>
      <c r="R912" s="33">
        <f t="shared" si="275"/>
        <v>1.152E-5</v>
      </c>
      <c r="S912" s="45">
        <f>0.37*Model!$B$10*(Q912^2*(N912-K912)*I912/(R912*O912^2))^0.33333*(N912-K912)</f>
        <v>0</v>
      </c>
      <c r="T912" s="50">
        <f>Model!$B$32+(90-Model!$B$6)*SIN(RADIANS(-15*(E912+6)))</f>
        <v>-31.619472402513487</v>
      </c>
      <c r="U912" s="45">
        <f t="shared" si="282"/>
        <v>0</v>
      </c>
      <c r="V912" s="50">
        <f t="shared" si="283"/>
        <v>99999</v>
      </c>
      <c r="W912" s="45">
        <f t="shared" si="284"/>
        <v>0</v>
      </c>
      <c r="X912" s="45">
        <f>0.3*W912*Model!$B$9</f>
        <v>0</v>
      </c>
      <c r="Y912" s="33">
        <f>(S912-X912)/Model!$B$11</f>
        <v>0</v>
      </c>
      <c r="Z912" s="45" t="e">
        <f t="shared" si="285"/>
        <v>#DIV/0!</v>
      </c>
      <c r="AA912" s="56">
        <f>Y912/Model!$B$12*3600</f>
        <v>0</v>
      </c>
      <c r="AB912" s="50">
        <f t="shared" si="290"/>
        <v>0</v>
      </c>
      <c r="AC912" s="50">
        <f t="shared" si="276"/>
        <v>1800</v>
      </c>
      <c r="AD912" s="15">
        <f>IF(AE912=0, Model!$B$19, 0 )</f>
        <v>0</v>
      </c>
      <c r="AE912" s="50">
        <f>IF(AE911+AB911-AB912&lt;Model!$B$19*Model!$B$18, AE911+AB911-AB912,  0)</f>
        <v>443.63457370611354</v>
      </c>
      <c r="AF912" s="15">
        <f t="shared" si="286"/>
        <v>1</v>
      </c>
      <c r="AG912" s="50">
        <f t="shared" si="287"/>
        <v>0</v>
      </c>
    </row>
    <row r="913" spans="2:33" x14ac:dyDescent="0.25">
      <c r="B913" s="13">
        <f t="shared" si="288"/>
        <v>1</v>
      </c>
      <c r="C913" s="13">
        <f>B913+Model!$B$4</f>
        <v>3</v>
      </c>
      <c r="D913" s="13">
        <f t="shared" si="289"/>
        <v>1</v>
      </c>
      <c r="E913" s="13">
        <f t="shared" si="277"/>
        <v>3</v>
      </c>
      <c r="F913" s="14">
        <f>IF(AB913&gt;0, VLOOKUP(B913,Model!$A$40:$B$60, 2), 0)</f>
        <v>0</v>
      </c>
      <c r="G913" s="13">
        <f>IF(AB913&gt;0, VLOOKUP(B913,Model!$A$39:$C$58, 3), 0)</f>
        <v>0</v>
      </c>
      <c r="H913" s="13">
        <f t="shared" si="278"/>
        <v>0</v>
      </c>
      <c r="I913" s="46">
        <f>Model!$B$21*EXP((-0.029*9.81*F913)/(8.31*(273+J913)))</f>
        <v>104500</v>
      </c>
      <c r="J913" s="13">
        <f>IF(Model!$B$31="Summer",  IF(F913&lt;=2000,  Model!$B$20-Model!$B$35*F913/1000,  IF(F913&lt;Model!$B$36,  Model!$B$33-6.5*F913/1000,  Model!$B$38)),     IF(F913&lt;=2000,  Model!$B$20-Model!$B$35*F913/1000,  IF(F913&lt;Model!$B$36,  Model!$B$33-5.4*F913/1000,   Model!$B$38)))</f>
        <v>-20</v>
      </c>
      <c r="K913" s="13">
        <f t="shared" si="273"/>
        <v>253</v>
      </c>
      <c r="L913" s="46">
        <f>IF(AB912-AA912*(B913-B912)&gt;0, L912-Y912*(B913-B912)*3600-AD913*Model!$B$16, 0)</f>
        <v>0</v>
      </c>
      <c r="M913" s="57">
        <f t="shared" si="279"/>
        <v>0</v>
      </c>
      <c r="N913" s="57">
        <f>Model!$B$13*I913*K913/(Model!$B$13*I913-L913*287*K913)</f>
        <v>253</v>
      </c>
      <c r="O913" s="57">
        <f t="shared" si="280"/>
        <v>253</v>
      </c>
      <c r="P913" s="57">
        <f t="shared" si="281"/>
        <v>-10</v>
      </c>
      <c r="Q913" s="63">
        <f t="shared" si="274"/>
        <v>2.2579999999999999E-2</v>
      </c>
      <c r="R913" s="17">
        <f t="shared" si="275"/>
        <v>1.152E-5</v>
      </c>
      <c r="S913" s="46">
        <f>0.37*Model!$B$10*(Q913^2*(N913-K913)*I913/(R913*O913^2))^0.33333*(N913-K913)</f>
        <v>0</v>
      </c>
      <c r="T913" s="51">
        <f>Model!$B$32+(90-Model!$B$6)*SIN(RADIANS(-15*(E913+6)))</f>
        <v>-31.619472402513487</v>
      </c>
      <c r="U913" s="46">
        <f t="shared" si="282"/>
        <v>0</v>
      </c>
      <c r="V913" s="51">
        <f t="shared" si="283"/>
        <v>99999</v>
      </c>
      <c r="W913" s="46">
        <f t="shared" si="284"/>
        <v>0</v>
      </c>
      <c r="X913" s="46">
        <f>0.3*W913*Model!$B$9</f>
        <v>0</v>
      </c>
      <c r="Y913" s="17">
        <f>(S913-X913)/Model!$B$11</f>
        <v>0</v>
      </c>
      <c r="Z913" s="46" t="e">
        <f t="shared" si="285"/>
        <v>#DIV/0!</v>
      </c>
      <c r="AA913" s="57">
        <f>Y913/Model!$B$12*3600</f>
        <v>0</v>
      </c>
      <c r="AB913" s="51">
        <f t="shared" si="290"/>
        <v>0</v>
      </c>
      <c r="AC913" s="51">
        <f t="shared" si="276"/>
        <v>1800</v>
      </c>
      <c r="AD913" s="13">
        <f>IF(AE913=0, Model!$B$19, 0 )</f>
        <v>0</v>
      </c>
      <c r="AE913" s="51">
        <f>IF(AE912+AB912-AB913&lt;Model!$B$19*Model!$B$18, AE912+AB912-AB913,  0)</f>
        <v>443.63457370611354</v>
      </c>
      <c r="AF913" s="13">
        <f t="shared" si="286"/>
        <v>1</v>
      </c>
      <c r="AG913" s="50">
        <f t="shared" si="287"/>
        <v>0</v>
      </c>
    </row>
    <row r="914" spans="2:33" x14ac:dyDescent="0.25">
      <c r="B914" s="15">
        <f t="shared" si="288"/>
        <v>1</v>
      </c>
      <c r="C914" s="15">
        <f>B914+Model!$B$4</f>
        <v>3</v>
      </c>
      <c r="D914" s="15">
        <f t="shared" si="289"/>
        <v>1</v>
      </c>
      <c r="E914" s="15">
        <f t="shared" si="277"/>
        <v>3</v>
      </c>
      <c r="F914" s="16">
        <f>IF(AB914&gt;0, VLOOKUP(B914,Model!$A$40:$B$60, 2), 0)</f>
        <v>0</v>
      </c>
      <c r="G914" s="15">
        <f>IF(AB914&gt;0, VLOOKUP(B914,Model!$A$39:$C$58, 3), 0)</f>
        <v>0</v>
      </c>
      <c r="H914" s="15">
        <f t="shared" si="278"/>
        <v>0</v>
      </c>
      <c r="I914" s="45">
        <f>Model!$B$21*EXP((-0.029*9.81*F914)/(8.31*(273+J914)))</f>
        <v>104500</v>
      </c>
      <c r="J914" s="15">
        <f>IF(Model!$B$31="Summer",  IF(F914&lt;=2000,  Model!$B$20-Model!$B$35*F914/1000,  IF(F914&lt;Model!$B$36,  Model!$B$33-6.5*F914/1000,  Model!$B$38)),     IF(F914&lt;=2000,  Model!$B$20-Model!$B$35*F914/1000,  IF(F914&lt;Model!$B$36,  Model!$B$33-5.4*F914/1000,   Model!$B$38)))</f>
        <v>-20</v>
      </c>
      <c r="K914" s="15">
        <f t="shared" si="273"/>
        <v>253</v>
      </c>
      <c r="L914" s="45">
        <f>IF(AB913-AA913*(B914-B913)&gt;0, L913-Y913*(B914-B913)*3600-AD914*Model!$B$16, 0)</f>
        <v>0</v>
      </c>
      <c r="M914" s="56">
        <f t="shared" si="279"/>
        <v>0</v>
      </c>
      <c r="N914" s="56">
        <f>Model!$B$13*I914*K914/(Model!$B$13*I914-L914*287*K914)</f>
        <v>253</v>
      </c>
      <c r="O914" s="56">
        <f t="shared" si="280"/>
        <v>253</v>
      </c>
      <c r="P914" s="56">
        <f t="shared" si="281"/>
        <v>-10</v>
      </c>
      <c r="Q914" s="62">
        <f t="shared" si="274"/>
        <v>2.2579999999999999E-2</v>
      </c>
      <c r="R914" s="33">
        <f t="shared" si="275"/>
        <v>1.152E-5</v>
      </c>
      <c r="S914" s="45">
        <f>0.37*Model!$B$10*(Q914^2*(N914-K914)*I914/(R914*O914^2))^0.33333*(N914-K914)</f>
        <v>0</v>
      </c>
      <c r="T914" s="50">
        <f>Model!$B$32+(90-Model!$B$6)*SIN(RADIANS(-15*(E914+6)))</f>
        <v>-31.619472402513487</v>
      </c>
      <c r="U914" s="45">
        <f t="shared" si="282"/>
        <v>0</v>
      </c>
      <c r="V914" s="50">
        <f t="shared" si="283"/>
        <v>99999</v>
      </c>
      <c r="W914" s="45">
        <f t="shared" si="284"/>
        <v>0</v>
      </c>
      <c r="X914" s="45">
        <f>0.3*W914*Model!$B$9</f>
        <v>0</v>
      </c>
      <c r="Y914" s="33">
        <f>(S914-X914)/Model!$B$11</f>
        <v>0</v>
      </c>
      <c r="Z914" s="45" t="e">
        <f t="shared" si="285"/>
        <v>#DIV/0!</v>
      </c>
      <c r="AA914" s="56">
        <f>Y914/Model!$B$12*3600</f>
        <v>0</v>
      </c>
      <c r="AB914" s="50">
        <f t="shared" si="290"/>
        <v>0</v>
      </c>
      <c r="AC914" s="50">
        <f t="shared" si="276"/>
        <v>1800</v>
      </c>
      <c r="AD914" s="15">
        <f>IF(AE914=0, Model!$B$19, 0 )</f>
        <v>0</v>
      </c>
      <c r="AE914" s="50">
        <f>IF(AE913+AB913-AB914&lt;Model!$B$19*Model!$B$18, AE913+AB913-AB914,  0)</f>
        <v>443.63457370611354</v>
      </c>
      <c r="AF914" s="15">
        <f t="shared" si="286"/>
        <v>1</v>
      </c>
      <c r="AG914" s="50">
        <f t="shared" si="287"/>
        <v>0</v>
      </c>
    </row>
    <row r="915" spans="2:33" x14ac:dyDescent="0.25">
      <c r="B915" s="13">
        <f t="shared" si="288"/>
        <v>1</v>
      </c>
      <c r="C915" s="13">
        <f>B915+Model!$B$4</f>
        <v>3</v>
      </c>
      <c r="D915" s="13">
        <f t="shared" si="289"/>
        <v>1</v>
      </c>
      <c r="E915" s="13">
        <f t="shared" si="277"/>
        <v>3</v>
      </c>
      <c r="F915" s="14">
        <f>IF(AB915&gt;0, VLOOKUP(B915,Model!$A$40:$B$60, 2), 0)</f>
        <v>0</v>
      </c>
      <c r="G915" s="13">
        <f>IF(AB915&gt;0, VLOOKUP(B915,Model!$A$39:$C$58, 3), 0)</f>
        <v>0</v>
      </c>
      <c r="H915" s="13">
        <f t="shared" si="278"/>
        <v>0</v>
      </c>
      <c r="I915" s="46">
        <f>Model!$B$21*EXP((-0.029*9.81*F915)/(8.31*(273+J915)))</f>
        <v>104500</v>
      </c>
      <c r="J915" s="13">
        <f>IF(Model!$B$31="Summer",  IF(F915&lt;=2000,  Model!$B$20-Model!$B$35*F915/1000,  IF(F915&lt;Model!$B$36,  Model!$B$33-6.5*F915/1000,  Model!$B$38)),     IF(F915&lt;=2000,  Model!$B$20-Model!$B$35*F915/1000,  IF(F915&lt;Model!$B$36,  Model!$B$33-5.4*F915/1000,   Model!$B$38)))</f>
        <v>-20</v>
      </c>
      <c r="K915" s="13">
        <f t="shared" si="273"/>
        <v>253</v>
      </c>
      <c r="L915" s="46">
        <f>IF(AB914-AA914*(B915-B914)&gt;0, L914-Y914*(B915-B914)*3600-AD915*Model!$B$16, 0)</f>
        <v>0</v>
      </c>
      <c r="M915" s="57">
        <f t="shared" si="279"/>
        <v>0</v>
      </c>
      <c r="N915" s="57">
        <f>Model!$B$13*I915*K915/(Model!$B$13*I915-L915*287*K915)</f>
        <v>253</v>
      </c>
      <c r="O915" s="57">
        <f t="shared" si="280"/>
        <v>253</v>
      </c>
      <c r="P915" s="57">
        <f t="shared" si="281"/>
        <v>-10</v>
      </c>
      <c r="Q915" s="63">
        <f t="shared" si="274"/>
        <v>2.2579999999999999E-2</v>
      </c>
      <c r="R915" s="17">
        <f t="shared" si="275"/>
        <v>1.152E-5</v>
      </c>
      <c r="S915" s="46">
        <f>0.37*Model!$B$10*(Q915^2*(N915-K915)*I915/(R915*O915^2))^0.33333*(N915-K915)</f>
        <v>0</v>
      </c>
      <c r="T915" s="51">
        <f>Model!$B$32+(90-Model!$B$6)*SIN(RADIANS(-15*(E915+6)))</f>
        <v>-31.619472402513487</v>
      </c>
      <c r="U915" s="46">
        <f t="shared" si="282"/>
        <v>0</v>
      </c>
      <c r="V915" s="51">
        <f t="shared" si="283"/>
        <v>99999</v>
      </c>
      <c r="W915" s="46">
        <f t="shared" si="284"/>
        <v>0</v>
      </c>
      <c r="X915" s="46">
        <f>0.3*W915*Model!$B$9</f>
        <v>0</v>
      </c>
      <c r="Y915" s="17">
        <f>(S915-X915)/Model!$B$11</f>
        <v>0</v>
      </c>
      <c r="Z915" s="46" t="e">
        <f t="shared" si="285"/>
        <v>#DIV/0!</v>
      </c>
      <c r="AA915" s="57">
        <f>Y915/Model!$B$12*3600</f>
        <v>0</v>
      </c>
      <c r="AB915" s="51">
        <f t="shared" si="290"/>
        <v>0</v>
      </c>
      <c r="AC915" s="51">
        <f t="shared" si="276"/>
        <v>1800</v>
      </c>
      <c r="AD915" s="13">
        <f>IF(AE915=0, Model!$B$19, 0 )</f>
        <v>0</v>
      </c>
      <c r="AE915" s="51">
        <f>IF(AE914+AB914-AB915&lt;Model!$B$19*Model!$B$18, AE914+AB914-AB915,  0)</f>
        <v>443.63457370611354</v>
      </c>
      <c r="AF915" s="13">
        <f t="shared" si="286"/>
        <v>1</v>
      </c>
      <c r="AG915" s="50">
        <f t="shared" si="287"/>
        <v>0</v>
      </c>
    </row>
    <row r="916" spans="2:33" x14ac:dyDescent="0.25">
      <c r="B916" s="15">
        <f t="shared" si="288"/>
        <v>1</v>
      </c>
      <c r="C916" s="15">
        <f>B916+Model!$B$4</f>
        <v>3</v>
      </c>
      <c r="D916" s="15">
        <f t="shared" si="289"/>
        <v>1</v>
      </c>
      <c r="E916" s="15">
        <f t="shared" si="277"/>
        <v>3</v>
      </c>
      <c r="F916" s="16">
        <f>IF(AB916&gt;0, VLOOKUP(B916,Model!$A$40:$B$60, 2), 0)</f>
        <v>0</v>
      </c>
      <c r="G916" s="15">
        <f>IF(AB916&gt;0, VLOOKUP(B916,Model!$A$39:$C$58, 3), 0)</f>
        <v>0</v>
      </c>
      <c r="H916" s="15">
        <f t="shared" si="278"/>
        <v>0</v>
      </c>
      <c r="I916" s="45">
        <f>Model!$B$21*EXP((-0.029*9.81*F916)/(8.31*(273+J916)))</f>
        <v>104500</v>
      </c>
      <c r="J916" s="15">
        <f>IF(Model!$B$31="Summer",  IF(F916&lt;=2000,  Model!$B$20-Model!$B$35*F916/1000,  IF(F916&lt;Model!$B$36,  Model!$B$33-6.5*F916/1000,  Model!$B$38)),     IF(F916&lt;=2000,  Model!$B$20-Model!$B$35*F916/1000,  IF(F916&lt;Model!$B$36,  Model!$B$33-5.4*F916/1000,   Model!$B$38)))</f>
        <v>-20</v>
      </c>
      <c r="K916" s="15">
        <f t="shared" si="273"/>
        <v>253</v>
      </c>
      <c r="L916" s="45">
        <f>IF(AB915-AA915*(B916-B915)&gt;0, L915-Y915*(B916-B915)*3600-AD916*Model!$B$16, 0)</f>
        <v>0</v>
      </c>
      <c r="M916" s="56">
        <f t="shared" si="279"/>
        <v>0</v>
      </c>
      <c r="N916" s="56">
        <f>Model!$B$13*I916*K916/(Model!$B$13*I916-L916*287*K916)</f>
        <v>253</v>
      </c>
      <c r="O916" s="56">
        <f t="shared" si="280"/>
        <v>253</v>
      </c>
      <c r="P916" s="56">
        <f t="shared" si="281"/>
        <v>-10</v>
      </c>
      <c r="Q916" s="62">
        <f t="shared" si="274"/>
        <v>2.2579999999999999E-2</v>
      </c>
      <c r="R916" s="33">
        <f t="shared" si="275"/>
        <v>1.152E-5</v>
      </c>
      <c r="S916" s="45">
        <f>0.37*Model!$B$10*(Q916^2*(N916-K916)*I916/(R916*O916^2))^0.33333*(N916-K916)</f>
        <v>0</v>
      </c>
      <c r="T916" s="50">
        <f>Model!$B$32+(90-Model!$B$6)*SIN(RADIANS(-15*(E916+6)))</f>
        <v>-31.619472402513487</v>
      </c>
      <c r="U916" s="45">
        <f t="shared" si="282"/>
        <v>0</v>
      </c>
      <c r="V916" s="50">
        <f t="shared" si="283"/>
        <v>99999</v>
      </c>
      <c r="W916" s="45">
        <f t="shared" si="284"/>
        <v>0</v>
      </c>
      <c r="X916" s="45">
        <f>0.3*W916*Model!$B$9</f>
        <v>0</v>
      </c>
      <c r="Y916" s="33">
        <f>(S916-X916)/Model!$B$11</f>
        <v>0</v>
      </c>
      <c r="Z916" s="45" t="e">
        <f t="shared" si="285"/>
        <v>#DIV/0!</v>
      </c>
      <c r="AA916" s="56">
        <f>Y916/Model!$B$12*3600</f>
        <v>0</v>
      </c>
      <c r="AB916" s="50">
        <f t="shared" si="290"/>
        <v>0</v>
      </c>
      <c r="AC916" s="50">
        <f t="shared" si="276"/>
        <v>1800</v>
      </c>
      <c r="AD916" s="15">
        <f>IF(AE916=0, Model!$B$19, 0 )</f>
        <v>0</v>
      </c>
      <c r="AE916" s="50">
        <f>IF(AE915+AB915-AB916&lt;Model!$B$19*Model!$B$18, AE915+AB915-AB916,  0)</f>
        <v>443.63457370611354</v>
      </c>
      <c r="AF916" s="15">
        <f t="shared" si="286"/>
        <v>1</v>
      </c>
      <c r="AG916" s="50">
        <f t="shared" si="287"/>
        <v>0</v>
      </c>
    </row>
    <row r="917" spans="2:33" x14ac:dyDescent="0.25">
      <c r="B917" s="13">
        <f t="shared" si="288"/>
        <v>1</v>
      </c>
      <c r="C917" s="13">
        <f>B917+Model!$B$4</f>
        <v>3</v>
      </c>
      <c r="D917" s="13">
        <f t="shared" si="289"/>
        <v>1</v>
      </c>
      <c r="E917" s="13">
        <f t="shared" si="277"/>
        <v>3</v>
      </c>
      <c r="F917" s="14">
        <f>IF(AB917&gt;0, VLOOKUP(B917,Model!$A$40:$B$60, 2), 0)</f>
        <v>0</v>
      </c>
      <c r="G917" s="13">
        <f>IF(AB917&gt;0, VLOOKUP(B917,Model!$A$39:$C$58, 3), 0)</f>
        <v>0</v>
      </c>
      <c r="H917" s="13">
        <f t="shared" si="278"/>
        <v>0</v>
      </c>
      <c r="I917" s="46">
        <f>Model!$B$21*EXP((-0.029*9.81*F917)/(8.31*(273+J917)))</f>
        <v>104500</v>
      </c>
      <c r="J917" s="13">
        <f>IF(Model!$B$31="Summer",  IF(F917&lt;=2000,  Model!$B$20-Model!$B$35*F917/1000,  IF(F917&lt;Model!$B$36,  Model!$B$33-6.5*F917/1000,  Model!$B$38)),     IF(F917&lt;=2000,  Model!$B$20-Model!$B$35*F917/1000,  IF(F917&lt;Model!$B$36,  Model!$B$33-5.4*F917/1000,   Model!$B$38)))</f>
        <v>-20</v>
      </c>
      <c r="K917" s="13">
        <f t="shared" ref="K917:K980" si="291">273+J917</f>
        <v>253</v>
      </c>
      <c r="L917" s="46">
        <f>IF(AB916-AA916*(B917-B916)&gt;0, L916-Y916*(B917-B916)*3600-AD917*Model!$B$16, 0)</f>
        <v>0</v>
      </c>
      <c r="M917" s="57">
        <f t="shared" si="279"/>
        <v>0</v>
      </c>
      <c r="N917" s="57">
        <f>Model!$B$13*I917*K917/(Model!$B$13*I917-L917*287*K917)</f>
        <v>253</v>
      </c>
      <c r="O917" s="57">
        <f t="shared" si="280"/>
        <v>253</v>
      </c>
      <c r="P917" s="57">
        <f t="shared" si="281"/>
        <v>-10</v>
      </c>
      <c r="Q917" s="63">
        <f t="shared" ref="Q917:Q980" si="292">(O917-273)*7.1*0.00001+0.024</f>
        <v>2.2579999999999999E-2</v>
      </c>
      <c r="R917" s="17">
        <f t="shared" ref="R917:R980" si="293">((O917-273)*0.104+13.6)*0.000001</f>
        <v>1.152E-5</v>
      </c>
      <c r="S917" s="46">
        <f>0.37*Model!$B$10*(Q917^2*(N917-K917)*I917/(R917*O917^2))^0.33333*(N917-K917)</f>
        <v>0</v>
      </c>
      <c r="T917" s="51">
        <f>Model!$B$32+(90-Model!$B$6)*SIN(RADIANS(-15*(E917+6)))</f>
        <v>-31.619472402513487</v>
      </c>
      <c r="U917" s="46">
        <f t="shared" si="282"/>
        <v>0</v>
      </c>
      <c r="V917" s="51">
        <f t="shared" si="283"/>
        <v>99999</v>
      </c>
      <c r="W917" s="46">
        <f t="shared" si="284"/>
        <v>0</v>
      </c>
      <c r="X917" s="46">
        <f>0.3*W917*Model!$B$9</f>
        <v>0</v>
      </c>
      <c r="Y917" s="17">
        <f>(S917-X917)/Model!$B$11</f>
        <v>0</v>
      </c>
      <c r="Z917" s="46" t="e">
        <f t="shared" si="285"/>
        <v>#DIV/0!</v>
      </c>
      <c r="AA917" s="57">
        <f>Y917/Model!$B$12*3600</f>
        <v>0</v>
      </c>
      <c r="AB917" s="51">
        <f t="shared" si="290"/>
        <v>0</v>
      </c>
      <c r="AC917" s="51">
        <f t="shared" ref="AC917:AC980" si="294">AC916+AB916-AB917</f>
        <v>1800</v>
      </c>
      <c r="AD917" s="13">
        <f>IF(AE917=0, Model!$B$19, 0 )</f>
        <v>0</v>
      </c>
      <c r="AE917" s="51">
        <f>IF(AE916+AB916-AB917&lt;Model!$B$19*Model!$B$18, AE916+AB916-AB917,  0)</f>
        <v>443.63457370611354</v>
      </c>
      <c r="AF917" s="13">
        <f t="shared" si="286"/>
        <v>1</v>
      </c>
      <c r="AG917" s="50">
        <f t="shared" si="287"/>
        <v>0</v>
      </c>
    </row>
    <row r="918" spans="2:33" x14ac:dyDescent="0.25">
      <c r="B918" s="15">
        <f t="shared" si="288"/>
        <v>1</v>
      </c>
      <c r="C918" s="15">
        <f>B918+Model!$B$4</f>
        <v>3</v>
      </c>
      <c r="D918" s="15">
        <f t="shared" si="289"/>
        <v>1</v>
      </c>
      <c r="E918" s="15">
        <f t="shared" si="277"/>
        <v>3</v>
      </c>
      <c r="F918" s="16">
        <f>IF(AB918&gt;0, VLOOKUP(B918,Model!$A$40:$B$60, 2), 0)</f>
        <v>0</v>
      </c>
      <c r="G918" s="15">
        <f>IF(AB918&gt;0, VLOOKUP(B918,Model!$A$39:$C$58, 3), 0)</f>
        <v>0</v>
      </c>
      <c r="H918" s="15">
        <f t="shared" si="278"/>
        <v>0</v>
      </c>
      <c r="I918" s="45">
        <f>Model!$B$21*EXP((-0.029*9.81*F918)/(8.31*(273+J918)))</f>
        <v>104500</v>
      </c>
      <c r="J918" s="15">
        <f>IF(Model!$B$31="Summer",  IF(F918&lt;=2000,  Model!$B$20-Model!$B$35*F918/1000,  IF(F918&lt;Model!$B$36,  Model!$B$33-6.5*F918/1000,  Model!$B$38)),     IF(F918&lt;=2000,  Model!$B$20-Model!$B$35*F918/1000,  IF(F918&lt;Model!$B$36,  Model!$B$33-5.4*F918/1000,   Model!$B$38)))</f>
        <v>-20</v>
      </c>
      <c r="K918" s="15">
        <f t="shared" si="291"/>
        <v>253</v>
      </c>
      <c r="L918" s="45">
        <f>IF(AB917-AA917*(B918-B917)&gt;0, L917-Y917*(B918-B917)*3600-AD918*Model!$B$16, 0)</f>
        <v>0</v>
      </c>
      <c r="M918" s="56">
        <f t="shared" si="279"/>
        <v>0</v>
      </c>
      <c r="N918" s="56">
        <f>Model!$B$13*I918*K918/(Model!$B$13*I918-L918*287*K918)</f>
        <v>253</v>
      </c>
      <c r="O918" s="56">
        <f t="shared" si="280"/>
        <v>253</v>
      </c>
      <c r="P918" s="56">
        <f t="shared" si="281"/>
        <v>-10</v>
      </c>
      <c r="Q918" s="62">
        <f t="shared" si="292"/>
        <v>2.2579999999999999E-2</v>
      </c>
      <c r="R918" s="33">
        <f t="shared" si="293"/>
        <v>1.152E-5</v>
      </c>
      <c r="S918" s="45">
        <f>0.37*Model!$B$10*(Q918^2*(N918-K918)*I918/(R918*O918^2))^0.33333*(N918-K918)</f>
        <v>0</v>
      </c>
      <c r="T918" s="50">
        <f>Model!$B$32+(90-Model!$B$6)*SIN(RADIANS(-15*(E918+6)))</f>
        <v>-31.619472402513487</v>
      </c>
      <c r="U918" s="45">
        <f t="shared" si="282"/>
        <v>0</v>
      </c>
      <c r="V918" s="50">
        <f t="shared" si="283"/>
        <v>99999</v>
      </c>
      <c r="W918" s="45">
        <f t="shared" si="284"/>
        <v>0</v>
      </c>
      <c r="X918" s="45">
        <f>0.3*W918*Model!$B$9</f>
        <v>0</v>
      </c>
      <c r="Y918" s="33">
        <f>(S918-X918)/Model!$B$11</f>
        <v>0</v>
      </c>
      <c r="Z918" s="45" t="e">
        <f t="shared" si="285"/>
        <v>#DIV/0!</v>
      </c>
      <c r="AA918" s="56">
        <f>Y918/Model!$B$12*3600</f>
        <v>0</v>
      </c>
      <c r="AB918" s="50">
        <f t="shared" si="290"/>
        <v>0</v>
      </c>
      <c r="AC918" s="50">
        <f t="shared" si="294"/>
        <v>1800</v>
      </c>
      <c r="AD918" s="15">
        <f>IF(AE918=0, Model!$B$19, 0 )</f>
        <v>0</v>
      </c>
      <c r="AE918" s="50">
        <f>IF(AE917+AB917-AB918&lt;Model!$B$19*Model!$B$18, AE917+AB917-AB918,  0)</f>
        <v>443.63457370611354</v>
      </c>
      <c r="AF918" s="15">
        <f t="shared" si="286"/>
        <v>1</v>
      </c>
      <c r="AG918" s="50">
        <f t="shared" si="287"/>
        <v>0</v>
      </c>
    </row>
    <row r="919" spans="2:33" x14ac:dyDescent="0.25">
      <c r="B919" s="13">
        <f t="shared" si="288"/>
        <v>1</v>
      </c>
      <c r="C919" s="13">
        <f>B919+Model!$B$4</f>
        <v>3</v>
      </c>
      <c r="D919" s="13">
        <f t="shared" si="289"/>
        <v>1</v>
      </c>
      <c r="E919" s="13">
        <f t="shared" si="277"/>
        <v>3</v>
      </c>
      <c r="F919" s="14">
        <f>IF(AB919&gt;0, VLOOKUP(B919,Model!$A$40:$B$60, 2), 0)</f>
        <v>0</v>
      </c>
      <c r="G919" s="13">
        <f>IF(AB919&gt;0, VLOOKUP(B919,Model!$A$39:$C$58, 3), 0)</f>
        <v>0</v>
      </c>
      <c r="H919" s="13">
        <f t="shared" si="278"/>
        <v>0</v>
      </c>
      <c r="I919" s="46">
        <f>Model!$B$21*EXP((-0.029*9.81*F919)/(8.31*(273+J919)))</f>
        <v>104500</v>
      </c>
      <c r="J919" s="13">
        <f>IF(Model!$B$31="Summer",  IF(F919&lt;=2000,  Model!$B$20-Model!$B$35*F919/1000,  IF(F919&lt;Model!$B$36,  Model!$B$33-6.5*F919/1000,  Model!$B$38)),     IF(F919&lt;=2000,  Model!$B$20-Model!$B$35*F919/1000,  IF(F919&lt;Model!$B$36,  Model!$B$33-5.4*F919/1000,   Model!$B$38)))</f>
        <v>-20</v>
      </c>
      <c r="K919" s="13">
        <f t="shared" si="291"/>
        <v>253</v>
      </c>
      <c r="L919" s="46">
        <f>IF(AB918-AA918*(B919-B918)&gt;0, L918-Y918*(B919-B918)*3600-AD919*Model!$B$16, 0)</f>
        <v>0</v>
      </c>
      <c r="M919" s="57">
        <f t="shared" si="279"/>
        <v>0</v>
      </c>
      <c r="N919" s="57">
        <f>Model!$B$13*I919*K919/(Model!$B$13*I919-L919*287*K919)</f>
        <v>253</v>
      </c>
      <c r="O919" s="57">
        <f t="shared" si="280"/>
        <v>253</v>
      </c>
      <c r="P919" s="57">
        <f t="shared" si="281"/>
        <v>-10</v>
      </c>
      <c r="Q919" s="63">
        <f t="shared" si="292"/>
        <v>2.2579999999999999E-2</v>
      </c>
      <c r="R919" s="17">
        <f t="shared" si="293"/>
        <v>1.152E-5</v>
      </c>
      <c r="S919" s="46">
        <f>0.37*Model!$B$10*(Q919^2*(N919-K919)*I919/(R919*O919^2))^0.33333*(N919-K919)</f>
        <v>0</v>
      </c>
      <c r="T919" s="51">
        <f>Model!$B$32+(90-Model!$B$6)*SIN(RADIANS(-15*(E919+6)))</f>
        <v>-31.619472402513487</v>
      </c>
      <c r="U919" s="46">
        <f t="shared" si="282"/>
        <v>0</v>
      </c>
      <c r="V919" s="51">
        <f t="shared" si="283"/>
        <v>99999</v>
      </c>
      <c r="W919" s="46">
        <f t="shared" si="284"/>
        <v>0</v>
      </c>
      <c r="X919" s="46">
        <f>0.3*W919*Model!$B$9</f>
        <v>0</v>
      </c>
      <c r="Y919" s="17">
        <f>(S919-X919)/Model!$B$11</f>
        <v>0</v>
      </c>
      <c r="Z919" s="46" t="e">
        <f t="shared" si="285"/>
        <v>#DIV/0!</v>
      </c>
      <c r="AA919" s="57">
        <f>Y919/Model!$B$12*3600</f>
        <v>0</v>
      </c>
      <c r="AB919" s="51">
        <f t="shared" si="290"/>
        <v>0</v>
      </c>
      <c r="AC919" s="51">
        <f t="shared" si="294"/>
        <v>1800</v>
      </c>
      <c r="AD919" s="13">
        <f>IF(AE919=0, Model!$B$19, 0 )</f>
        <v>0</v>
      </c>
      <c r="AE919" s="51">
        <f>IF(AE918+AB918-AB919&lt;Model!$B$19*Model!$B$18, AE918+AB918-AB919,  0)</f>
        <v>443.63457370611354</v>
      </c>
      <c r="AF919" s="13">
        <f t="shared" si="286"/>
        <v>1</v>
      </c>
      <c r="AG919" s="50">
        <f t="shared" si="287"/>
        <v>0</v>
      </c>
    </row>
    <row r="920" spans="2:33" x14ac:dyDescent="0.25">
      <c r="B920" s="15">
        <f t="shared" si="288"/>
        <v>1</v>
      </c>
      <c r="C920" s="15">
        <f>B920+Model!$B$4</f>
        <v>3</v>
      </c>
      <c r="D920" s="15">
        <f t="shared" si="289"/>
        <v>1</v>
      </c>
      <c r="E920" s="15">
        <f t="shared" si="277"/>
        <v>3</v>
      </c>
      <c r="F920" s="16">
        <f>IF(AB920&gt;0, VLOOKUP(B920,Model!$A$40:$B$60, 2), 0)</f>
        <v>0</v>
      </c>
      <c r="G920" s="15">
        <f>IF(AB920&gt;0, VLOOKUP(B920,Model!$A$39:$C$58, 3), 0)</f>
        <v>0</v>
      </c>
      <c r="H920" s="15">
        <f t="shared" si="278"/>
        <v>0</v>
      </c>
      <c r="I920" s="45">
        <f>Model!$B$21*EXP((-0.029*9.81*F920)/(8.31*(273+J920)))</f>
        <v>104500</v>
      </c>
      <c r="J920" s="15">
        <f>IF(Model!$B$31="Summer",  IF(F920&lt;=2000,  Model!$B$20-Model!$B$35*F920/1000,  IF(F920&lt;Model!$B$36,  Model!$B$33-6.5*F920/1000,  Model!$B$38)),     IF(F920&lt;=2000,  Model!$B$20-Model!$B$35*F920/1000,  IF(F920&lt;Model!$B$36,  Model!$B$33-5.4*F920/1000,   Model!$B$38)))</f>
        <v>-20</v>
      </c>
      <c r="K920" s="15">
        <f t="shared" si="291"/>
        <v>253</v>
      </c>
      <c r="L920" s="45">
        <f>IF(AB919-AA919*(B920-B919)&gt;0, L919-Y919*(B920-B919)*3600-AD920*Model!$B$16, 0)</f>
        <v>0</v>
      </c>
      <c r="M920" s="56">
        <f t="shared" si="279"/>
        <v>0</v>
      </c>
      <c r="N920" s="56">
        <f>Model!$B$13*I920*K920/(Model!$B$13*I920-L920*287*K920)</f>
        <v>253</v>
      </c>
      <c r="O920" s="56">
        <f t="shared" si="280"/>
        <v>253</v>
      </c>
      <c r="P920" s="56">
        <f t="shared" si="281"/>
        <v>-10</v>
      </c>
      <c r="Q920" s="62">
        <f t="shared" si="292"/>
        <v>2.2579999999999999E-2</v>
      </c>
      <c r="R920" s="33">
        <f t="shared" si="293"/>
        <v>1.152E-5</v>
      </c>
      <c r="S920" s="45">
        <f>0.37*Model!$B$10*(Q920^2*(N920-K920)*I920/(R920*O920^2))^0.33333*(N920-K920)</f>
        <v>0</v>
      </c>
      <c r="T920" s="50">
        <f>Model!$B$32+(90-Model!$B$6)*SIN(RADIANS(-15*(E920+6)))</f>
        <v>-31.619472402513487</v>
      </c>
      <c r="U920" s="45">
        <f t="shared" si="282"/>
        <v>0</v>
      </c>
      <c r="V920" s="50">
        <f t="shared" si="283"/>
        <v>99999</v>
      </c>
      <c r="W920" s="45">
        <f t="shared" si="284"/>
        <v>0</v>
      </c>
      <c r="X920" s="45">
        <f>0.3*W920*Model!$B$9</f>
        <v>0</v>
      </c>
      <c r="Y920" s="33">
        <f>(S920-X920)/Model!$B$11</f>
        <v>0</v>
      </c>
      <c r="Z920" s="45" t="e">
        <f t="shared" si="285"/>
        <v>#DIV/0!</v>
      </c>
      <c r="AA920" s="56">
        <f>Y920/Model!$B$12*3600</f>
        <v>0</v>
      </c>
      <c r="AB920" s="50">
        <f t="shared" si="290"/>
        <v>0</v>
      </c>
      <c r="AC920" s="50">
        <f t="shared" si="294"/>
        <v>1800</v>
      </c>
      <c r="AD920" s="15">
        <f>IF(AE920=0, Model!$B$19, 0 )</f>
        <v>0</v>
      </c>
      <c r="AE920" s="50">
        <f>IF(AE919+AB919-AB920&lt;Model!$B$19*Model!$B$18, AE919+AB919-AB920,  0)</f>
        <v>443.63457370611354</v>
      </c>
      <c r="AF920" s="15">
        <f t="shared" si="286"/>
        <v>1</v>
      </c>
      <c r="AG920" s="50">
        <f t="shared" si="287"/>
        <v>0</v>
      </c>
    </row>
    <row r="921" spans="2:33" x14ac:dyDescent="0.25">
      <c r="B921" s="13">
        <f t="shared" si="288"/>
        <v>1</v>
      </c>
      <c r="C921" s="13">
        <f>B921+Model!$B$4</f>
        <v>3</v>
      </c>
      <c r="D921" s="13">
        <f t="shared" si="289"/>
        <v>1</v>
      </c>
      <c r="E921" s="13">
        <f t="shared" si="277"/>
        <v>3</v>
      </c>
      <c r="F921" s="14">
        <f>IF(AB921&gt;0, VLOOKUP(B921,Model!$A$40:$B$60, 2), 0)</f>
        <v>0</v>
      </c>
      <c r="G921" s="13">
        <f>IF(AB921&gt;0, VLOOKUP(B921,Model!$A$39:$C$58, 3), 0)</f>
        <v>0</v>
      </c>
      <c r="H921" s="13">
        <f t="shared" si="278"/>
        <v>0</v>
      </c>
      <c r="I921" s="46">
        <f>Model!$B$21*EXP((-0.029*9.81*F921)/(8.31*(273+J921)))</f>
        <v>104500</v>
      </c>
      <c r="J921" s="13">
        <f>IF(Model!$B$31="Summer",  IF(F921&lt;=2000,  Model!$B$20-Model!$B$35*F921/1000,  IF(F921&lt;Model!$B$36,  Model!$B$33-6.5*F921/1000,  Model!$B$38)),     IF(F921&lt;=2000,  Model!$B$20-Model!$B$35*F921/1000,  IF(F921&lt;Model!$B$36,  Model!$B$33-5.4*F921/1000,   Model!$B$38)))</f>
        <v>-20</v>
      </c>
      <c r="K921" s="13">
        <f t="shared" si="291"/>
        <v>253</v>
      </c>
      <c r="L921" s="46">
        <f>IF(AB920-AA920*(B921-B920)&gt;0, L920-Y920*(B921-B920)*3600-AD921*Model!$B$16, 0)</f>
        <v>0</v>
      </c>
      <c r="M921" s="57">
        <f t="shared" si="279"/>
        <v>0</v>
      </c>
      <c r="N921" s="57">
        <f>Model!$B$13*I921*K921/(Model!$B$13*I921-L921*287*K921)</f>
        <v>253</v>
      </c>
      <c r="O921" s="57">
        <f t="shared" si="280"/>
        <v>253</v>
      </c>
      <c r="P921" s="57">
        <f t="shared" si="281"/>
        <v>-10</v>
      </c>
      <c r="Q921" s="63">
        <f t="shared" si="292"/>
        <v>2.2579999999999999E-2</v>
      </c>
      <c r="R921" s="17">
        <f t="shared" si="293"/>
        <v>1.152E-5</v>
      </c>
      <c r="S921" s="46">
        <f>0.37*Model!$B$10*(Q921^2*(N921-K921)*I921/(R921*O921^2))^0.33333*(N921-K921)</f>
        <v>0</v>
      </c>
      <c r="T921" s="51">
        <f>Model!$B$32+(90-Model!$B$6)*SIN(RADIANS(-15*(E921+6)))</f>
        <v>-31.619472402513487</v>
      </c>
      <c r="U921" s="46">
        <f t="shared" si="282"/>
        <v>0</v>
      </c>
      <c r="V921" s="51">
        <f t="shared" si="283"/>
        <v>99999</v>
      </c>
      <c r="W921" s="46">
        <f t="shared" si="284"/>
        <v>0</v>
      </c>
      <c r="X921" s="46">
        <f>0.3*W921*Model!$B$9</f>
        <v>0</v>
      </c>
      <c r="Y921" s="17">
        <f>(S921-X921)/Model!$B$11</f>
        <v>0</v>
      </c>
      <c r="Z921" s="46" t="e">
        <f t="shared" si="285"/>
        <v>#DIV/0!</v>
      </c>
      <c r="AA921" s="57">
        <f>Y921/Model!$B$12*3600</f>
        <v>0</v>
      </c>
      <c r="AB921" s="51">
        <f t="shared" si="290"/>
        <v>0</v>
      </c>
      <c r="AC921" s="51">
        <f t="shared" si="294"/>
        <v>1800</v>
      </c>
      <c r="AD921" s="13">
        <f>IF(AE921=0, Model!$B$19, 0 )</f>
        <v>0</v>
      </c>
      <c r="AE921" s="51">
        <f>IF(AE920+AB920-AB921&lt;Model!$B$19*Model!$B$18, AE920+AB920-AB921,  0)</f>
        <v>443.63457370611354</v>
      </c>
      <c r="AF921" s="13">
        <f t="shared" si="286"/>
        <v>1</v>
      </c>
      <c r="AG921" s="50">
        <f t="shared" si="287"/>
        <v>0</v>
      </c>
    </row>
    <row r="922" spans="2:33" x14ac:dyDescent="0.25">
      <c r="B922" s="15">
        <f t="shared" si="288"/>
        <v>1</v>
      </c>
      <c r="C922" s="15">
        <f>B922+Model!$B$4</f>
        <v>3</v>
      </c>
      <c r="D922" s="15">
        <f t="shared" si="289"/>
        <v>1</v>
      </c>
      <c r="E922" s="15">
        <f t="shared" si="277"/>
        <v>3</v>
      </c>
      <c r="F922" s="16">
        <f>IF(AB922&gt;0, VLOOKUP(B922,Model!$A$40:$B$60, 2), 0)</f>
        <v>0</v>
      </c>
      <c r="G922" s="15">
        <f>IF(AB922&gt;0, VLOOKUP(B922,Model!$A$39:$C$58, 3), 0)</f>
        <v>0</v>
      </c>
      <c r="H922" s="15">
        <f t="shared" si="278"/>
        <v>0</v>
      </c>
      <c r="I922" s="45">
        <f>Model!$B$21*EXP((-0.029*9.81*F922)/(8.31*(273+J922)))</f>
        <v>104500</v>
      </c>
      <c r="J922" s="15">
        <f>IF(Model!$B$31="Summer",  IF(F922&lt;=2000,  Model!$B$20-Model!$B$35*F922/1000,  IF(F922&lt;Model!$B$36,  Model!$B$33-6.5*F922/1000,  Model!$B$38)),     IF(F922&lt;=2000,  Model!$B$20-Model!$B$35*F922/1000,  IF(F922&lt;Model!$B$36,  Model!$B$33-5.4*F922/1000,   Model!$B$38)))</f>
        <v>-20</v>
      </c>
      <c r="K922" s="15">
        <f t="shared" si="291"/>
        <v>253</v>
      </c>
      <c r="L922" s="45">
        <f>IF(AB921-AA921*(B922-B921)&gt;0, L921-Y921*(B922-B921)*3600-AD922*Model!$B$16, 0)</f>
        <v>0</v>
      </c>
      <c r="M922" s="56">
        <f t="shared" si="279"/>
        <v>0</v>
      </c>
      <c r="N922" s="56">
        <f>Model!$B$13*I922*K922/(Model!$B$13*I922-L922*287*K922)</f>
        <v>253</v>
      </c>
      <c r="O922" s="56">
        <f t="shared" si="280"/>
        <v>253</v>
      </c>
      <c r="P922" s="56">
        <f t="shared" si="281"/>
        <v>-10</v>
      </c>
      <c r="Q922" s="62">
        <f t="shared" si="292"/>
        <v>2.2579999999999999E-2</v>
      </c>
      <c r="R922" s="33">
        <f t="shared" si="293"/>
        <v>1.152E-5</v>
      </c>
      <c r="S922" s="45">
        <f>0.37*Model!$B$10*(Q922^2*(N922-K922)*I922/(R922*O922^2))^0.33333*(N922-K922)</f>
        <v>0</v>
      </c>
      <c r="T922" s="50">
        <f>Model!$B$32+(90-Model!$B$6)*SIN(RADIANS(-15*(E922+6)))</f>
        <v>-31.619472402513487</v>
      </c>
      <c r="U922" s="45">
        <f t="shared" si="282"/>
        <v>0</v>
      </c>
      <c r="V922" s="50">
        <f t="shared" si="283"/>
        <v>99999</v>
      </c>
      <c r="W922" s="45">
        <f t="shared" si="284"/>
        <v>0</v>
      </c>
      <c r="X922" s="45">
        <f>0.3*W922*Model!$B$9</f>
        <v>0</v>
      </c>
      <c r="Y922" s="33">
        <f>(S922-X922)/Model!$B$11</f>
        <v>0</v>
      </c>
      <c r="Z922" s="45" t="e">
        <f t="shared" si="285"/>
        <v>#DIV/0!</v>
      </c>
      <c r="AA922" s="56">
        <f>Y922/Model!$B$12*3600</f>
        <v>0</v>
      </c>
      <c r="AB922" s="50">
        <f t="shared" si="290"/>
        <v>0</v>
      </c>
      <c r="AC922" s="50">
        <f t="shared" si="294"/>
        <v>1800</v>
      </c>
      <c r="AD922" s="15">
        <f>IF(AE922=0, Model!$B$19, 0 )</f>
        <v>0</v>
      </c>
      <c r="AE922" s="50">
        <f>IF(AE921+AB921-AB922&lt;Model!$B$19*Model!$B$18, AE921+AB921-AB922,  0)</f>
        <v>443.63457370611354</v>
      </c>
      <c r="AF922" s="15">
        <f t="shared" si="286"/>
        <v>1</v>
      </c>
      <c r="AG922" s="50">
        <f t="shared" si="287"/>
        <v>0</v>
      </c>
    </row>
    <row r="923" spans="2:33" x14ac:dyDescent="0.25">
      <c r="B923" s="13">
        <f t="shared" si="288"/>
        <v>1</v>
      </c>
      <c r="C923" s="13">
        <f>B923+Model!$B$4</f>
        <v>3</v>
      </c>
      <c r="D923" s="13">
        <f t="shared" si="289"/>
        <v>1</v>
      </c>
      <c r="E923" s="13">
        <f t="shared" si="277"/>
        <v>3</v>
      </c>
      <c r="F923" s="14">
        <f>IF(AB923&gt;0, VLOOKUP(B923,Model!$A$40:$B$60, 2), 0)</f>
        <v>0</v>
      </c>
      <c r="G923" s="13">
        <f>IF(AB923&gt;0, VLOOKUP(B923,Model!$A$39:$C$58, 3), 0)</f>
        <v>0</v>
      </c>
      <c r="H923" s="13">
        <f t="shared" si="278"/>
        <v>0</v>
      </c>
      <c r="I923" s="46">
        <f>Model!$B$21*EXP((-0.029*9.81*F923)/(8.31*(273+J923)))</f>
        <v>104500</v>
      </c>
      <c r="J923" s="13">
        <f>IF(Model!$B$31="Summer",  IF(F923&lt;=2000,  Model!$B$20-Model!$B$35*F923/1000,  IF(F923&lt;Model!$B$36,  Model!$B$33-6.5*F923/1000,  Model!$B$38)),     IF(F923&lt;=2000,  Model!$B$20-Model!$B$35*F923/1000,  IF(F923&lt;Model!$B$36,  Model!$B$33-5.4*F923/1000,   Model!$B$38)))</f>
        <v>-20</v>
      </c>
      <c r="K923" s="13">
        <f t="shared" si="291"/>
        <v>253</v>
      </c>
      <c r="L923" s="46">
        <f>IF(AB922-AA922*(B923-B922)&gt;0, L922-Y922*(B923-B922)*3600-AD923*Model!$B$16, 0)</f>
        <v>0</v>
      </c>
      <c r="M923" s="57">
        <f t="shared" si="279"/>
        <v>0</v>
      </c>
      <c r="N923" s="57">
        <f>Model!$B$13*I923*K923/(Model!$B$13*I923-L923*287*K923)</f>
        <v>253</v>
      </c>
      <c r="O923" s="57">
        <f t="shared" si="280"/>
        <v>253</v>
      </c>
      <c r="P923" s="57">
        <f t="shared" si="281"/>
        <v>-10</v>
      </c>
      <c r="Q923" s="63">
        <f t="shared" si="292"/>
        <v>2.2579999999999999E-2</v>
      </c>
      <c r="R923" s="17">
        <f t="shared" si="293"/>
        <v>1.152E-5</v>
      </c>
      <c r="S923" s="46">
        <f>0.37*Model!$B$10*(Q923^2*(N923-K923)*I923/(R923*O923^2))^0.33333*(N923-K923)</f>
        <v>0</v>
      </c>
      <c r="T923" s="51">
        <f>Model!$B$32+(90-Model!$B$6)*SIN(RADIANS(-15*(E923+6)))</f>
        <v>-31.619472402513487</v>
      </c>
      <c r="U923" s="46">
        <f t="shared" si="282"/>
        <v>0</v>
      </c>
      <c r="V923" s="51">
        <f t="shared" si="283"/>
        <v>99999</v>
      </c>
      <c r="W923" s="46">
        <f t="shared" si="284"/>
        <v>0</v>
      </c>
      <c r="X923" s="46">
        <f>0.3*W923*Model!$B$9</f>
        <v>0</v>
      </c>
      <c r="Y923" s="17">
        <f>(S923-X923)/Model!$B$11</f>
        <v>0</v>
      </c>
      <c r="Z923" s="46" t="e">
        <f t="shared" si="285"/>
        <v>#DIV/0!</v>
      </c>
      <c r="AA923" s="57">
        <f>Y923/Model!$B$12*3600</f>
        <v>0</v>
      </c>
      <c r="AB923" s="51">
        <f t="shared" si="290"/>
        <v>0</v>
      </c>
      <c r="AC923" s="51">
        <f t="shared" si="294"/>
        <v>1800</v>
      </c>
      <c r="AD923" s="13">
        <f>IF(AE923=0, Model!$B$19, 0 )</f>
        <v>0</v>
      </c>
      <c r="AE923" s="51">
        <f>IF(AE922+AB922-AB923&lt;Model!$B$19*Model!$B$18, AE922+AB922-AB923,  0)</f>
        <v>443.63457370611354</v>
      </c>
      <c r="AF923" s="13">
        <f t="shared" si="286"/>
        <v>1</v>
      </c>
      <c r="AG923" s="50">
        <f t="shared" si="287"/>
        <v>0</v>
      </c>
    </row>
    <row r="924" spans="2:33" x14ac:dyDescent="0.25">
      <c r="B924" s="15">
        <f t="shared" si="288"/>
        <v>1</v>
      </c>
      <c r="C924" s="15">
        <f>B924+Model!$B$4</f>
        <v>3</v>
      </c>
      <c r="D924" s="15">
        <f t="shared" si="289"/>
        <v>1</v>
      </c>
      <c r="E924" s="15">
        <f t="shared" si="277"/>
        <v>3</v>
      </c>
      <c r="F924" s="16">
        <f>IF(AB924&gt;0, VLOOKUP(B924,Model!$A$40:$B$60, 2), 0)</f>
        <v>0</v>
      </c>
      <c r="G924" s="15">
        <f>IF(AB924&gt;0, VLOOKUP(B924,Model!$A$39:$C$58, 3), 0)</f>
        <v>0</v>
      </c>
      <c r="H924" s="15">
        <f t="shared" si="278"/>
        <v>0</v>
      </c>
      <c r="I924" s="45">
        <f>Model!$B$21*EXP((-0.029*9.81*F924)/(8.31*(273+J924)))</f>
        <v>104500</v>
      </c>
      <c r="J924" s="15">
        <f>IF(Model!$B$31="Summer",  IF(F924&lt;=2000,  Model!$B$20-Model!$B$35*F924/1000,  IF(F924&lt;Model!$B$36,  Model!$B$33-6.5*F924/1000,  Model!$B$38)),     IF(F924&lt;=2000,  Model!$B$20-Model!$B$35*F924/1000,  IF(F924&lt;Model!$B$36,  Model!$B$33-5.4*F924/1000,   Model!$B$38)))</f>
        <v>-20</v>
      </c>
      <c r="K924" s="15">
        <f t="shared" si="291"/>
        <v>253</v>
      </c>
      <c r="L924" s="45">
        <f>IF(AB923-AA923*(B924-B923)&gt;0, L923-Y923*(B924-B923)*3600-AD924*Model!$B$16, 0)</f>
        <v>0</v>
      </c>
      <c r="M924" s="56">
        <f t="shared" si="279"/>
        <v>0</v>
      </c>
      <c r="N924" s="56">
        <f>Model!$B$13*I924*K924/(Model!$B$13*I924-L924*287*K924)</f>
        <v>253</v>
      </c>
      <c r="O924" s="56">
        <f t="shared" si="280"/>
        <v>253</v>
      </c>
      <c r="P924" s="56">
        <f t="shared" si="281"/>
        <v>-10</v>
      </c>
      <c r="Q924" s="62">
        <f t="shared" si="292"/>
        <v>2.2579999999999999E-2</v>
      </c>
      <c r="R924" s="33">
        <f t="shared" si="293"/>
        <v>1.152E-5</v>
      </c>
      <c r="S924" s="45">
        <f>0.37*Model!$B$10*(Q924^2*(N924-K924)*I924/(R924*O924^2))^0.33333*(N924-K924)</f>
        <v>0</v>
      </c>
      <c r="T924" s="50">
        <f>Model!$B$32+(90-Model!$B$6)*SIN(RADIANS(-15*(E924+6)))</f>
        <v>-31.619472402513487</v>
      </c>
      <c r="U924" s="45">
        <f t="shared" si="282"/>
        <v>0</v>
      </c>
      <c r="V924" s="50">
        <f t="shared" si="283"/>
        <v>99999</v>
      </c>
      <c r="W924" s="45">
        <f t="shared" si="284"/>
        <v>0</v>
      </c>
      <c r="X924" s="45">
        <f>0.3*W924*Model!$B$9</f>
        <v>0</v>
      </c>
      <c r="Y924" s="33">
        <f>(S924-X924)/Model!$B$11</f>
        <v>0</v>
      </c>
      <c r="Z924" s="45" t="e">
        <f t="shared" si="285"/>
        <v>#DIV/0!</v>
      </c>
      <c r="AA924" s="56">
        <f>Y924/Model!$B$12*3600</f>
        <v>0</v>
      </c>
      <c r="AB924" s="50">
        <f t="shared" si="290"/>
        <v>0</v>
      </c>
      <c r="AC924" s="50">
        <f t="shared" si="294"/>
        <v>1800</v>
      </c>
      <c r="AD924" s="15">
        <f>IF(AE924=0, Model!$B$19, 0 )</f>
        <v>0</v>
      </c>
      <c r="AE924" s="50">
        <f>IF(AE923+AB923-AB924&lt;Model!$B$19*Model!$B$18, AE923+AB923-AB924,  0)</f>
        <v>443.63457370611354</v>
      </c>
      <c r="AF924" s="15">
        <f t="shared" si="286"/>
        <v>1</v>
      </c>
      <c r="AG924" s="50">
        <f t="shared" si="287"/>
        <v>0</v>
      </c>
    </row>
    <row r="925" spans="2:33" x14ac:dyDescent="0.25">
      <c r="B925" s="13">
        <f t="shared" si="288"/>
        <v>1</v>
      </c>
      <c r="C925" s="13">
        <f>B925+Model!$B$4</f>
        <v>3</v>
      </c>
      <c r="D925" s="13">
        <f t="shared" si="289"/>
        <v>1</v>
      </c>
      <c r="E925" s="13">
        <f t="shared" si="277"/>
        <v>3</v>
      </c>
      <c r="F925" s="14">
        <f>IF(AB925&gt;0, VLOOKUP(B925,Model!$A$40:$B$60, 2), 0)</f>
        <v>0</v>
      </c>
      <c r="G925" s="13">
        <f>IF(AB925&gt;0, VLOOKUP(B925,Model!$A$39:$C$58, 3), 0)</f>
        <v>0</v>
      </c>
      <c r="H925" s="13">
        <f t="shared" si="278"/>
        <v>0</v>
      </c>
      <c r="I925" s="46">
        <f>Model!$B$21*EXP((-0.029*9.81*F925)/(8.31*(273+J925)))</f>
        <v>104500</v>
      </c>
      <c r="J925" s="13">
        <f>IF(Model!$B$31="Summer",  IF(F925&lt;=2000,  Model!$B$20-Model!$B$35*F925/1000,  IF(F925&lt;Model!$B$36,  Model!$B$33-6.5*F925/1000,  Model!$B$38)),     IF(F925&lt;=2000,  Model!$B$20-Model!$B$35*F925/1000,  IF(F925&lt;Model!$B$36,  Model!$B$33-5.4*F925/1000,   Model!$B$38)))</f>
        <v>-20</v>
      </c>
      <c r="K925" s="13">
        <f t="shared" si="291"/>
        <v>253</v>
      </c>
      <c r="L925" s="46">
        <f>IF(AB924-AA924*(B925-B924)&gt;0, L924-Y924*(B925-B924)*3600-AD925*Model!$B$16, 0)</f>
        <v>0</v>
      </c>
      <c r="M925" s="57">
        <f t="shared" si="279"/>
        <v>0</v>
      </c>
      <c r="N925" s="57">
        <f>Model!$B$13*I925*K925/(Model!$B$13*I925-L925*287*K925)</f>
        <v>253</v>
      </c>
      <c r="O925" s="57">
        <f t="shared" si="280"/>
        <v>253</v>
      </c>
      <c r="P925" s="57">
        <f t="shared" si="281"/>
        <v>-10</v>
      </c>
      <c r="Q925" s="63">
        <f t="shared" si="292"/>
        <v>2.2579999999999999E-2</v>
      </c>
      <c r="R925" s="17">
        <f t="shared" si="293"/>
        <v>1.152E-5</v>
      </c>
      <c r="S925" s="46">
        <f>0.37*Model!$B$10*(Q925^2*(N925-K925)*I925/(R925*O925^2))^0.33333*(N925-K925)</f>
        <v>0</v>
      </c>
      <c r="T925" s="51">
        <f>Model!$B$32+(90-Model!$B$6)*SIN(RADIANS(-15*(E925+6)))</f>
        <v>-31.619472402513487</v>
      </c>
      <c r="U925" s="46">
        <f t="shared" si="282"/>
        <v>0</v>
      </c>
      <c r="V925" s="51">
        <f t="shared" si="283"/>
        <v>99999</v>
      </c>
      <c r="W925" s="46">
        <f t="shared" si="284"/>
        <v>0</v>
      </c>
      <c r="X925" s="46">
        <f>0.3*W925*Model!$B$9</f>
        <v>0</v>
      </c>
      <c r="Y925" s="17">
        <f>(S925-X925)/Model!$B$11</f>
        <v>0</v>
      </c>
      <c r="Z925" s="46" t="e">
        <f t="shared" si="285"/>
        <v>#DIV/0!</v>
      </c>
      <c r="AA925" s="57">
        <f>Y925/Model!$B$12*3600</f>
        <v>0</v>
      </c>
      <c r="AB925" s="51">
        <f t="shared" si="290"/>
        <v>0</v>
      </c>
      <c r="AC925" s="51">
        <f t="shared" si="294"/>
        <v>1800</v>
      </c>
      <c r="AD925" s="13">
        <f>IF(AE925=0, Model!$B$19, 0 )</f>
        <v>0</v>
      </c>
      <c r="AE925" s="51">
        <f>IF(AE924+AB924-AB925&lt;Model!$B$19*Model!$B$18, AE924+AB924-AB925,  0)</f>
        <v>443.63457370611354</v>
      </c>
      <c r="AF925" s="13">
        <f t="shared" si="286"/>
        <v>1</v>
      </c>
      <c r="AG925" s="50">
        <f t="shared" si="287"/>
        <v>0</v>
      </c>
    </row>
    <row r="926" spans="2:33" x14ac:dyDescent="0.25">
      <c r="B926" s="15">
        <f t="shared" si="288"/>
        <v>1</v>
      </c>
      <c r="C926" s="15">
        <f>B926+Model!$B$4</f>
        <v>3</v>
      </c>
      <c r="D926" s="15">
        <f t="shared" si="289"/>
        <v>1</v>
      </c>
      <c r="E926" s="15">
        <f t="shared" si="277"/>
        <v>3</v>
      </c>
      <c r="F926" s="16">
        <f>IF(AB926&gt;0, VLOOKUP(B926,Model!$A$40:$B$60, 2), 0)</f>
        <v>0</v>
      </c>
      <c r="G926" s="15">
        <f>IF(AB926&gt;0, VLOOKUP(B926,Model!$A$39:$C$58, 3), 0)</f>
        <v>0</v>
      </c>
      <c r="H926" s="15">
        <f t="shared" si="278"/>
        <v>0</v>
      </c>
      <c r="I926" s="45">
        <f>Model!$B$21*EXP((-0.029*9.81*F926)/(8.31*(273+J926)))</f>
        <v>104500</v>
      </c>
      <c r="J926" s="15">
        <f>IF(Model!$B$31="Summer",  IF(F926&lt;=2000,  Model!$B$20-Model!$B$35*F926/1000,  IF(F926&lt;Model!$B$36,  Model!$B$33-6.5*F926/1000,  Model!$B$38)),     IF(F926&lt;=2000,  Model!$B$20-Model!$B$35*F926/1000,  IF(F926&lt;Model!$B$36,  Model!$B$33-5.4*F926/1000,   Model!$B$38)))</f>
        <v>-20</v>
      </c>
      <c r="K926" s="15">
        <f t="shared" si="291"/>
        <v>253</v>
      </c>
      <c r="L926" s="45">
        <f>IF(AB925-AA925*(B926-B925)&gt;0, L925-Y925*(B926-B925)*3600-AD926*Model!$B$16, 0)</f>
        <v>0</v>
      </c>
      <c r="M926" s="56">
        <f t="shared" si="279"/>
        <v>0</v>
      </c>
      <c r="N926" s="56">
        <f>Model!$B$13*I926*K926/(Model!$B$13*I926-L926*287*K926)</f>
        <v>253</v>
      </c>
      <c r="O926" s="56">
        <f t="shared" si="280"/>
        <v>253</v>
      </c>
      <c r="P926" s="56">
        <f t="shared" si="281"/>
        <v>-10</v>
      </c>
      <c r="Q926" s="62">
        <f t="shared" si="292"/>
        <v>2.2579999999999999E-2</v>
      </c>
      <c r="R926" s="33">
        <f t="shared" si="293"/>
        <v>1.152E-5</v>
      </c>
      <c r="S926" s="45">
        <f>0.37*Model!$B$10*(Q926^2*(N926-K926)*I926/(R926*O926^2))^0.33333*(N926-K926)</f>
        <v>0</v>
      </c>
      <c r="T926" s="50">
        <f>Model!$B$32+(90-Model!$B$6)*SIN(RADIANS(-15*(E926+6)))</f>
        <v>-31.619472402513487</v>
      </c>
      <c r="U926" s="45">
        <f t="shared" si="282"/>
        <v>0</v>
      </c>
      <c r="V926" s="50">
        <f t="shared" si="283"/>
        <v>99999</v>
      </c>
      <c r="W926" s="45">
        <f t="shared" si="284"/>
        <v>0</v>
      </c>
      <c r="X926" s="45">
        <f>0.3*W926*Model!$B$9</f>
        <v>0</v>
      </c>
      <c r="Y926" s="33">
        <f>(S926-X926)/Model!$B$11</f>
        <v>0</v>
      </c>
      <c r="Z926" s="45" t="e">
        <f t="shared" si="285"/>
        <v>#DIV/0!</v>
      </c>
      <c r="AA926" s="56">
        <f>Y926/Model!$B$12*3600</f>
        <v>0</v>
      </c>
      <c r="AB926" s="50">
        <f t="shared" si="290"/>
        <v>0</v>
      </c>
      <c r="AC926" s="50">
        <f t="shared" si="294"/>
        <v>1800</v>
      </c>
      <c r="AD926" s="15">
        <f>IF(AE926=0, Model!$B$19, 0 )</f>
        <v>0</v>
      </c>
      <c r="AE926" s="50">
        <f>IF(AE925+AB925-AB926&lt;Model!$B$19*Model!$B$18, AE925+AB925-AB926,  0)</f>
        <v>443.63457370611354</v>
      </c>
      <c r="AF926" s="15">
        <f t="shared" si="286"/>
        <v>1</v>
      </c>
      <c r="AG926" s="50">
        <f t="shared" si="287"/>
        <v>0</v>
      </c>
    </row>
    <row r="927" spans="2:33" x14ac:dyDescent="0.25">
      <c r="B927" s="13">
        <f t="shared" si="288"/>
        <v>1</v>
      </c>
      <c r="C927" s="13">
        <f>B927+Model!$B$4</f>
        <v>3</v>
      </c>
      <c r="D927" s="13">
        <f t="shared" si="289"/>
        <v>1</v>
      </c>
      <c r="E927" s="13">
        <f t="shared" si="277"/>
        <v>3</v>
      </c>
      <c r="F927" s="14">
        <f>IF(AB927&gt;0, VLOOKUP(B927,Model!$A$40:$B$60, 2), 0)</f>
        <v>0</v>
      </c>
      <c r="G927" s="13">
        <f>IF(AB927&gt;0, VLOOKUP(B927,Model!$A$39:$C$58, 3), 0)</f>
        <v>0</v>
      </c>
      <c r="H927" s="13">
        <f t="shared" si="278"/>
        <v>0</v>
      </c>
      <c r="I927" s="46">
        <f>Model!$B$21*EXP((-0.029*9.81*F927)/(8.31*(273+J927)))</f>
        <v>104500</v>
      </c>
      <c r="J927" s="13">
        <f>IF(Model!$B$31="Summer",  IF(F927&lt;=2000,  Model!$B$20-Model!$B$35*F927/1000,  IF(F927&lt;Model!$B$36,  Model!$B$33-6.5*F927/1000,  Model!$B$38)),     IF(F927&lt;=2000,  Model!$B$20-Model!$B$35*F927/1000,  IF(F927&lt;Model!$B$36,  Model!$B$33-5.4*F927/1000,   Model!$B$38)))</f>
        <v>-20</v>
      </c>
      <c r="K927" s="13">
        <f t="shared" si="291"/>
        <v>253</v>
      </c>
      <c r="L927" s="46">
        <f>IF(AB926-AA926*(B927-B926)&gt;0, L926-Y926*(B927-B926)*3600-AD927*Model!$B$16, 0)</f>
        <v>0</v>
      </c>
      <c r="M927" s="57">
        <f t="shared" si="279"/>
        <v>0</v>
      </c>
      <c r="N927" s="57">
        <f>Model!$B$13*I927*K927/(Model!$B$13*I927-L927*287*K927)</f>
        <v>253</v>
      </c>
      <c r="O927" s="57">
        <f t="shared" si="280"/>
        <v>253</v>
      </c>
      <c r="P927" s="57">
        <f t="shared" si="281"/>
        <v>-10</v>
      </c>
      <c r="Q927" s="63">
        <f t="shared" si="292"/>
        <v>2.2579999999999999E-2</v>
      </c>
      <c r="R927" s="17">
        <f t="shared" si="293"/>
        <v>1.152E-5</v>
      </c>
      <c r="S927" s="46">
        <f>0.37*Model!$B$10*(Q927^2*(N927-K927)*I927/(R927*O927^2))^0.33333*(N927-K927)</f>
        <v>0</v>
      </c>
      <c r="T927" s="51">
        <f>Model!$B$32+(90-Model!$B$6)*SIN(RADIANS(-15*(E927+6)))</f>
        <v>-31.619472402513487</v>
      </c>
      <c r="U927" s="46">
        <f t="shared" si="282"/>
        <v>0</v>
      </c>
      <c r="V927" s="51">
        <f t="shared" si="283"/>
        <v>99999</v>
      </c>
      <c r="W927" s="46">
        <f t="shared" si="284"/>
        <v>0</v>
      </c>
      <c r="X927" s="46">
        <f>0.3*W927*Model!$B$9</f>
        <v>0</v>
      </c>
      <c r="Y927" s="17">
        <f>(S927-X927)/Model!$B$11</f>
        <v>0</v>
      </c>
      <c r="Z927" s="46" t="e">
        <f t="shared" si="285"/>
        <v>#DIV/0!</v>
      </c>
      <c r="AA927" s="57">
        <f>Y927/Model!$B$12*3600</f>
        <v>0</v>
      </c>
      <c r="AB927" s="51">
        <f t="shared" si="290"/>
        <v>0</v>
      </c>
      <c r="AC927" s="51">
        <f t="shared" si="294"/>
        <v>1800</v>
      </c>
      <c r="AD927" s="13">
        <f>IF(AE927=0, Model!$B$19, 0 )</f>
        <v>0</v>
      </c>
      <c r="AE927" s="51">
        <f>IF(AE926+AB926-AB927&lt;Model!$B$19*Model!$B$18, AE926+AB926-AB927,  0)</f>
        <v>443.63457370611354</v>
      </c>
      <c r="AF927" s="13">
        <f t="shared" si="286"/>
        <v>1</v>
      </c>
      <c r="AG927" s="50">
        <f t="shared" si="287"/>
        <v>0</v>
      </c>
    </row>
    <row r="928" spans="2:33" x14ac:dyDescent="0.25">
      <c r="B928" s="15">
        <f t="shared" si="288"/>
        <v>1</v>
      </c>
      <c r="C928" s="15">
        <f>B928+Model!$B$4</f>
        <v>3</v>
      </c>
      <c r="D928" s="15">
        <f t="shared" si="289"/>
        <v>1</v>
      </c>
      <c r="E928" s="15">
        <f t="shared" si="277"/>
        <v>3</v>
      </c>
      <c r="F928" s="16">
        <f>IF(AB928&gt;0, VLOOKUP(B928,Model!$A$40:$B$60, 2), 0)</f>
        <v>0</v>
      </c>
      <c r="G928" s="15">
        <f>IF(AB928&gt;0, VLOOKUP(B928,Model!$A$39:$C$58, 3), 0)</f>
        <v>0</v>
      </c>
      <c r="H928" s="15">
        <f t="shared" si="278"/>
        <v>0</v>
      </c>
      <c r="I928" s="45">
        <f>Model!$B$21*EXP((-0.029*9.81*F928)/(8.31*(273+J928)))</f>
        <v>104500</v>
      </c>
      <c r="J928" s="15">
        <f>IF(Model!$B$31="Summer",  IF(F928&lt;=2000,  Model!$B$20-Model!$B$35*F928/1000,  IF(F928&lt;Model!$B$36,  Model!$B$33-6.5*F928/1000,  Model!$B$38)),     IF(F928&lt;=2000,  Model!$B$20-Model!$B$35*F928/1000,  IF(F928&lt;Model!$B$36,  Model!$B$33-5.4*F928/1000,   Model!$B$38)))</f>
        <v>-20</v>
      </c>
      <c r="K928" s="15">
        <f t="shared" si="291"/>
        <v>253</v>
      </c>
      <c r="L928" s="45">
        <f>IF(AB927-AA927*(B928-B927)&gt;0, L927-Y927*(B928-B927)*3600-AD928*Model!$B$16, 0)</f>
        <v>0</v>
      </c>
      <c r="M928" s="56">
        <f t="shared" si="279"/>
        <v>0</v>
      </c>
      <c r="N928" s="56">
        <f>Model!$B$13*I928*K928/(Model!$B$13*I928-L928*287*K928)</f>
        <v>253</v>
      </c>
      <c r="O928" s="56">
        <f t="shared" si="280"/>
        <v>253</v>
      </c>
      <c r="P928" s="56">
        <f t="shared" si="281"/>
        <v>-10</v>
      </c>
      <c r="Q928" s="62">
        <f t="shared" si="292"/>
        <v>2.2579999999999999E-2</v>
      </c>
      <c r="R928" s="33">
        <f t="shared" si="293"/>
        <v>1.152E-5</v>
      </c>
      <c r="S928" s="45">
        <f>0.37*Model!$B$10*(Q928^2*(N928-K928)*I928/(R928*O928^2))^0.33333*(N928-K928)</f>
        <v>0</v>
      </c>
      <c r="T928" s="50">
        <f>Model!$B$32+(90-Model!$B$6)*SIN(RADIANS(-15*(E928+6)))</f>
        <v>-31.619472402513487</v>
      </c>
      <c r="U928" s="45">
        <f t="shared" si="282"/>
        <v>0</v>
      </c>
      <c r="V928" s="50">
        <f t="shared" si="283"/>
        <v>99999</v>
      </c>
      <c r="W928" s="45">
        <f t="shared" si="284"/>
        <v>0</v>
      </c>
      <c r="X928" s="45">
        <f>0.3*W928*Model!$B$9</f>
        <v>0</v>
      </c>
      <c r="Y928" s="33">
        <f>(S928-X928)/Model!$B$11</f>
        <v>0</v>
      </c>
      <c r="Z928" s="45" t="e">
        <f t="shared" si="285"/>
        <v>#DIV/0!</v>
      </c>
      <c r="AA928" s="56">
        <f>Y928/Model!$B$12*3600</f>
        <v>0</v>
      </c>
      <c r="AB928" s="50">
        <f t="shared" si="290"/>
        <v>0</v>
      </c>
      <c r="AC928" s="50">
        <f t="shared" si="294"/>
        <v>1800</v>
      </c>
      <c r="AD928" s="15">
        <f>IF(AE928=0, Model!$B$19, 0 )</f>
        <v>0</v>
      </c>
      <c r="AE928" s="50">
        <f>IF(AE927+AB927-AB928&lt;Model!$B$19*Model!$B$18, AE927+AB927-AB928,  0)</f>
        <v>443.63457370611354</v>
      </c>
      <c r="AF928" s="15">
        <f t="shared" si="286"/>
        <v>1</v>
      </c>
      <c r="AG928" s="50">
        <f t="shared" si="287"/>
        <v>0</v>
      </c>
    </row>
    <row r="929" spans="2:33" x14ac:dyDescent="0.25">
      <c r="B929" s="13">
        <f t="shared" si="288"/>
        <v>1</v>
      </c>
      <c r="C929" s="13">
        <f>B929+Model!$B$4</f>
        <v>3</v>
      </c>
      <c r="D929" s="13">
        <f t="shared" si="289"/>
        <v>1</v>
      </c>
      <c r="E929" s="13">
        <f t="shared" si="277"/>
        <v>3</v>
      </c>
      <c r="F929" s="14">
        <f>IF(AB929&gt;0, VLOOKUP(B929,Model!$A$40:$B$60, 2), 0)</f>
        <v>0</v>
      </c>
      <c r="G929" s="13">
        <f>IF(AB929&gt;0, VLOOKUP(B929,Model!$A$39:$C$58, 3), 0)</f>
        <v>0</v>
      </c>
      <c r="H929" s="13">
        <f t="shared" si="278"/>
        <v>0</v>
      </c>
      <c r="I929" s="46">
        <f>Model!$B$21*EXP((-0.029*9.81*F929)/(8.31*(273+J929)))</f>
        <v>104500</v>
      </c>
      <c r="J929" s="13">
        <f>IF(Model!$B$31="Summer",  IF(F929&lt;=2000,  Model!$B$20-Model!$B$35*F929/1000,  IF(F929&lt;Model!$B$36,  Model!$B$33-6.5*F929/1000,  Model!$B$38)),     IF(F929&lt;=2000,  Model!$B$20-Model!$B$35*F929/1000,  IF(F929&lt;Model!$B$36,  Model!$B$33-5.4*F929/1000,   Model!$B$38)))</f>
        <v>-20</v>
      </c>
      <c r="K929" s="13">
        <f t="shared" si="291"/>
        <v>253</v>
      </c>
      <c r="L929" s="46">
        <f>IF(AB928-AA928*(B929-B928)&gt;0, L928-Y928*(B929-B928)*3600-AD929*Model!$B$16, 0)</f>
        <v>0</v>
      </c>
      <c r="M929" s="57">
        <f t="shared" si="279"/>
        <v>0</v>
      </c>
      <c r="N929" s="57">
        <f>Model!$B$13*I929*K929/(Model!$B$13*I929-L929*287*K929)</f>
        <v>253</v>
      </c>
      <c r="O929" s="57">
        <f t="shared" si="280"/>
        <v>253</v>
      </c>
      <c r="P929" s="57">
        <f t="shared" si="281"/>
        <v>-10</v>
      </c>
      <c r="Q929" s="63">
        <f t="shared" si="292"/>
        <v>2.2579999999999999E-2</v>
      </c>
      <c r="R929" s="17">
        <f t="shared" si="293"/>
        <v>1.152E-5</v>
      </c>
      <c r="S929" s="46">
        <f>0.37*Model!$B$10*(Q929^2*(N929-K929)*I929/(R929*O929^2))^0.33333*(N929-K929)</f>
        <v>0</v>
      </c>
      <c r="T929" s="51">
        <f>Model!$B$32+(90-Model!$B$6)*SIN(RADIANS(-15*(E929+6)))</f>
        <v>-31.619472402513487</v>
      </c>
      <c r="U929" s="46">
        <f t="shared" si="282"/>
        <v>0</v>
      </c>
      <c r="V929" s="51">
        <f t="shared" si="283"/>
        <v>99999</v>
      </c>
      <c r="W929" s="46">
        <f t="shared" si="284"/>
        <v>0</v>
      </c>
      <c r="X929" s="46">
        <f>0.3*W929*Model!$B$9</f>
        <v>0</v>
      </c>
      <c r="Y929" s="17">
        <f>(S929-X929)/Model!$B$11</f>
        <v>0</v>
      </c>
      <c r="Z929" s="46" t="e">
        <f t="shared" si="285"/>
        <v>#DIV/0!</v>
      </c>
      <c r="AA929" s="57">
        <f>Y929/Model!$B$12*3600</f>
        <v>0</v>
      </c>
      <c r="AB929" s="51">
        <f t="shared" si="290"/>
        <v>0</v>
      </c>
      <c r="AC929" s="51">
        <f t="shared" si="294"/>
        <v>1800</v>
      </c>
      <c r="AD929" s="13">
        <f>IF(AE929=0, Model!$B$19, 0 )</f>
        <v>0</v>
      </c>
      <c r="AE929" s="51">
        <f>IF(AE928+AB928-AB929&lt;Model!$B$19*Model!$B$18, AE928+AB928-AB929,  0)</f>
        <v>443.63457370611354</v>
      </c>
      <c r="AF929" s="13">
        <f t="shared" si="286"/>
        <v>1</v>
      </c>
      <c r="AG929" s="50">
        <f t="shared" si="287"/>
        <v>0</v>
      </c>
    </row>
    <row r="930" spans="2:33" x14ac:dyDescent="0.25">
      <c r="B930" s="15">
        <f t="shared" si="288"/>
        <v>1</v>
      </c>
      <c r="C930" s="15">
        <f>B930+Model!$B$4</f>
        <v>3</v>
      </c>
      <c r="D930" s="15">
        <f t="shared" si="289"/>
        <v>1</v>
      </c>
      <c r="E930" s="15">
        <f t="shared" si="277"/>
        <v>3</v>
      </c>
      <c r="F930" s="16">
        <f>IF(AB930&gt;0, VLOOKUP(B930,Model!$A$40:$B$60, 2), 0)</f>
        <v>0</v>
      </c>
      <c r="G930" s="15">
        <f>IF(AB930&gt;0, VLOOKUP(B930,Model!$A$39:$C$58, 3), 0)</f>
        <v>0</v>
      </c>
      <c r="H930" s="15">
        <f t="shared" si="278"/>
        <v>0</v>
      </c>
      <c r="I930" s="45">
        <f>Model!$B$21*EXP((-0.029*9.81*F930)/(8.31*(273+J930)))</f>
        <v>104500</v>
      </c>
      <c r="J930" s="15">
        <f>IF(Model!$B$31="Summer",  IF(F930&lt;=2000,  Model!$B$20-Model!$B$35*F930/1000,  IF(F930&lt;Model!$B$36,  Model!$B$33-6.5*F930/1000,  Model!$B$38)),     IF(F930&lt;=2000,  Model!$B$20-Model!$B$35*F930/1000,  IF(F930&lt;Model!$B$36,  Model!$B$33-5.4*F930/1000,   Model!$B$38)))</f>
        <v>-20</v>
      </c>
      <c r="K930" s="15">
        <f t="shared" si="291"/>
        <v>253</v>
      </c>
      <c r="L930" s="45">
        <f>IF(AB929-AA929*(B930-B929)&gt;0, L929-Y929*(B930-B929)*3600-AD930*Model!$B$16, 0)</f>
        <v>0</v>
      </c>
      <c r="M930" s="56">
        <f t="shared" si="279"/>
        <v>0</v>
      </c>
      <c r="N930" s="56">
        <f>Model!$B$13*I930*K930/(Model!$B$13*I930-L930*287*K930)</f>
        <v>253</v>
      </c>
      <c r="O930" s="56">
        <f t="shared" si="280"/>
        <v>253</v>
      </c>
      <c r="P930" s="56">
        <f t="shared" si="281"/>
        <v>-10</v>
      </c>
      <c r="Q930" s="62">
        <f t="shared" si="292"/>
        <v>2.2579999999999999E-2</v>
      </c>
      <c r="R930" s="33">
        <f t="shared" si="293"/>
        <v>1.152E-5</v>
      </c>
      <c r="S930" s="45">
        <f>0.37*Model!$B$10*(Q930^2*(N930-K930)*I930/(R930*O930^2))^0.33333*(N930-K930)</f>
        <v>0</v>
      </c>
      <c r="T930" s="50">
        <f>Model!$B$32+(90-Model!$B$6)*SIN(RADIANS(-15*(E930+6)))</f>
        <v>-31.619472402513487</v>
      </c>
      <c r="U930" s="45">
        <f t="shared" si="282"/>
        <v>0</v>
      </c>
      <c r="V930" s="50">
        <f t="shared" si="283"/>
        <v>99999</v>
      </c>
      <c r="W930" s="45">
        <f t="shared" si="284"/>
        <v>0</v>
      </c>
      <c r="X930" s="45">
        <f>0.3*W930*Model!$B$9</f>
        <v>0</v>
      </c>
      <c r="Y930" s="33">
        <f>(S930-X930)/Model!$B$11</f>
        <v>0</v>
      </c>
      <c r="Z930" s="45" t="e">
        <f t="shared" si="285"/>
        <v>#DIV/0!</v>
      </c>
      <c r="AA930" s="56">
        <f>Y930/Model!$B$12*3600</f>
        <v>0</v>
      </c>
      <c r="AB930" s="50">
        <f t="shared" si="290"/>
        <v>0</v>
      </c>
      <c r="AC930" s="50">
        <f t="shared" si="294"/>
        <v>1800</v>
      </c>
      <c r="AD930" s="15">
        <f>IF(AE930=0, Model!$B$19, 0 )</f>
        <v>0</v>
      </c>
      <c r="AE930" s="50">
        <f>IF(AE929+AB929-AB930&lt;Model!$B$19*Model!$B$18, AE929+AB929-AB930,  0)</f>
        <v>443.63457370611354</v>
      </c>
      <c r="AF930" s="15">
        <f t="shared" si="286"/>
        <v>1</v>
      </c>
      <c r="AG930" s="50">
        <f t="shared" si="287"/>
        <v>0</v>
      </c>
    </row>
    <row r="931" spans="2:33" x14ac:dyDescent="0.25">
      <c r="B931" s="13">
        <f t="shared" si="288"/>
        <v>1</v>
      </c>
      <c r="C931" s="13">
        <f>B931+Model!$B$4</f>
        <v>3</v>
      </c>
      <c r="D931" s="13">
        <f t="shared" si="289"/>
        <v>1</v>
      </c>
      <c r="E931" s="13">
        <f t="shared" ref="E931:E994" si="295">C931-24*(D931-1)</f>
        <v>3</v>
      </c>
      <c r="F931" s="14">
        <f>IF(AB931&gt;0, VLOOKUP(B931,Model!$A$40:$B$60, 2), 0)</f>
        <v>0</v>
      </c>
      <c r="G931" s="13">
        <f>IF(AB931&gt;0, VLOOKUP(B931,Model!$A$39:$C$58, 3), 0)</f>
        <v>0</v>
      </c>
      <c r="H931" s="13">
        <f t="shared" si="278"/>
        <v>0</v>
      </c>
      <c r="I931" s="46">
        <f>Model!$B$21*EXP((-0.029*9.81*F931)/(8.31*(273+J931)))</f>
        <v>104500</v>
      </c>
      <c r="J931" s="13">
        <f>IF(Model!$B$31="Summer",  IF(F931&lt;=2000,  Model!$B$20-Model!$B$35*F931/1000,  IF(F931&lt;Model!$B$36,  Model!$B$33-6.5*F931/1000,  Model!$B$38)),     IF(F931&lt;=2000,  Model!$B$20-Model!$B$35*F931/1000,  IF(F931&lt;Model!$B$36,  Model!$B$33-5.4*F931/1000,   Model!$B$38)))</f>
        <v>-20</v>
      </c>
      <c r="K931" s="13">
        <f t="shared" si="291"/>
        <v>253</v>
      </c>
      <c r="L931" s="46">
        <f>IF(AB930-AA930*(B931-B930)&gt;0, L930-Y930*(B931-B930)*3600-AD931*Model!$B$16, 0)</f>
        <v>0</v>
      </c>
      <c r="M931" s="57">
        <f t="shared" si="279"/>
        <v>0</v>
      </c>
      <c r="N931" s="57">
        <f>Model!$B$13*I931*K931/(Model!$B$13*I931-L931*287*K931)</f>
        <v>253</v>
      </c>
      <c r="O931" s="57">
        <f t="shared" si="280"/>
        <v>253</v>
      </c>
      <c r="P931" s="57">
        <f t="shared" si="281"/>
        <v>-10</v>
      </c>
      <c r="Q931" s="63">
        <f t="shared" si="292"/>
        <v>2.2579999999999999E-2</v>
      </c>
      <c r="R931" s="17">
        <f t="shared" si="293"/>
        <v>1.152E-5</v>
      </c>
      <c r="S931" s="46">
        <f>0.37*Model!$B$10*(Q931^2*(N931-K931)*I931/(R931*O931^2))^0.33333*(N931-K931)</f>
        <v>0</v>
      </c>
      <c r="T931" s="51">
        <f>Model!$B$32+(90-Model!$B$6)*SIN(RADIANS(-15*(E931+6)))</f>
        <v>-31.619472402513487</v>
      </c>
      <c r="U931" s="46">
        <f t="shared" si="282"/>
        <v>0</v>
      </c>
      <c r="V931" s="51">
        <f t="shared" si="283"/>
        <v>99999</v>
      </c>
      <c r="W931" s="46">
        <f t="shared" si="284"/>
        <v>0</v>
      </c>
      <c r="X931" s="46">
        <f>0.3*W931*Model!$B$9</f>
        <v>0</v>
      </c>
      <c r="Y931" s="17">
        <f>(S931-X931)/Model!$B$11</f>
        <v>0</v>
      </c>
      <c r="Z931" s="46" t="e">
        <f t="shared" si="285"/>
        <v>#DIV/0!</v>
      </c>
      <c r="AA931" s="57">
        <f>Y931/Model!$B$12*3600</f>
        <v>0</v>
      </c>
      <c r="AB931" s="51">
        <f t="shared" si="290"/>
        <v>0</v>
      </c>
      <c r="AC931" s="51">
        <f t="shared" si="294"/>
        <v>1800</v>
      </c>
      <c r="AD931" s="13">
        <f>IF(AE931=0, Model!$B$19, 0 )</f>
        <v>0</v>
      </c>
      <c r="AE931" s="51">
        <f>IF(AE930+AB930-AB931&lt;Model!$B$19*Model!$B$18, AE930+AB930-AB931,  0)</f>
        <v>443.63457370611354</v>
      </c>
      <c r="AF931" s="13">
        <f t="shared" si="286"/>
        <v>1</v>
      </c>
      <c r="AG931" s="50">
        <f t="shared" si="287"/>
        <v>0</v>
      </c>
    </row>
    <row r="932" spans="2:33" x14ac:dyDescent="0.25">
      <c r="B932" s="15">
        <f t="shared" si="288"/>
        <v>1</v>
      </c>
      <c r="C932" s="15">
        <f>B932+Model!$B$4</f>
        <v>3</v>
      </c>
      <c r="D932" s="15">
        <f t="shared" si="289"/>
        <v>1</v>
      </c>
      <c r="E932" s="15">
        <f t="shared" si="295"/>
        <v>3</v>
      </c>
      <c r="F932" s="16">
        <f>IF(AB932&gt;0, VLOOKUP(B932,Model!$A$40:$B$60, 2), 0)</f>
        <v>0</v>
      </c>
      <c r="G932" s="15">
        <f>IF(AB932&gt;0, VLOOKUP(B932,Model!$A$39:$C$58, 3), 0)</f>
        <v>0</v>
      </c>
      <c r="H932" s="15">
        <f t="shared" si="278"/>
        <v>0</v>
      </c>
      <c r="I932" s="45">
        <f>Model!$B$21*EXP((-0.029*9.81*F932)/(8.31*(273+J932)))</f>
        <v>104500</v>
      </c>
      <c r="J932" s="15">
        <f>IF(Model!$B$31="Summer",  IF(F932&lt;=2000,  Model!$B$20-Model!$B$35*F932/1000,  IF(F932&lt;Model!$B$36,  Model!$B$33-6.5*F932/1000,  Model!$B$38)),     IF(F932&lt;=2000,  Model!$B$20-Model!$B$35*F932/1000,  IF(F932&lt;Model!$B$36,  Model!$B$33-5.4*F932/1000,   Model!$B$38)))</f>
        <v>-20</v>
      </c>
      <c r="K932" s="15">
        <f t="shared" si="291"/>
        <v>253</v>
      </c>
      <c r="L932" s="45">
        <f>IF(AB931-AA931*(B932-B931)&gt;0, L931-Y931*(B932-B931)*3600-AD932*Model!$B$16, 0)</f>
        <v>0</v>
      </c>
      <c r="M932" s="56">
        <f t="shared" si="279"/>
        <v>0</v>
      </c>
      <c r="N932" s="56">
        <f>Model!$B$13*I932*K932/(Model!$B$13*I932-L932*287*K932)</f>
        <v>253</v>
      </c>
      <c r="O932" s="56">
        <f t="shared" si="280"/>
        <v>253</v>
      </c>
      <c r="P932" s="56">
        <f t="shared" si="281"/>
        <v>-10</v>
      </c>
      <c r="Q932" s="62">
        <f t="shared" si="292"/>
        <v>2.2579999999999999E-2</v>
      </c>
      <c r="R932" s="33">
        <f t="shared" si="293"/>
        <v>1.152E-5</v>
      </c>
      <c r="S932" s="45">
        <f>0.37*Model!$B$10*(Q932^2*(N932-K932)*I932/(R932*O932^2))^0.33333*(N932-K932)</f>
        <v>0</v>
      </c>
      <c r="T932" s="50">
        <f>Model!$B$32+(90-Model!$B$6)*SIN(RADIANS(-15*(E932+6)))</f>
        <v>-31.619472402513487</v>
      </c>
      <c r="U932" s="45">
        <f t="shared" si="282"/>
        <v>0</v>
      </c>
      <c r="V932" s="50">
        <f t="shared" si="283"/>
        <v>99999</v>
      </c>
      <c r="W932" s="45">
        <f t="shared" si="284"/>
        <v>0</v>
      </c>
      <c r="X932" s="45">
        <f>0.3*W932*Model!$B$9</f>
        <v>0</v>
      </c>
      <c r="Y932" s="33">
        <f>(S932-X932)/Model!$B$11</f>
        <v>0</v>
      </c>
      <c r="Z932" s="45" t="e">
        <f t="shared" si="285"/>
        <v>#DIV/0!</v>
      </c>
      <c r="AA932" s="56">
        <f>Y932/Model!$B$12*3600</f>
        <v>0</v>
      </c>
      <c r="AB932" s="50">
        <f t="shared" si="290"/>
        <v>0</v>
      </c>
      <c r="AC932" s="50">
        <f t="shared" si="294"/>
        <v>1800</v>
      </c>
      <c r="AD932" s="15">
        <f>IF(AE932=0, Model!$B$19, 0 )</f>
        <v>0</v>
      </c>
      <c r="AE932" s="50">
        <f>IF(AE931+AB931-AB932&lt;Model!$B$19*Model!$B$18, AE931+AB931-AB932,  0)</f>
        <v>443.63457370611354</v>
      </c>
      <c r="AF932" s="15">
        <f t="shared" si="286"/>
        <v>1</v>
      </c>
      <c r="AG932" s="50">
        <f t="shared" si="287"/>
        <v>0</v>
      </c>
    </row>
    <row r="933" spans="2:33" x14ac:dyDescent="0.25">
      <c r="B933" s="13">
        <f t="shared" si="288"/>
        <v>1</v>
      </c>
      <c r="C933" s="13">
        <f>B933+Model!$B$4</f>
        <v>3</v>
      </c>
      <c r="D933" s="13">
        <f t="shared" si="289"/>
        <v>1</v>
      </c>
      <c r="E933" s="13">
        <f t="shared" si="295"/>
        <v>3</v>
      </c>
      <c r="F933" s="14">
        <f>IF(AB933&gt;0, VLOOKUP(B933,Model!$A$40:$B$60, 2), 0)</f>
        <v>0</v>
      </c>
      <c r="G933" s="13">
        <f>IF(AB933&gt;0, VLOOKUP(B933,Model!$A$39:$C$58, 3), 0)</f>
        <v>0</v>
      </c>
      <c r="H933" s="13">
        <f t="shared" si="278"/>
        <v>0</v>
      </c>
      <c r="I933" s="46">
        <f>Model!$B$21*EXP((-0.029*9.81*F933)/(8.31*(273+J933)))</f>
        <v>104500</v>
      </c>
      <c r="J933" s="13">
        <f>IF(Model!$B$31="Summer",  IF(F933&lt;=2000,  Model!$B$20-Model!$B$35*F933/1000,  IF(F933&lt;Model!$B$36,  Model!$B$33-6.5*F933/1000,  Model!$B$38)),     IF(F933&lt;=2000,  Model!$B$20-Model!$B$35*F933/1000,  IF(F933&lt;Model!$B$36,  Model!$B$33-5.4*F933/1000,   Model!$B$38)))</f>
        <v>-20</v>
      </c>
      <c r="K933" s="13">
        <f t="shared" si="291"/>
        <v>253</v>
      </c>
      <c r="L933" s="46">
        <f>IF(AB932-AA932*(B933-B932)&gt;0, L932-Y932*(B933-B932)*3600-AD933*Model!$B$16, 0)</f>
        <v>0</v>
      </c>
      <c r="M933" s="57">
        <f t="shared" si="279"/>
        <v>0</v>
      </c>
      <c r="N933" s="57">
        <f>Model!$B$13*I933*K933/(Model!$B$13*I933-L933*287*K933)</f>
        <v>253</v>
      </c>
      <c r="O933" s="57">
        <f t="shared" si="280"/>
        <v>253</v>
      </c>
      <c r="P933" s="57">
        <f t="shared" si="281"/>
        <v>-10</v>
      </c>
      <c r="Q933" s="63">
        <f t="shared" si="292"/>
        <v>2.2579999999999999E-2</v>
      </c>
      <c r="R933" s="17">
        <f t="shared" si="293"/>
        <v>1.152E-5</v>
      </c>
      <c r="S933" s="46">
        <f>0.37*Model!$B$10*(Q933^2*(N933-K933)*I933/(R933*O933^2))^0.33333*(N933-K933)</f>
        <v>0</v>
      </c>
      <c r="T933" s="51">
        <f>Model!$B$32+(90-Model!$B$6)*SIN(RADIANS(-15*(E933+6)))</f>
        <v>-31.619472402513487</v>
      </c>
      <c r="U933" s="46">
        <f t="shared" si="282"/>
        <v>0</v>
      </c>
      <c r="V933" s="51">
        <f t="shared" si="283"/>
        <v>99999</v>
      </c>
      <c r="W933" s="46">
        <f t="shared" si="284"/>
        <v>0</v>
      </c>
      <c r="X933" s="46">
        <f>0.3*W933*Model!$B$9</f>
        <v>0</v>
      </c>
      <c r="Y933" s="17">
        <f>(S933-X933)/Model!$B$11</f>
        <v>0</v>
      </c>
      <c r="Z933" s="46" t="e">
        <f t="shared" si="285"/>
        <v>#DIV/0!</v>
      </c>
      <c r="AA933" s="57">
        <f>Y933/Model!$B$12*3600</f>
        <v>0</v>
      </c>
      <c r="AB933" s="51">
        <f t="shared" si="290"/>
        <v>0</v>
      </c>
      <c r="AC933" s="51">
        <f t="shared" si="294"/>
        <v>1800</v>
      </c>
      <c r="AD933" s="13">
        <f>IF(AE933=0, Model!$B$19, 0 )</f>
        <v>0</v>
      </c>
      <c r="AE933" s="51">
        <f>IF(AE932+AB932-AB933&lt;Model!$B$19*Model!$B$18, AE932+AB932-AB933,  0)</f>
        <v>443.63457370611354</v>
      </c>
      <c r="AF933" s="13">
        <f t="shared" si="286"/>
        <v>1</v>
      </c>
      <c r="AG933" s="50">
        <f t="shared" si="287"/>
        <v>0</v>
      </c>
    </row>
    <row r="934" spans="2:33" x14ac:dyDescent="0.25">
      <c r="B934" s="15">
        <f t="shared" si="288"/>
        <v>1</v>
      </c>
      <c r="C934" s="15">
        <f>B934+Model!$B$4</f>
        <v>3</v>
      </c>
      <c r="D934" s="15">
        <f t="shared" si="289"/>
        <v>1</v>
      </c>
      <c r="E934" s="15">
        <f t="shared" si="295"/>
        <v>3</v>
      </c>
      <c r="F934" s="16">
        <f>IF(AB934&gt;0, VLOOKUP(B934,Model!$A$40:$B$60, 2), 0)</f>
        <v>0</v>
      </c>
      <c r="G934" s="15">
        <f>IF(AB934&gt;0, VLOOKUP(B934,Model!$A$39:$C$58, 3), 0)</f>
        <v>0</v>
      </c>
      <c r="H934" s="15">
        <f t="shared" si="278"/>
        <v>0</v>
      </c>
      <c r="I934" s="45">
        <f>Model!$B$21*EXP((-0.029*9.81*F934)/(8.31*(273+J934)))</f>
        <v>104500</v>
      </c>
      <c r="J934" s="15">
        <f>IF(Model!$B$31="Summer",  IF(F934&lt;=2000,  Model!$B$20-Model!$B$35*F934/1000,  IF(F934&lt;Model!$B$36,  Model!$B$33-6.5*F934/1000,  Model!$B$38)),     IF(F934&lt;=2000,  Model!$B$20-Model!$B$35*F934/1000,  IF(F934&lt;Model!$B$36,  Model!$B$33-5.4*F934/1000,   Model!$B$38)))</f>
        <v>-20</v>
      </c>
      <c r="K934" s="15">
        <f t="shared" si="291"/>
        <v>253</v>
      </c>
      <c r="L934" s="45">
        <f>IF(AB933-AA933*(B934-B933)&gt;0, L933-Y933*(B934-B933)*3600-AD934*Model!$B$16, 0)</f>
        <v>0</v>
      </c>
      <c r="M934" s="56">
        <f t="shared" si="279"/>
        <v>0</v>
      </c>
      <c r="N934" s="56">
        <f>Model!$B$13*I934*K934/(Model!$B$13*I934-L934*287*K934)</f>
        <v>253</v>
      </c>
      <c r="O934" s="56">
        <f t="shared" si="280"/>
        <v>253</v>
      </c>
      <c r="P934" s="56">
        <f t="shared" si="281"/>
        <v>-10</v>
      </c>
      <c r="Q934" s="62">
        <f t="shared" si="292"/>
        <v>2.2579999999999999E-2</v>
      </c>
      <c r="R934" s="33">
        <f t="shared" si="293"/>
        <v>1.152E-5</v>
      </c>
      <c r="S934" s="45">
        <f>0.37*Model!$B$10*(Q934^2*(N934-K934)*I934/(R934*O934^2))^0.33333*(N934-K934)</f>
        <v>0</v>
      </c>
      <c r="T934" s="50">
        <f>Model!$B$32+(90-Model!$B$6)*SIN(RADIANS(-15*(E934+6)))</f>
        <v>-31.619472402513487</v>
      </c>
      <c r="U934" s="45">
        <f t="shared" si="282"/>
        <v>0</v>
      </c>
      <c r="V934" s="50">
        <f t="shared" si="283"/>
        <v>99999</v>
      </c>
      <c r="W934" s="45">
        <f t="shared" si="284"/>
        <v>0</v>
      </c>
      <c r="X934" s="45">
        <f>0.3*W934*Model!$B$9</f>
        <v>0</v>
      </c>
      <c r="Y934" s="33">
        <f>(S934-X934)/Model!$B$11</f>
        <v>0</v>
      </c>
      <c r="Z934" s="45" t="e">
        <f t="shared" si="285"/>
        <v>#DIV/0!</v>
      </c>
      <c r="AA934" s="56">
        <f>Y934/Model!$B$12*3600</f>
        <v>0</v>
      </c>
      <c r="AB934" s="50">
        <f t="shared" si="290"/>
        <v>0</v>
      </c>
      <c r="AC934" s="50">
        <f t="shared" si="294"/>
        <v>1800</v>
      </c>
      <c r="AD934" s="15">
        <f>IF(AE934=0, Model!$B$19, 0 )</f>
        <v>0</v>
      </c>
      <c r="AE934" s="50">
        <f>IF(AE933+AB933-AB934&lt;Model!$B$19*Model!$B$18, AE933+AB933-AB934,  0)</f>
        <v>443.63457370611354</v>
      </c>
      <c r="AF934" s="15">
        <f t="shared" si="286"/>
        <v>1</v>
      </c>
      <c r="AG934" s="50">
        <f t="shared" si="287"/>
        <v>0</v>
      </c>
    </row>
    <row r="935" spans="2:33" x14ac:dyDescent="0.25">
      <c r="B935" s="13">
        <f t="shared" si="288"/>
        <v>1</v>
      </c>
      <c r="C935" s="13">
        <f>B935+Model!$B$4</f>
        <v>3</v>
      </c>
      <c r="D935" s="13">
        <f t="shared" si="289"/>
        <v>1</v>
      </c>
      <c r="E935" s="13">
        <f t="shared" si="295"/>
        <v>3</v>
      </c>
      <c r="F935" s="14">
        <f>IF(AB935&gt;0, VLOOKUP(B935,Model!$A$40:$B$60, 2), 0)</f>
        <v>0</v>
      </c>
      <c r="G935" s="13">
        <f>IF(AB935&gt;0, VLOOKUP(B935,Model!$A$39:$C$58, 3), 0)</f>
        <v>0</v>
      </c>
      <c r="H935" s="13">
        <f t="shared" si="278"/>
        <v>0</v>
      </c>
      <c r="I935" s="46">
        <f>Model!$B$21*EXP((-0.029*9.81*F935)/(8.31*(273+J935)))</f>
        <v>104500</v>
      </c>
      <c r="J935" s="13">
        <f>IF(Model!$B$31="Summer",  IF(F935&lt;=2000,  Model!$B$20-Model!$B$35*F935/1000,  IF(F935&lt;Model!$B$36,  Model!$B$33-6.5*F935/1000,  Model!$B$38)),     IF(F935&lt;=2000,  Model!$B$20-Model!$B$35*F935/1000,  IF(F935&lt;Model!$B$36,  Model!$B$33-5.4*F935/1000,   Model!$B$38)))</f>
        <v>-20</v>
      </c>
      <c r="K935" s="13">
        <f t="shared" si="291"/>
        <v>253</v>
      </c>
      <c r="L935" s="46">
        <f>IF(AB934-AA934*(B935-B934)&gt;0, L934-Y934*(B935-B934)*3600-AD935*Model!$B$16, 0)</f>
        <v>0</v>
      </c>
      <c r="M935" s="57">
        <f t="shared" si="279"/>
        <v>0</v>
      </c>
      <c r="N935" s="57">
        <f>Model!$B$13*I935*K935/(Model!$B$13*I935-L935*287*K935)</f>
        <v>253</v>
      </c>
      <c r="O935" s="57">
        <f t="shared" si="280"/>
        <v>253</v>
      </c>
      <c r="P935" s="57">
        <f t="shared" si="281"/>
        <v>-10</v>
      </c>
      <c r="Q935" s="63">
        <f t="shared" si="292"/>
        <v>2.2579999999999999E-2</v>
      </c>
      <c r="R935" s="17">
        <f t="shared" si="293"/>
        <v>1.152E-5</v>
      </c>
      <c r="S935" s="46">
        <f>0.37*Model!$B$10*(Q935^2*(N935-K935)*I935/(R935*O935^2))^0.33333*(N935-K935)</f>
        <v>0</v>
      </c>
      <c r="T935" s="51">
        <f>Model!$B$32+(90-Model!$B$6)*SIN(RADIANS(-15*(E935+6)))</f>
        <v>-31.619472402513487</v>
      </c>
      <c r="U935" s="46">
        <f t="shared" si="282"/>
        <v>0</v>
      </c>
      <c r="V935" s="51">
        <f t="shared" si="283"/>
        <v>99999</v>
      </c>
      <c r="W935" s="46">
        <f t="shared" si="284"/>
        <v>0</v>
      </c>
      <c r="X935" s="46">
        <f>0.3*W935*Model!$B$9</f>
        <v>0</v>
      </c>
      <c r="Y935" s="17">
        <f>(S935-X935)/Model!$B$11</f>
        <v>0</v>
      </c>
      <c r="Z935" s="46" t="e">
        <f t="shared" si="285"/>
        <v>#DIV/0!</v>
      </c>
      <c r="AA935" s="57">
        <f>Y935/Model!$B$12*3600</f>
        <v>0</v>
      </c>
      <c r="AB935" s="51">
        <f t="shared" si="290"/>
        <v>0</v>
      </c>
      <c r="AC935" s="51">
        <f t="shared" si="294"/>
        <v>1800</v>
      </c>
      <c r="AD935" s="13">
        <f>IF(AE935=0, Model!$B$19, 0 )</f>
        <v>0</v>
      </c>
      <c r="AE935" s="51">
        <f>IF(AE934+AB934-AB935&lt;Model!$B$19*Model!$B$18, AE934+AB934-AB935,  0)</f>
        <v>443.63457370611354</v>
      </c>
      <c r="AF935" s="13">
        <f t="shared" si="286"/>
        <v>1</v>
      </c>
      <c r="AG935" s="50">
        <f t="shared" si="287"/>
        <v>0</v>
      </c>
    </row>
    <row r="936" spans="2:33" x14ac:dyDescent="0.25">
      <c r="B936" s="15">
        <f t="shared" si="288"/>
        <v>1</v>
      </c>
      <c r="C936" s="15">
        <f>B936+Model!$B$4</f>
        <v>3</v>
      </c>
      <c r="D936" s="15">
        <f t="shared" si="289"/>
        <v>1</v>
      </c>
      <c r="E936" s="15">
        <f t="shared" si="295"/>
        <v>3</v>
      </c>
      <c r="F936" s="16">
        <f>IF(AB936&gt;0, VLOOKUP(B936,Model!$A$40:$B$60, 2), 0)</f>
        <v>0</v>
      </c>
      <c r="G936" s="15">
        <f>IF(AB936&gt;0, VLOOKUP(B936,Model!$A$39:$C$58, 3), 0)</f>
        <v>0</v>
      </c>
      <c r="H936" s="15">
        <f t="shared" si="278"/>
        <v>0</v>
      </c>
      <c r="I936" s="45">
        <f>Model!$B$21*EXP((-0.029*9.81*F936)/(8.31*(273+J936)))</f>
        <v>104500</v>
      </c>
      <c r="J936" s="15">
        <f>IF(Model!$B$31="Summer",  IF(F936&lt;=2000,  Model!$B$20-Model!$B$35*F936/1000,  IF(F936&lt;Model!$B$36,  Model!$B$33-6.5*F936/1000,  Model!$B$38)),     IF(F936&lt;=2000,  Model!$B$20-Model!$B$35*F936/1000,  IF(F936&lt;Model!$B$36,  Model!$B$33-5.4*F936/1000,   Model!$B$38)))</f>
        <v>-20</v>
      </c>
      <c r="K936" s="15">
        <f t="shared" si="291"/>
        <v>253</v>
      </c>
      <c r="L936" s="45">
        <f>IF(AB935-AA935*(B936-B935)&gt;0, L935-Y935*(B936-B935)*3600-AD936*Model!$B$16, 0)</f>
        <v>0</v>
      </c>
      <c r="M936" s="56">
        <f t="shared" si="279"/>
        <v>0</v>
      </c>
      <c r="N936" s="56">
        <f>Model!$B$13*I936*K936/(Model!$B$13*I936-L936*287*K936)</f>
        <v>253</v>
      </c>
      <c r="O936" s="56">
        <f t="shared" si="280"/>
        <v>253</v>
      </c>
      <c r="P936" s="56">
        <f t="shared" si="281"/>
        <v>-10</v>
      </c>
      <c r="Q936" s="62">
        <f t="shared" si="292"/>
        <v>2.2579999999999999E-2</v>
      </c>
      <c r="R936" s="33">
        <f t="shared" si="293"/>
        <v>1.152E-5</v>
      </c>
      <c r="S936" s="45">
        <f>0.37*Model!$B$10*(Q936^2*(N936-K936)*I936/(R936*O936^2))^0.33333*(N936-K936)</f>
        <v>0</v>
      </c>
      <c r="T936" s="50">
        <f>Model!$B$32+(90-Model!$B$6)*SIN(RADIANS(-15*(E936+6)))</f>
        <v>-31.619472402513487</v>
      </c>
      <c r="U936" s="45">
        <f t="shared" si="282"/>
        <v>0</v>
      </c>
      <c r="V936" s="50">
        <f t="shared" si="283"/>
        <v>99999</v>
      </c>
      <c r="W936" s="45">
        <f t="shared" si="284"/>
        <v>0</v>
      </c>
      <c r="X936" s="45">
        <f>0.3*W936*Model!$B$9</f>
        <v>0</v>
      </c>
      <c r="Y936" s="33">
        <f>(S936-X936)/Model!$B$11</f>
        <v>0</v>
      </c>
      <c r="Z936" s="45" t="e">
        <f t="shared" si="285"/>
        <v>#DIV/0!</v>
      </c>
      <c r="AA936" s="56">
        <f>Y936/Model!$B$12*3600</f>
        <v>0</v>
      </c>
      <c r="AB936" s="50">
        <f t="shared" si="290"/>
        <v>0</v>
      </c>
      <c r="AC936" s="50">
        <f t="shared" si="294"/>
        <v>1800</v>
      </c>
      <c r="AD936" s="15">
        <f>IF(AE936=0, Model!$B$19, 0 )</f>
        <v>0</v>
      </c>
      <c r="AE936" s="50">
        <f>IF(AE935+AB935-AB936&lt;Model!$B$19*Model!$B$18, AE935+AB935-AB936,  0)</f>
        <v>443.63457370611354</v>
      </c>
      <c r="AF936" s="15">
        <f t="shared" si="286"/>
        <v>1</v>
      </c>
      <c r="AG936" s="50">
        <f t="shared" si="287"/>
        <v>0</v>
      </c>
    </row>
    <row r="937" spans="2:33" x14ac:dyDescent="0.25">
      <c r="B937" s="13">
        <f t="shared" si="288"/>
        <v>1</v>
      </c>
      <c r="C937" s="13">
        <f>B937+Model!$B$4</f>
        <v>3</v>
      </c>
      <c r="D937" s="13">
        <f t="shared" si="289"/>
        <v>1</v>
      </c>
      <c r="E937" s="13">
        <f t="shared" si="295"/>
        <v>3</v>
      </c>
      <c r="F937" s="14">
        <f>IF(AB937&gt;0, VLOOKUP(B937,Model!$A$40:$B$60, 2), 0)</f>
        <v>0</v>
      </c>
      <c r="G937" s="13">
        <f>IF(AB937&gt;0, VLOOKUP(B937,Model!$A$39:$C$58, 3), 0)</f>
        <v>0</v>
      </c>
      <c r="H937" s="13">
        <f t="shared" si="278"/>
        <v>0</v>
      </c>
      <c r="I937" s="46">
        <f>Model!$B$21*EXP((-0.029*9.81*F937)/(8.31*(273+J937)))</f>
        <v>104500</v>
      </c>
      <c r="J937" s="13">
        <f>IF(Model!$B$31="Summer",  IF(F937&lt;=2000,  Model!$B$20-Model!$B$35*F937/1000,  IF(F937&lt;Model!$B$36,  Model!$B$33-6.5*F937/1000,  Model!$B$38)),     IF(F937&lt;=2000,  Model!$B$20-Model!$B$35*F937/1000,  IF(F937&lt;Model!$B$36,  Model!$B$33-5.4*F937/1000,   Model!$B$38)))</f>
        <v>-20</v>
      </c>
      <c r="K937" s="13">
        <f t="shared" si="291"/>
        <v>253</v>
      </c>
      <c r="L937" s="46">
        <f>IF(AB936-AA936*(B937-B936)&gt;0, L936-Y936*(B937-B936)*3600-AD937*Model!$B$16, 0)</f>
        <v>0</v>
      </c>
      <c r="M937" s="57">
        <f t="shared" si="279"/>
        <v>0</v>
      </c>
      <c r="N937" s="57">
        <f>Model!$B$13*I937*K937/(Model!$B$13*I937-L937*287*K937)</f>
        <v>253</v>
      </c>
      <c r="O937" s="57">
        <f t="shared" si="280"/>
        <v>253</v>
      </c>
      <c r="P937" s="57">
        <f t="shared" si="281"/>
        <v>-10</v>
      </c>
      <c r="Q937" s="63">
        <f t="shared" si="292"/>
        <v>2.2579999999999999E-2</v>
      </c>
      <c r="R937" s="17">
        <f t="shared" si="293"/>
        <v>1.152E-5</v>
      </c>
      <c r="S937" s="46">
        <f>0.37*Model!$B$10*(Q937^2*(N937-K937)*I937/(R937*O937^2))^0.33333*(N937-K937)</f>
        <v>0</v>
      </c>
      <c r="T937" s="51">
        <f>Model!$B$32+(90-Model!$B$6)*SIN(RADIANS(-15*(E937+6)))</f>
        <v>-31.619472402513487</v>
      </c>
      <c r="U937" s="46">
        <f t="shared" si="282"/>
        <v>0</v>
      </c>
      <c r="V937" s="51">
        <f t="shared" si="283"/>
        <v>99999</v>
      </c>
      <c r="W937" s="46">
        <f t="shared" si="284"/>
        <v>0</v>
      </c>
      <c r="X937" s="46">
        <f>0.3*W937*Model!$B$9</f>
        <v>0</v>
      </c>
      <c r="Y937" s="17">
        <f>(S937-X937)/Model!$B$11</f>
        <v>0</v>
      </c>
      <c r="Z937" s="46" t="e">
        <f t="shared" si="285"/>
        <v>#DIV/0!</v>
      </c>
      <c r="AA937" s="57">
        <f>Y937/Model!$B$12*3600</f>
        <v>0</v>
      </c>
      <c r="AB937" s="51">
        <f t="shared" si="290"/>
        <v>0</v>
      </c>
      <c r="AC937" s="51">
        <f t="shared" si="294"/>
        <v>1800</v>
      </c>
      <c r="AD937" s="13">
        <f>IF(AE937=0, Model!$B$19, 0 )</f>
        <v>0</v>
      </c>
      <c r="AE937" s="51">
        <f>IF(AE936+AB936-AB937&lt;Model!$B$19*Model!$B$18, AE936+AB936-AB937,  0)</f>
        <v>443.63457370611354</v>
      </c>
      <c r="AF937" s="13">
        <f t="shared" si="286"/>
        <v>1</v>
      </c>
      <c r="AG937" s="50">
        <f t="shared" si="287"/>
        <v>0</v>
      </c>
    </row>
    <row r="938" spans="2:33" x14ac:dyDescent="0.25">
      <c r="B938" s="15">
        <f t="shared" si="288"/>
        <v>1</v>
      </c>
      <c r="C938" s="15">
        <f>B938+Model!$B$4</f>
        <v>3</v>
      </c>
      <c r="D938" s="15">
        <f t="shared" si="289"/>
        <v>1</v>
      </c>
      <c r="E938" s="15">
        <f t="shared" si="295"/>
        <v>3</v>
      </c>
      <c r="F938" s="16">
        <f>IF(AB938&gt;0, VLOOKUP(B938,Model!$A$40:$B$60, 2), 0)</f>
        <v>0</v>
      </c>
      <c r="G938" s="15">
        <f>IF(AB938&gt;0, VLOOKUP(B938,Model!$A$39:$C$58, 3), 0)</f>
        <v>0</v>
      </c>
      <c r="H938" s="15">
        <f t="shared" si="278"/>
        <v>0</v>
      </c>
      <c r="I938" s="45">
        <f>Model!$B$21*EXP((-0.029*9.81*F938)/(8.31*(273+J938)))</f>
        <v>104500</v>
      </c>
      <c r="J938" s="15">
        <f>IF(Model!$B$31="Summer",  IF(F938&lt;=2000,  Model!$B$20-Model!$B$35*F938/1000,  IF(F938&lt;Model!$B$36,  Model!$B$33-6.5*F938/1000,  Model!$B$38)),     IF(F938&lt;=2000,  Model!$B$20-Model!$B$35*F938/1000,  IF(F938&lt;Model!$B$36,  Model!$B$33-5.4*F938/1000,   Model!$B$38)))</f>
        <v>-20</v>
      </c>
      <c r="K938" s="15">
        <f t="shared" si="291"/>
        <v>253</v>
      </c>
      <c r="L938" s="45">
        <f>IF(AB937-AA937*(B938-B937)&gt;0, L937-Y937*(B938-B937)*3600-AD938*Model!$B$16, 0)</f>
        <v>0</v>
      </c>
      <c r="M938" s="56">
        <f t="shared" si="279"/>
        <v>0</v>
      </c>
      <c r="N938" s="56">
        <f>Model!$B$13*I938*K938/(Model!$B$13*I938-L938*287*K938)</f>
        <v>253</v>
      </c>
      <c r="O938" s="56">
        <f t="shared" si="280"/>
        <v>253</v>
      </c>
      <c r="P938" s="56">
        <f t="shared" si="281"/>
        <v>-10</v>
      </c>
      <c r="Q938" s="62">
        <f t="shared" si="292"/>
        <v>2.2579999999999999E-2</v>
      </c>
      <c r="R938" s="33">
        <f t="shared" si="293"/>
        <v>1.152E-5</v>
      </c>
      <c r="S938" s="45">
        <f>0.37*Model!$B$10*(Q938^2*(N938-K938)*I938/(R938*O938^2))^0.33333*(N938-K938)</f>
        <v>0</v>
      </c>
      <c r="T938" s="50">
        <f>Model!$B$32+(90-Model!$B$6)*SIN(RADIANS(-15*(E938+6)))</f>
        <v>-31.619472402513487</v>
      </c>
      <c r="U938" s="45">
        <f t="shared" si="282"/>
        <v>0</v>
      </c>
      <c r="V938" s="50">
        <f t="shared" si="283"/>
        <v>99999</v>
      </c>
      <c r="W938" s="45">
        <f t="shared" si="284"/>
        <v>0</v>
      </c>
      <c r="X938" s="45">
        <f>0.3*W938*Model!$B$9</f>
        <v>0</v>
      </c>
      <c r="Y938" s="33">
        <f>(S938-X938)/Model!$B$11</f>
        <v>0</v>
      </c>
      <c r="Z938" s="45" t="e">
        <f t="shared" si="285"/>
        <v>#DIV/0!</v>
      </c>
      <c r="AA938" s="56">
        <f>Y938/Model!$B$12*3600</f>
        <v>0</v>
      </c>
      <c r="AB938" s="50">
        <f t="shared" si="290"/>
        <v>0</v>
      </c>
      <c r="AC938" s="50">
        <f t="shared" si="294"/>
        <v>1800</v>
      </c>
      <c r="AD938" s="15">
        <f>IF(AE938=0, Model!$B$19, 0 )</f>
        <v>0</v>
      </c>
      <c r="AE938" s="50">
        <f>IF(AE937+AB937-AB938&lt;Model!$B$19*Model!$B$18, AE937+AB937-AB938,  0)</f>
        <v>443.63457370611354</v>
      </c>
      <c r="AF938" s="15">
        <f t="shared" si="286"/>
        <v>1</v>
      </c>
      <c r="AG938" s="50">
        <f t="shared" si="287"/>
        <v>0</v>
      </c>
    </row>
    <row r="939" spans="2:33" x14ac:dyDescent="0.25">
      <c r="B939" s="13">
        <f t="shared" si="288"/>
        <v>1</v>
      </c>
      <c r="C939" s="13">
        <f>B939+Model!$B$4</f>
        <v>3</v>
      </c>
      <c r="D939" s="13">
        <f t="shared" si="289"/>
        <v>1</v>
      </c>
      <c r="E939" s="13">
        <f t="shared" si="295"/>
        <v>3</v>
      </c>
      <c r="F939" s="14">
        <f>IF(AB939&gt;0, VLOOKUP(B939,Model!$A$40:$B$60, 2), 0)</f>
        <v>0</v>
      </c>
      <c r="G939" s="13">
        <f>IF(AB939&gt;0, VLOOKUP(B939,Model!$A$39:$C$58, 3), 0)</f>
        <v>0</v>
      </c>
      <c r="H939" s="13">
        <f t="shared" si="278"/>
        <v>0</v>
      </c>
      <c r="I939" s="46">
        <f>Model!$B$21*EXP((-0.029*9.81*F939)/(8.31*(273+J939)))</f>
        <v>104500</v>
      </c>
      <c r="J939" s="13">
        <f>IF(Model!$B$31="Summer",  IF(F939&lt;=2000,  Model!$B$20-Model!$B$35*F939/1000,  IF(F939&lt;Model!$B$36,  Model!$B$33-6.5*F939/1000,  Model!$B$38)),     IF(F939&lt;=2000,  Model!$B$20-Model!$B$35*F939/1000,  IF(F939&lt;Model!$B$36,  Model!$B$33-5.4*F939/1000,   Model!$B$38)))</f>
        <v>-20</v>
      </c>
      <c r="K939" s="13">
        <f t="shared" si="291"/>
        <v>253</v>
      </c>
      <c r="L939" s="46">
        <f>IF(AB938-AA938*(B939-B938)&gt;0, L938-Y938*(B939-B938)*3600-AD939*Model!$B$16, 0)</f>
        <v>0</v>
      </c>
      <c r="M939" s="57">
        <f t="shared" si="279"/>
        <v>0</v>
      </c>
      <c r="N939" s="57">
        <f>Model!$B$13*I939*K939/(Model!$B$13*I939-L939*287*K939)</f>
        <v>253</v>
      </c>
      <c r="O939" s="57">
        <f t="shared" si="280"/>
        <v>253</v>
      </c>
      <c r="P939" s="57">
        <f t="shared" si="281"/>
        <v>-10</v>
      </c>
      <c r="Q939" s="63">
        <f t="shared" si="292"/>
        <v>2.2579999999999999E-2</v>
      </c>
      <c r="R939" s="17">
        <f t="shared" si="293"/>
        <v>1.152E-5</v>
      </c>
      <c r="S939" s="46">
        <f>0.37*Model!$B$10*(Q939^2*(N939-K939)*I939/(R939*O939^2))^0.33333*(N939-K939)</f>
        <v>0</v>
      </c>
      <c r="T939" s="51">
        <f>Model!$B$32+(90-Model!$B$6)*SIN(RADIANS(-15*(E939+6)))</f>
        <v>-31.619472402513487</v>
      </c>
      <c r="U939" s="46">
        <f t="shared" si="282"/>
        <v>0</v>
      </c>
      <c r="V939" s="51">
        <f t="shared" si="283"/>
        <v>99999</v>
      </c>
      <c r="W939" s="46">
        <f t="shared" si="284"/>
        <v>0</v>
      </c>
      <c r="X939" s="46">
        <f>0.3*W939*Model!$B$9</f>
        <v>0</v>
      </c>
      <c r="Y939" s="17">
        <f>(S939-X939)/Model!$B$11</f>
        <v>0</v>
      </c>
      <c r="Z939" s="46" t="e">
        <f t="shared" si="285"/>
        <v>#DIV/0!</v>
      </c>
      <c r="AA939" s="57">
        <f>Y939/Model!$B$12*3600</f>
        <v>0</v>
      </c>
      <c r="AB939" s="51">
        <f t="shared" si="290"/>
        <v>0</v>
      </c>
      <c r="AC939" s="51">
        <f t="shared" si="294"/>
        <v>1800</v>
      </c>
      <c r="AD939" s="13">
        <f>IF(AE939=0, Model!$B$19, 0 )</f>
        <v>0</v>
      </c>
      <c r="AE939" s="51">
        <f>IF(AE938+AB938-AB939&lt;Model!$B$19*Model!$B$18, AE938+AB938-AB939,  0)</f>
        <v>443.63457370611354</v>
      </c>
      <c r="AF939" s="13">
        <f t="shared" si="286"/>
        <v>1</v>
      </c>
      <c r="AG939" s="50">
        <f t="shared" si="287"/>
        <v>0</v>
      </c>
    </row>
    <row r="940" spans="2:33" x14ac:dyDescent="0.25">
      <c r="B940" s="15">
        <f t="shared" si="288"/>
        <v>1</v>
      </c>
      <c r="C940" s="15">
        <f>B940+Model!$B$4</f>
        <v>3</v>
      </c>
      <c r="D940" s="15">
        <f t="shared" si="289"/>
        <v>1</v>
      </c>
      <c r="E940" s="15">
        <f t="shared" si="295"/>
        <v>3</v>
      </c>
      <c r="F940" s="16">
        <f>IF(AB940&gt;0, VLOOKUP(B940,Model!$A$40:$B$60, 2), 0)</f>
        <v>0</v>
      </c>
      <c r="G940" s="15">
        <f>IF(AB940&gt;0, VLOOKUP(B940,Model!$A$39:$C$58, 3), 0)</f>
        <v>0</v>
      </c>
      <c r="H940" s="15">
        <f t="shared" si="278"/>
        <v>0</v>
      </c>
      <c r="I940" s="45">
        <f>Model!$B$21*EXP((-0.029*9.81*F940)/(8.31*(273+J940)))</f>
        <v>104500</v>
      </c>
      <c r="J940" s="15">
        <f>IF(Model!$B$31="Summer",  IF(F940&lt;=2000,  Model!$B$20-Model!$B$35*F940/1000,  IF(F940&lt;Model!$B$36,  Model!$B$33-6.5*F940/1000,  Model!$B$38)),     IF(F940&lt;=2000,  Model!$B$20-Model!$B$35*F940/1000,  IF(F940&lt;Model!$B$36,  Model!$B$33-5.4*F940/1000,   Model!$B$38)))</f>
        <v>-20</v>
      </c>
      <c r="K940" s="15">
        <f t="shared" si="291"/>
        <v>253</v>
      </c>
      <c r="L940" s="45">
        <f>IF(AB939-AA939*(B940-B939)&gt;0, L939-Y939*(B940-B939)*3600-AD940*Model!$B$16, 0)</f>
        <v>0</v>
      </c>
      <c r="M940" s="56">
        <f t="shared" si="279"/>
        <v>0</v>
      </c>
      <c r="N940" s="56">
        <f>Model!$B$13*I940*K940/(Model!$B$13*I940-L940*287*K940)</f>
        <v>253</v>
      </c>
      <c r="O940" s="56">
        <f t="shared" si="280"/>
        <v>253</v>
      </c>
      <c r="P940" s="56">
        <f t="shared" si="281"/>
        <v>-10</v>
      </c>
      <c r="Q940" s="62">
        <f t="shared" si="292"/>
        <v>2.2579999999999999E-2</v>
      </c>
      <c r="R940" s="33">
        <f t="shared" si="293"/>
        <v>1.152E-5</v>
      </c>
      <c r="S940" s="45">
        <f>0.37*Model!$B$10*(Q940^2*(N940-K940)*I940/(R940*O940^2))^0.33333*(N940-K940)</f>
        <v>0</v>
      </c>
      <c r="T940" s="50">
        <f>Model!$B$32+(90-Model!$B$6)*SIN(RADIANS(-15*(E940+6)))</f>
        <v>-31.619472402513487</v>
      </c>
      <c r="U940" s="45">
        <f t="shared" si="282"/>
        <v>0</v>
      </c>
      <c r="V940" s="50">
        <f t="shared" si="283"/>
        <v>99999</v>
      </c>
      <c r="W940" s="45">
        <f t="shared" si="284"/>
        <v>0</v>
      </c>
      <c r="X940" s="45">
        <f>0.3*W940*Model!$B$9</f>
        <v>0</v>
      </c>
      <c r="Y940" s="33">
        <f>(S940-X940)/Model!$B$11</f>
        <v>0</v>
      </c>
      <c r="Z940" s="45" t="e">
        <f t="shared" si="285"/>
        <v>#DIV/0!</v>
      </c>
      <c r="AA940" s="56">
        <f>Y940/Model!$B$12*3600</f>
        <v>0</v>
      </c>
      <c r="AB940" s="50">
        <f t="shared" si="290"/>
        <v>0</v>
      </c>
      <c r="AC940" s="50">
        <f t="shared" si="294"/>
        <v>1800</v>
      </c>
      <c r="AD940" s="15">
        <f>IF(AE940=0, Model!$B$19, 0 )</f>
        <v>0</v>
      </c>
      <c r="AE940" s="50">
        <f>IF(AE939+AB939-AB940&lt;Model!$B$19*Model!$B$18, AE939+AB939-AB940,  0)</f>
        <v>443.63457370611354</v>
      </c>
      <c r="AF940" s="15">
        <f t="shared" si="286"/>
        <v>1</v>
      </c>
      <c r="AG940" s="50">
        <f t="shared" si="287"/>
        <v>0</v>
      </c>
    </row>
    <row r="941" spans="2:33" x14ac:dyDescent="0.25">
      <c r="B941" s="13">
        <f t="shared" si="288"/>
        <v>1</v>
      </c>
      <c r="C941" s="13">
        <f>B941+Model!$B$4</f>
        <v>3</v>
      </c>
      <c r="D941" s="13">
        <f t="shared" si="289"/>
        <v>1</v>
      </c>
      <c r="E941" s="13">
        <f t="shared" si="295"/>
        <v>3</v>
      </c>
      <c r="F941" s="14">
        <f>IF(AB941&gt;0, VLOOKUP(B941,Model!$A$40:$B$60, 2), 0)</f>
        <v>0</v>
      </c>
      <c r="G941" s="13">
        <f>IF(AB941&gt;0, VLOOKUP(B941,Model!$A$39:$C$58, 3), 0)</f>
        <v>0</v>
      </c>
      <c r="H941" s="13">
        <f t="shared" si="278"/>
        <v>0</v>
      </c>
      <c r="I941" s="46">
        <f>Model!$B$21*EXP((-0.029*9.81*F941)/(8.31*(273+J941)))</f>
        <v>104500</v>
      </c>
      <c r="J941" s="13">
        <f>IF(Model!$B$31="Summer",  IF(F941&lt;=2000,  Model!$B$20-Model!$B$35*F941/1000,  IF(F941&lt;Model!$B$36,  Model!$B$33-6.5*F941/1000,  Model!$B$38)),     IF(F941&lt;=2000,  Model!$B$20-Model!$B$35*F941/1000,  IF(F941&lt;Model!$B$36,  Model!$B$33-5.4*F941/1000,   Model!$B$38)))</f>
        <v>-20</v>
      </c>
      <c r="K941" s="13">
        <f t="shared" si="291"/>
        <v>253</v>
      </c>
      <c r="L941" s="46">
        <f>IF(AB940-AA940*(B941-B940)&gt;0, L940-Y940*(B941-B940)*3600-AD941*Model!$B$16, 0)</f>
        <v>0</v>
      </c>
      <c r="M941" s="57">
        <f t="shared" si="279"/>
        <v>0</v>
      </c>
      <c r="N941" s="57">
        <f>Model!$B$13*I941*K941/(Model!$B$13*I941-L941*287*K941)</f>
        <v>253</v>
      </c>
      <c r="O941" s="57">
        <f t="shared" si="280"/>
        <v>253</v>
      </c>
      <c r="P941" s="57">
        <f t="shared" si="281"/>
        <v>-10</v>
      </c>
      <c r="Q941" s="63">
        <f t="shared" si="292"/>
        <v>2.2579999999999999E-2</v>
      </c>
      <c r="R941" s="17">
        <f t="shared" si="293"/>
        <v>1.152E-5</v>
      </c>
      <c r="S941" s="46">
        <f>0.37*Model!$B$10*(Q941^2*(N941-K941)*I941/(R941*O941^2))^0.33333*(N941-K941)</f>
        <v>0</v>
      </c>
      <c r="T941" s="51">
        <f>Model!$B$32+(90-Model!$B$6)*SIN(RADIANS(-15*(E941+6)))</f>
        <v>-31.619472402513487</v>
      </c>
      <c r="U941" s="46">
        <f t="shared" si="282"/>
        <v>0</v>
      </c>
      <c r="V941" s="51">
        <f t="shared" si="283"/>
        <v>99999</v>
      </c>
      <c r="W941" s="46">
        <f t="shared" si="284"/>
        <v>0</v>
      </c>
      <c r="X941" s="46">
        <f>0.3*W941*Model!$B$9</f>
        <v>0</v>
      </c>
      <c r="Y941" s="17">
        <f>(S941-X941)/Model!$B$11</f>
        <v>0</v>
      </c>
      <c r="Z941" s="46" t="e">
        <f t="shared" si="285"/>
        <v>#DIV/0!</v>
      </c>
      <c r="AA941" s="57">
        <f>Y941/Model!$B$12*3600</f>
        <v>0</v>
      </c>
      <c r="AB941" s="51">
        <f t="shared" si="290"/>
        <v>0</v>
      </c>
      <c r="AC941" s="51">
        <f t="shared" si="294"/>
        <v>1800</v>
      </c>
      <c r="AD941" s="13">
        <f>IF(AE941=0, Model!$B$19, 0 )</f>
        <v>0</v>
      </c>
      <c r="AE941" s="51">
        <f>IF(AE940+AB940-AB941&lt;Model!$B$19*Model!$B$18, AE940+AB940-AB941,  0)</f>
        <v>443.63457370611354</v>
      </c>
      <c r="AF941" s="13">
        <f t="shared" si="286"/>
        <v>1</v>
      </c>
      <c r="AG941" s="50">
        <f t="shared" si="287"/>
        <v>0</v>
      </c>
    </row>
    <row r="942" spans="2:33" x14ac:dyDescent="0.25">
      <c r="B942" s="15">
        <f t="shared" si="288"/>
        <v>1</v>
      </c>
      <c r="C942" s="15">
        <f>B942+Model!$B$4</f>
        <v>3</v>
      </c>
      <c r="D942" s="15">
        <f t="shared" si="289"/>
        <v>1</v>
      </c>
      <c r="E942" s="15">
        <f t="shared" si="295"/>
        <v>3</v>
      </c>
      <c r="F942" s="16">
        <f>IF(AB942&gt;0, VLOOKUP(B942,Model!$A$40:$B$60, 2), 0)</f>
        <v>0</v>
      </c>
      <c r="G942" s="15">
        <f>IF(AB942&gt;0, VLOOKUP(B942,Model!$A$39:$C$58, 3), 0)</f>
        <v>0</v>
      </c>
      <c r="H942" s="15">
        <f t="shared" si="278"/>
        <v>0</v>
      </c>
      <c r="I942" s="45">
        <f>Model!$B$21*EXP((-0.029*9.81*F942)/(8.31*(273+J942)))</f>
        <v>104500</v>
      </c>
      <c r="J942" s="15">
        <f>IF(Model!$B$31="Summer",  IF(F942&lt;=2000,  Model!$B$20-Model!$B$35*F942/1000,  IF(F942&lt;Model!$B$36,  Model!$B$33-6.5*F942/1000,  Model!$B$38)),     IF(F942&lt;=2000,  Model!$B$20-Model!$B$35*F942/1000,  IF(F942&lt;Model!$B$36,  Model!$B$33-5.4*F942/1000,   Model!$B$38)))</f>
        <v>-20</v>
      </c>
      <c r="K942" s="15">
        <f t="shared" si="291"/>
        <v>253</v>
      </c>
      <c r="L942" s="45">
        <f>IF(AB941-AA941*(B942-B941)&gt;0, L941-Y941*(B942-B941)*3600-AD942*Model!$B$16, 0)</f>
        <v>0</v>
      </c>
      <c r="M942" s="56">
        <f t="shared" si="279"/>
        <v>0</v>
      </c>
      <c r="N942" s="56">
        <f>Model!$B$13*I942*K942/(Model!$B$13*I942-L942*287*K942)</f>
        <v>253</v>
      </c>
      <c r="O942" s="56">
        <f t="shared" si="280"/>
        <v>253</v>
      </c>
      <c r="P942" s="56">
        <f t="shared" si="281"/>
        <v>-10</v>
      </c>
      <c r="Q942" s="62">
        <f t="shared" si="292"/>
        <v>2.2579999999999999E-2</v>
      </c>
      <c r="R942" s="33">
        <f t="shared" si="293"/>
        <v>1.152E-5</v>
      </c>
      <c r="S942" s="45">
        <f>0.37*Model!$B$10*(Q942^2*(N942-K942)*I942/(R942*O942^2))^0.33333*(N942-K942)</f>
        <v>0</v>
      </c>
      <c r="T942" s="50">
        <f>Model!$B$32+(90-Model!$B$6)*SIN(RADIANS(-15*(E942+6)))</f>
        <v>-31.619472402513487</v>
      </c>
      <c r="U942" s="45">
        <f t="shared" si="282"/>
        <v>0</v>
      </c>
      <c r="V942" s="50">
        <f t="shared" si="283"/>
        <v>99999</v>
      </c>
      <c r="W942" s="45">
        <f t="shared" si="284"/>
        <v>0</v>
      </c>
      <c r="X942" s="45">
        <f>0.3*W942*Model!$B$9</f>
        <v>0</v>
      </c>
      <c r="Y942" s="33">
        <f>(S942-X942)/Model!$B$11</f>
        <v>0</v>
      </c>
      <c r="Z942" s="45" t="e">
        <f t="shared" si="285"/>
        <v>#DIV/0!</v>
      </c>
      <c r="AA942" s="56">
        <f>Y942/Model!$B$12*3600</f>
        <v>0</v>
      </c>
      <c r="AB942" s="50">
        <f t="shared" si="290"/>
        <v>0</v>
      </c>
      <c r="AC942" s="50">
        <f t="shared" si="294"/>
        <v>1800</v>
      </c>
      <c r="AD942" s="15">
        <f>IF(AE942=0, Model!$B$19, 0 )</f>
        <v>0</v>
      </c>
      <c r="AE942" s="50">
        <f>IF(AE941+AB941-AB942&lt;Model!$B$19*Model!$B$18, AE941+AB941-AB942,  0)</f>
        <v>443.63457370611354</v>
      </c>
      <c r="AF942" s="15">
        <f t="shared" si="286"/>
        <v>1</v>
      </c>
      <c r="AG942" s="50">
        <f t="shared" si="287"/>
        <v>0</v>
      </c>
    </row>
    <row r="943" spans="2:33" x14ac:dyDescent="0.25">
      <c r="B943" s="13">
        <f t="shared" si="288"/>
        <v>1</v>
      </c>
      <c r="C943" s="13">
        <f>B943+Model!$B$4</f>
        <v>3</v>
      </c>
      <c r="D943" s="13">
        <f t="shared" si="289"/>
        <v>1</v>
      </c>
      <c r="E943" s="13">
        <f t="shared" si="295"/>
        <v>3</v>
      </c>
      <c r="F943" s="14">
        <f>IF(AB943&gt;0, VLOOKUP(B943,Model!$A$40:$B$60, 2), 0)</f>
        <v>0</v>
      </c>
      <c r="G943" s="13">
        <f>IF(AB943&gt;0, VLOOKUP(B943,Model!$A$39:$C$58, 3), 0)</f>
        <v>0</v>
      </c>
      <c r="H943" s="13">
        <f t="shared" si="278"/>
        <v>0</v>
      </c>
      <c r="I943" s="46">
        <f>Model!$B$21*EXP((-0.029*9.81*F943)/(8.31*(273+J943)))</f>
        <v>104500</v>
      </c>
      <c r="J943" s="13">
        <f>IF(Model!$B$31="Summer",  IF(F943&lt;=2000,  Model!$B$20-Model!$B$35*F943/1000,  IF(F943&lt;Model!$B$36,  Model!$B$33-6.5*F943/1000,  Model!$B$38)),     IF(F943&lt;=2000,  Model!$B$20-Model!$B$35*F943/1000,  IF(F943&lt;Model!$B$36,  Model!$B$33-5.4*F943/1000,   Model!$B$38)))</f>
        <v>-20</v>
      </c>
      <c r="K943" s="13">
        <f t="shared" si="291"/>
        <v>253</v>
      </c>
      <c r="L943" s="46">
        <f>IF(AB942-AA942*(B943-B942)&gt;0, L942-Y942*(B943-B942)*3600-AD943*Model!$B$16, 0)</f>
        <v>0</v>
      </c>
      <c r="M943" s="57">
        <f t="shared" si="279"/>
        <v>0</v>
      </c>
      <c r="N943" s="57">
        <f>Model!$B$13*I943*K943/(Model!$B$13*I943-L943*287*K943)</f>
        <v>253</v>
      </c>
      <c r="O943" s="57">
        <f t="shared" si="280"/>
        <v>253</v>
      </c>
      <c r="P943" s="57">
        <f t="shared" si="281"/>
        <v>-10</v>
      </c>
      <c r="Q943" s="63">
        <f t="shared" si="292"/>
        <v>2.2579999999999999E-2</v>
      </c>
      <c r="R943" s="17">
        <f t="shared" si="293"/>
        <v>1.152E-5</v>
      </c>
      <c r="S943" s="46">
        <f>0.37*Model!$B$10*(Q943^2*(N943-K943)*I943/(R943*O943^2))^0.33333*(N943-K943)</f>
        <v>0</v>
      </c>
      <c r="T943" s="51">
        <f>Model!$B$32+(90-Model!$B$6)*SIN(RADIANS(-15*(E943+6)))</f>
        <v>-31.619472402513487</v>
      </c>
      <c r="U943" s="46">
        <f t="shared" si="282"/>
        <v>0</v>
      </c>
      <c r="V943" s="51">
        <f t="shared" si="283"/>
        <v>99999</v>
      </c>
      <c r="W943" s="46">
        <f t="shared" si="284"/>
        <v>0</v>
      </c>
      <c r="X943" s="46">
        <f>0.3*W943*Model!$B$9</f>
        <v>0</v>
      </c>
      <c r="Y943" s="17">
        <f>(S943-X943)/Model!$B$11</f>
        <v>0</v>
      </c>
      <c r="Z943" s="46" t="e">
        <f t="shared" si="285"/>
        <v>#DIV/0!</v>
      </c>
      <c r="AA943" s="57">
        <f>Y943/Model!$B$12*3600</f>
        <v>0</v>
      </c>
      <c r="AB943" s="51">
        <f t="shared" si="290"/>
        <v>0</v>
      </c>
      <c r="AC943" s="51">
        <f t="shared" si="294"/>
        <v>1800</v>
      </c>
      <c r="AD943" s="13">
        <f>IF(AE943=0, Model!$B$19, 0 )</f>
        <v>0</v>
      </c>
      <c r="AE943" s="51">
        <f>IF(AE942+AB942-AB943&lt;Model!$B$19*Model!$B$18, AE942+AB942-AB943,  0)</f>
        <v>443.63457370611354</v>
      </c>
      <c r="AF943" s="13">
        <f t="shared" si="286"/>
        <v>1</v>
      </c>
      <c r="AG943" s="50">
        <f t="shared" si="287"/>
        <v>0</v>
      </c>
    </row>
    <row r="944" spans="2:33" x14ac:dyDescent="0.25">
      <c r="B944" s="15">
        <f t="shared" si="288"/>
        <v>1</v>
      </c>
      <c r="C944" s="15">
        <f>B944+Model!$B$4</f>
        <v>3</v>
      </c>
      <c r="D944" s="15">
        <f t="shared" si="289"/>
        <v>1</v>
      </c>
      <c r="E944" s="15">
        <f t="shared" si="295"/>
        <v>3</v>
      </c>
      <c r="F944" s="16">
        <f>IF(AB944&gt;0, VLOOKUP(B944,Model!$A$40:$B$60, 2), 0)</f>
        <v>0</v>
      </c>
      <c r="G944" s="15">
        <f>IF(AB944&gt;0, VLOOKUP(B944,Model!$A$39:$C$58, 3), 0)</f>
        <v>0</v>
      </c>
      <c r="H944" s="15">
        <f t="shared" si="278"/>
        <v>0</v>
      </c>
      <c r="I944" s="45">
        <f>Model!$B$21*EXP((-0.029*9.81*F944)/(8.31*(273+J944)))</f>
        <v>104500</v>
      </c>
      <c r="J944" s="15">
        <f>IF(Model!$B$31="Summer",  IF(F944&lt;=2000,  Model!$B$20-Model!$B$35*F944/1000,  IF(F944&lt;Model!$B$36,  Model!$B$33-6.5*F944/1000,  Model!$B$38)),     IF(F944&lt;=2000,  Model!$B$20-Model!$B$35*F944/1000,  IF(F944&lt;Model!$B$36,  Model!$B$33-5.4*F944/1000,   Model!$B$38)))</f>
        <v>-20</v>
      </c>
      <c r="K944" s="15">
        <f t="shared" si="291"/>
        <v>253</v>
      </c>
      <c r="L944" s="45">
        <f>IF(AB943-AA943*(B944-B943)&gt;0, L943-Y943*(B944-B943)*3600-AD944*Model!$B$16, 0)</f>
        <v>0</v>
      </c>
      <c r="M944" s="56">
        <f t="shared" si="279"/>
        <v>0</v>
      </c>
      <c r="N944" s="56">
        <f>Model!$B$13*I944*K944/(Model!$B$13*I944-L944*287*K944)</f>
        <v>253</v>
      </c>
      <c r="O944" s="56">
        <f t="shared" si="280"/>
        <v>253</v>
      </c>
      <c r="P944" s="56">
        <f t="shared" si="281"/>
        <v>-10</v>
      </c>
      <c r="Q944" s="62">
        <f t="shared" si="292"/>
        <v>2.2579999999999999E-2</v>
      </c>
      <c r="R944" s="33">
        <f t="shared" si="293"/>
        <v>1.152E-5</v>
      </c>
      <c r="S944" s="45">
        <f>0.37*Model!$B$10*(Q944^2*(N944-K944)*I944/(R944*O944^2))^0.33333*(N944-K944)</f>
        <v>0</v>
      </c>
      <c r="T944" s="50">
        <f>Model!$B$32+(90-Model!$B$6)*SIN(RADIANS(-15*(E944+6)))</f>
        <v>-31.619472402513487</v>
      </c>
      <c r="U944" s="45">
        <f t="shared" si="282"/>
        <v>0</v>
      </c>
      <c r="V944" s="50">
        <f t="shared" si="283"/>
        <v>99999</v>
      </c>
      <c r="W944" s="45">
        <f t="shared" si="284"/>
        <v>0</v>
      </c>
      <c r="X944" s="45">
        <f>0.3*W944*Model!$B$9</f>
        <v>0</v>
      </c>
      <c r="Y944" s="33">
        <f>(S944-X944)/Model!$B$11</f>
        <v>0</v>
      </c>
      <c r="Z944" s="45" t="e">
        <f t="shared" si="285"/>
        <v>#DIV/0!</v>
      </c>
      <c r="AA944" s="56">
        <f>Y944/Model!$B$12*3600</f>
        <v>0</v>
      </c>
      <c r="AB944" s="50">
        <f t="shared" si="290"/>
        <v>0</v>
      </c>
      <c r="AC944" s="50">
        <f t="shared" si="294"/>
        <v>1800</v>
      </c>
      <c r="AD944" s="15">
        <f>IF(AE944=0, Model!$B$19, 0 )</f>
        <v>0</v>
      </c>
      <c r="AE944" s="50">
        <f>IF(AE943+AB943-AB944&lt;Model!$B$19*Model!$B$18, AE943+AB943-AB944,  0)</f>
        <v>443.63457370611354</v>
      </c>
      <c r="AF944" s="15">
        <f t="shared" si="286"/>
        <v>1</v>
      </c>
      <c r="AG944" s="50">
        <f t="shared" si="287"/>
        <v>0</v>
      </c>
    </row>
    <row r="945" spans="2:33" x14ac:dyDescent="0.25">
      <c r="B945" s="13">
        <f t="shared" si="288"/>
        <v>1</v>
      </c>
      <c r="C945" s="13">
        <f>B945+Model!$B$4</f>
        <v>3</v>
      </c>
      <c r="D945" s="13">
        <f t="shared" si="289"/>
        <v>1</v>
      </c>
      <c r="E945" s="13">
        <f t="shared" si="295"/>
        <v>3</v>
      </c>
      <c r="F945" s="14">
        <f>IF(AB945&gt;0, VLOOKUP(B945,Model!$A$40:$B$60, 2), 0)</f>
        <v>0</v>
      </c>
      <c r="G945" s="13">
        <f>IF(AB945&gt;0, VLOOKUP(B945,Model!$A$39:$C$58, 3), 0)</f>
        <v>0</v>
      </c>
      <c r="H945" s="13">
        <f t="shared" si="278"/>
        <v>0</v>
      </c>
      <c r="I945" s="46">
        <f>Model!$B$21*EXP((-0.029*9.81*F945)/(8.31*(273+J945)))</f>
        <v>104500</v>
      </c>
      <c r="J945" s="13">
        <f>IF(Model!$B$31="Summer",  IF(F945&lt;=2000,  Model!$B$20-Model!$B$35*F945/1000,  IF(F945&lt;Model!$B$36,  Model!$B$33-6.5*F945/1000,  Model!$B$38)),     IF(F945&lt;=2000,  Model!$B$20-Model!$B$35*F945/1000,  IF(F945&lt;Model!$B$36,  Model!$B$33-5.4*F945/1000,   Model!$B$38)))</f>
        <v>-20</v>
      </c>
      <c r="K945" s="13">
        <f t="shared" si="291"/>
        <v>253</v>
      </c>
      <c r="L945" s="46">
        <f>IF(AB944-AA944*(B945-B944)&gt;0, L944-Y944*(B945-B944)*3600-AD945*Model!$B$16, 0)</f>
        <v>0</v>
      </c>
      <c r="M945" s="57">
        <f t="shared" si="279"/>
        <v>0</v>
      </c>
      <c r="N945" s="57">
        <f>Model!$B$13*I945*K945/(Model!$B$13*I945-L945*287*K945)</f>
        <v>253</v>
      </c>
      <c r="O945" s="57">
        <f t="shared" si="280"/>
        <v>253</v>
      </c>
      <c r="P945" s="57">
        <f t="shared" si="281"/>
        <v>-10</v>
      </c>
      <c r="Q945" s="63">
        <f t="shared" si="292"/>
        <v>2.2579999999999999E-2</v>
      </c>
      <c r="R945" s="17">
        <f t="shared" si="293"/>
        <v>1.152E-5</v>
      </c>
      <c r="S945" s="46">
        <f>0.37*Model!$B$10*(Q945^2*(N945-K945)*I945/(R945*O945^2))^0.33333*(N945-K945)</f>
        <v>0</v>
      </c>
      <c r="T945" s="51">
        <f>Model!$B$32+(90-Model!$B$6)*SIN(RADIANS(-15*(E945+6)))</f>
        <v>-31.619472402513487</v>
      </c>
      <c r="U945" s="46">
        <f t="shared" si="282"/>
        <v>0</v>
      </c>
      <c r="V945" s="51">
        <f t="shared" si="283"/>
        <v>99999</v>
      </c>
      <c r="W945" s="46">
        <f t="shared" si="284"/>
        <v>0</v>
      </c>
      <c r="X945" s="46">
        <f>0.3*W945*Model!$B$9</f>
        <v>0</v>
      </c>
      <c r="Y945" s="17">
        <f>(S945-X945)/Model!$B$11</f>
        <v>0</v>
      </c>
      <c r="Z945" s="46" t="e">
        <f t="shared" si="285"/>
        <v>#DIV/0!</v>
      </c>
      <c r="AA945" s="57">
        <f>Y945/Model!$B$12*3600</f>
        <v>0</v>
      </c>
      <c r="AB945" s="51">
        <f t="shared" si="290"/>
        <v>0</v>
      </c>
      <c r="AC945" s="51">
        <f t="shared" si="294"/>
        <v>1800</v>
      </c>
      <c r="AD945" s="13">
        <f>IF(AE945=0, Model!$B$19, 0 )</f>
        <v>0</v>
      </c>
      <c r="AE945" s="51">
        <f>IF(AE944+AB944-AB945&lt;Model!$B$19*Model!$B$18, AE944+AB944-AB945,  0)</f>
        <v>443.63457370611354</v>
      </c>
      <c r="AF945" s="13">
        <f t="shared" si="286"/>
        <v>1</v>
      </c>
      <c r="AG945" s="50">
        <f t="shared" si="287"/>
        <v>0</v>
      </c>
    </row>
    <row r="946" spans="2:33" x14ac:dyDescent="0.25">
      <c r="B946" s="15">
        <f t="shared" si="288"/>
        <v>1</v>
      </c>
      <c r="C946" s="15">
        <f>B946+Model!$B$4</f>
        <v>3</v>
      </c>
      <c r="D946" s="15">
        <f t="shared" si="289"/>
        <v>1</v>
      </c>
      <c r="E946" s="15">
        <f t="shared" si="295"/>
        <v>3</v>
      </c>
      <c r="F946" s="16">
        <f>IF(AB946&gt;0, VLOOKUP(B946,Model!$A$40:$B$60, 2), 0)</f>
        <v>0</v>
      </c>
      <c r="G946" s="15">
        <f>IF(AB946&gt;0, VLOOKUP(B946,Model!$A$39:$C$58, 3), 0)</f>
        <v>0</v>
      </c>
      <c r="H946" s="15">
        <f t="shared" si="278"/>
        <v>0</v>
      </c>
      <c r="I946" s="45">
        <f>Model!$B$21*EXP((-0.029*9.81*F946)/(8.31*(273+J946)))</f>
        <v>104500</v>
      </c>
      <c r="J946" s="15">
        <f>IF(Model!$B$31="Summer",  IF(F946&lt;=2000,  Model!$B$20-Model!$B$35*F946/1000,  IF(F946&lt;Model!$B$36,  Model!$B$33-6.5*F946/1000,  Model!$B$38)),     IF(F946&lt;=2000,  Model!$B$20-Model!$B$35*F946/1000,  IF(F946&lt;Model!$B$36,  Model!$B$33-5.4*F946/1000,   Model!$B$38)))</f>
        <v>-20</v>
      </c>
      <c r="K946" s="15">
        <f t="shared" si="291"/>
        <v>253</v>
      </c>
      <c r="L946" s="45">
        <f>IF(AB945-AA945*(B946-B945)&gt;0, L945-Y945*(B946-B945)*3600-AD946*Model!$B$16, 0)</f>
        <v>0</v>
      </c>
      <c r="M946" s="56">
        <f t="shared" si="279"/>
        <v>0</v>
      </c>
      <c r="N946" s="56">
        <f>Model!$B$13*I946*K946/(Model!$B$13*I946-L946*287*K946)</f>
        <v>253</v>
      </c>
      <c r="O946" s="56">
        <f t="shared" si="280"/>
        <v>253</v>
      </c>
      <c r="P946" s="56">
        <f t="shared" si="281"/>
        <v>-10</v>
      </c>
      <c r="Q946" s="62">
        <f t="shared" si="292"/>
        <v>2.2579999999999999E-2</v>
      </c>
      <c r="R946" s="33">
        <f t="shared" si="293"/>
        <v>1.152E-5</v>
      </c>
      <c r="S946" s="45">
        <f>0.37*Model!$B$10*(Q946^2*(N946-K946)*I946/(R946*O946^2))^0.33333*(N946-K946)</f>
        <v>0</v>
      </c>
      <c r="T946" s="50">
        <f>Model!$B$32+(90-Model!$B$6)*SIN(RADIANS(-15*(E946+6)))</f>
        <v>-31.619472402513487</v>
      </c>
      <c r="U946" s="45">
        <f t="shared" si="282"/>
        <v>0</v>
      </c>
      <c r="V946" s="50">
        <f t="shared" si="283"/>
        <v>99999</v>
      </c>
      <c r="W946" s="45">
        <f t="shared" si="284"/>
        <v>0</v>
      </c>
      <c r="X946" s="45">
        <f>0.3*W946*Model!$B$9</f>
        <v>0</v>
      </c>
      <c r="Y946" s="33">
        <f>(S946-X946)/Model!$B$11</f>
        <v>0</v>
      </c>
      <c r="Z946" s="45" t="e">
        <f t="shared" si="285"/>
        <v>#DIV/0!</v>
      </c>
      <c r="AA946" s="56">
        <f>Y946/Model!$B$12*3600</f>
        <v>0</v>
      </c>
      <c r="AB946" s="50">
        <f t="shared" si="290"/>
        <v>0</v>
      </c>
      <c r="AC946" s="50">
        <f t="shared" si="294"/>
        <v>1800</v>
      </c>
      <c r="AD946" s="15">
        <f>IF(AE946=0, Model!$B$19, 0 )</f>
        <v>0</v>
      </c>
      <c r="AE946" s="50">
        <f>IF(AE945+AB945-AB946&lt;Model!$B$19*Model!$B$18, AE945+AB945-AB946,  0)</f>
        <v>443.63457370611354</v>
      </c>
      <c r="AF946" s="15">
        <f t="shared" si="286"/>
        <v>1</v>
      </c>
      <c r="AG946" s="50">
        <f t="shared" si="287"/>
        <v>0</v>
      </c>
    </row>
    <row r="947" spans="2:33" x14ac:dyDescent="0.25">
      <c r="B947" s="13">
        <f t="shared" si="288"/>
        <v>1</v>
      </c>
      <c r="C947" s="13">
        <f>B947+Model!$B$4</f>
        <v>3</v>
      </c>
      <c r="D947" s="13">
        <f t="shared" si="289"/>
        <v>1</v>
      </c>
      <c r="E947" s="13">
        <f t="shared" si="295"/>
        <v>3</v>
      </c>
      <c r="F947" s="14">
        <f>IF(AB947&gt;0, VLOOKUP(B947,Model!$A$40:$B$60, 2), 0)</f>
        <v>0</v>
      </c>
      <c r="G947" s="13">
        <f>IF(AB947&gt;0, VLOOKUP(B947,Model!$A$39:$C$58, 3), 0)</f>
        <v>0</v>
      </c>
      <c r="H947" s="13">
        <f t="shared" si="278"/>
        <v>0</v>
      </c>
      <c r="I947" s="46">
        <f>Model!$B$21*EXP((-0.029*9.81*F947)/(8.31*(273+J947)))</f>
        <v>104500</v>
      </c>
      <c r="J947" s="13">
        <f>IF(Model!$B$31="Summer",  IF(F947&lt;=2000,  Model!$B$20-Model!$B$35*F947/1000,  IF(F947&lt;Model!$B$36,  Model!$B$33-6.5*F947/1000,  Model!$B$38)),     IF(F947&lt;=2000,  Model!$B$20-Model!$B$35*F947/1000,  IF(F947&lt;Model!$B$36,  Model!$B$33-5.4*F947/1000,   Model!$B$38)))</f>
        <v>-20</v>
      </c>
      <c r="K947" s="13">
        <f t="shared" si="291"/>
        <v>253</v>
      </c>
      <c r="L947" s="46">
        <f>IF(AB946-AA946*(B947-B946)&gt;0, L946-Y946*(B947-B946)*3600-AD947*Model!$B$16, 0)</f>
        <v>0</v>
      </c>
      <c r="M947" s="57">
        <f t="shared" si="279"/>
        <v>0</v>
      </c>
      <c r="N947" s="57">
        <f>Model!$B$13*I947*K947/(Model!$B$13*I947-L947*287*K947)</f>
        <v>253</v>
      </c>
      <c r="O947" s="57">
        <f t="shared" si="280"/>
        <v>253</v>
      </c>
      <c r="P947" s="57">
        <f t="shared" si="281"/>
        <v>-10</v>
      </c>
      <c r="Q947" s="63">
        <f t="shared" si="292"/>
        <v>2.2579999999999999E-2</v>
      </c>
      <c r="R947" s="17">
        <f t="shared" si="293"/>
        <v>1.152E-5</v>
      </c>
      <c r="S947" s="46">
        <f>0.37*Model!$B$10*(Q947^2*(N947-K947)*I947/(R947*O947^2))^0.33333*(N947-K947)</f>
        <v>0</v>
      </c>
      <c r="T947" s="51">
        <f>Model!$B$32+(90-Model!$B$6)*SIN(RADIANS(-15*(E947+6)))</f>
        <v>-31.619472402513487</v>
      </c>
      <c r="U947" s="46">
        <f t="shared" si="282"/>
        <v>0</v>
      </c>
      <c r="V947" s="51">
        <f t="shared" si="283"/>
        <v>99999</v>
      </c>
      <c r="W947" s="46">
        <f t="shared" si="284"/>
        <v>0</v>
      </c>
      <c r="X947" s="46">
        <f>0.3*W947*Model!$B$9</f>
        <v>0</v>
      </c>
      <c r="Y947" s="17">
        <f>(S947-X947)/Model!$B$11</f>
        <v>0</v>
      </c>
      <c r="Z947" s="46" t="e">
        <f t="shared" si="285"/>
        <v>#DIV/0!</v>
      </c>
      <c r="AA947" s="57">
        <f>Y947/Model!$B$12*3600</f>
        <v>0</v>
      </c>
      <c r="AB947" s="51">
        <f t="shared" si="290"/>
        <v>0</v>
      </c>
      <c r="AC947" s="51">
        <f t="shared" si="294"/>
        <v>1800</v>
      </c>
      <c r="AD947" s="13">
        <f>IF(AE947=0, Model!$B$19, 0 )</f>
        <v>0</v>
      </c>
      <c r="AE947" s="51">
        <f>IF(AE946+AB946-AB947&lt;Model!$B$19*Model!$B$18, AE946+AB946-AB947,  0)</f>
        <v>443.63457370611354</v>
      </c>
      <c r="AF947" s="13">
        <f t="shared" si="286"/>
        <v>1</v>
      </c>
      <c r="AG947" s="50">
        <f t="shared" si="287"/>
        <v>0</v>
      </c>
    </row>
    <row r="948" spans="2:33" x14ac:dyDescent="0.25">
      <c r="B948" s="15">
        <f t="shared" si="288"/>
        <v>1</v>
      </c>
      <c r="C948" s="15">
        <f>B948+Model!$B$4</f>
        <v>3</v>
      </c>
      <c r="D948" s="15">
        <f t="shared" si="289"/>
        <v>1</v>
      </c>
      <c r="E948" s="15">
        <f t="shared" si="295"/>
        <v>3</v>
      </c>
      <c r="F948" s="16">
        <f>IF(AB948&gt;0, VLOOKUP(B948,Model!$A$40:$B$60, 2), 0)</f>
        <v>0</v>
      </c>
      <c r="G948" s="15">
        <f>IF(AB948&gt;0, VLOOKUP(B948,Model!$A$39:$C$58, 3), 0)</f>
        <v>0</v>
      </c>
      <c r="H948" s="15">
        <f t="shared" si="278"/>
        <v>0</v>
      </c>
      <c r="I948" s="45">
        <f>Model!$B$21*EXP((-0.029*9.81*F948)/(8.31*(273+J948)))</f>
        <v>104500</v>
      </c>
      <c r="J948" s="15">
        <f>IF(Model!$B$31="Summer",  IF(F948&lt;=2000,  Model!$B$20-Model!$B$35*F948/1000,  IF(F948&lt;Model!$B$36,  Model!$B$33-6.5*F948/1000,  Model!$B$38)),     IF(F948&lt;=2000,  Model!$B$20-Model!$B$35*F948/1000,  IF(F948&lt;Model!$B$36,  Model!$B$33-5.4*F948/1000,   Model!$B$38)))</f>
        <v>-20</v>
      </c>
      <c r="K948" s="15">
        <f t="shared" si="291"/>
        <v>253</v>
      </c>
      <c r="L948" s="45">
        <f>IF(AB947-AA947*(B948-B947)&gt;0, L947-Y947*(B948-B947)*3600-AD948*Model!$B$16, 0)</f>
        <v>0</v>
      </c>
      <c r="M948" s="56">
        <f t="shared" si="279"/>
        <v>0</v>
      </c>
      <c r="N948" s="56">
        <f>Model!$B$13*I948*K948/(Model!$B$13*I948-L948*287*K948)</f>
        <v>253</v>
      </c>
      <c r="O948" s="56">
        <f t="shared" si="280"/>
        <v>253</v>
      </c>
      <c r="P948" s="56">
        <f t="shared" si="281"/>
        <v>-10</v>
      </c>
      <c r="Q948" s="62">
        <f t="shared" si="292"/>
        <v>2.2579999999999999E-2</v>
      </c>
      <c r="R948" s="33">
        <f t="shared" si="293"/>
        <v>1.152E-5</v>
      </c>
      <c r="S948" s="45">
        <f>0.37*Model!$B$10*(Q948^2*(N948-K948)*I948/(R948*O948^2))^0.33333*(N948-K948)</f>
        <v>0</v>
      </c>
      <c r="T948" s="50">
        <f>Model!$B$32+(90-Model!$B$6)*SIN(RADIANS(-15*(E948+6)))</f>
        <v>-31.619472402513487</v>
      </c>
      <c r="U948" s="45">
        <f t="shared" si="282"/>
        <v>0</v>
      </c>
      <c r="V948" s="50">
        <f t="shared" si="283"/>
        <v>99999</v>
      </c>
      <c r="W948" s="45">
        <f t="shared" si="284"/>
        <v>0</v>
      </c>
      <c r="X948" s="45">
        <f>0.3*W948*Model!$B$9</f>
        <v>0</v>
      </c>
      <c r="Y948" s="33">
        <f>(S948-X948)/Model!$B$11</f>
        <v>0</v>
      </c>
      <c r="Z948" s="45" t="e">
        <f t="shared" si="285"/>
        <v>#DIV/0!</v>
      </c>
      <c r="AA948" s="56">
        <f>Y948/Model!$B$12*3600</f>
        <v>0</v>
      </c>
      <c r="AB948" s="50">
        <f t="shared" si="290"/>
        <v>0</v>
      </c>
      <c r="AC948" s="50">
        <f t="shared" si="294"/>
        <v>1800</v>
      </c>
      <c r="AD948" s="15">
        <f>IF(AE948=0, Model!$B$19, 0 )</f>
        <v>0</v>
      </c>
      <c r="AE948" s="50">
        <f>IF(AE947+AB947-AB948&lt;Model!$B$19*Model!$B$18, AE947+AB947-AB948,  0)</f>
        <v>443.63457370611354</v>
      </c>
      <c r="AF948" s="15">
        <f t="shared" si="286"/>
        <v>1</v>
      </c>
      <c r="AG948" s="50">
        <f t="shared" si="287"/>
        <v>0</v>
      </c>
    </row>
    <row r="949" spans="2:33" x14ac:dyDescent="0.25">
      <c r="B949" s="13">
        <f t="shared" si="288"/>
        <v>1</v>
      </c>
      <c r="C949" s="13">
        <f>B949+Model!$B$4</f>
        <v>3</v>
      </c>
      <c r="D949" s="13">
        <f t="shared" si="289"/>
        <v>1</v>
      </c>
      <c r="E949" s="13">
        <f t="shared" si="295"/>
        <v>3</v>
      </c>
      <c r="F949" s="14">
        <f>IF(AB949&gt;0, VLOOKUP(B949,Model!$A$40:$B$60, 2), 0)</f>
        <v>0</v>
      </c>
      <c r="G949" s="13">
        <f>IF(AB949&gt;0, VLOOKUP(B949,Model!$A$39:$C$58, 3), 0)</f>
        <v>0</v>
      </c>
      <c r="H949" s="13">
        <f t="shared" si="278"/>
        <v>0</v>
      </c>
      <c r="I949" s="46">
        <f>Model!$B$21*EXP((-0.029*9.81*F949)/(8.31*(273+J949)))</f>
        <v>104500</v>
      </c>
      <c r="J949" s="13">
        <f>IF(Model!$B$31="Summer",  IF(F949&lt;=2000,  Model!$B$20-Model!$B$35*F949/1000,  IF(F949&lt;Model!$B$36,  Model!$B$33-6.5*F949/1000,  Model!$B$38)),     IF(F949&lt;=2000,  Model!$B$20-Model!$B$35*F949/1000,  IF(F949&lt;Model!$B$36,  Model!$B$33-5.4*F949/1000,   Model!$B$38)))</f>
        <v>-20</v>
      </c>
      <c r="K949" s="13">
        <f t="shared" si="291"/>
        <v>253</v>
      </c>
      <c r="L949" s="46">
        <f>IF(AB948-AA948*(B949-B948)&gt;0, L948-Y948*(B949-B948)*3600-AD949*Model!$B$16, 0)</f>
        <v>0</v>
      </c>
      <c r="M949" s="57">
        <f t="shared" si="279"/>
        <v>0</v>
      </c>
      <c r="N949" s="57">
        <f>Model!$B$13*I949*K949/(Model!$B$13*I949-L949*287*K949)</f>
        <v>253</v>
      </c>
      <c r="O949" s="57">
        <f t="shared" si="280"/>
        <v>253</v>
      </c>
      <c r="P949" s="57">
        <f t="shared" si="281"/>
        <v>-10</v>
      </c>
      <c r="Q949" s="63">
        <f t="shared" si="292"/>
        <v>2.2579999999999999E-2</v>
      </c>
      <c r="R949" s="17">
        <f t="shared" si="293"/>
        <v>1.152E-5</v>
      </c>
      <c r="S949" s="46">
        <f>0.37*Model!$B$10*(Q949^2*(N949-K949)*I949/(R949*O949^2))^0.33333*(N949-K949)</f>
        <v>0</v>
      </c>
      <c r="T949" s="51">
        <f>Model!$B$32+(90-Model!$B$6)*SIN(RADIANS(-15*(E949+6)))</f>
        <v>-31.619472402513487</v>
      </c>
      <c r="U949" s="46">
        <f t="shared" si="282"/>
        <v>0</v>
      </c>
      <c r="V949" s="51">
        <f t="shared" si="283"/>
        <v>99999</v>
      </c>
      <c r="W949" s="46">
        <f t="shared" si="284"/>
        <v>0</v>
      </c>
      <c r="X949" s="46">
        <f>0.3*W949*Model!$B$9</f>
        <v>0</v>
      </c>
      <c r="Y949" s="17">
        <f>(S949-X949)/Model!$B$11</f>
        <v>0</v>
      </c>
      <c r="Z949" s="46" t="e">
        <f t="shared" si="285"/>
        <v>#DIV/0!</v>
      </c>
      <c r="AA949" s="57">
        <f>Y949/Model!$B$12*3600</f>
        <v>0</v>
      </c>
      <c r="AB949" s="51">
        <f t="shared" si="290"/>
        <v>0</v>
      </c>
      <c r="AC949" s="51">
        <f t="shared" si="294"/>
        <v>1800</v>
      </c>
      <c r="AD949" s="13">
        <f>IF(AE949=0, Model!$B$19, 0 )</f>
        <v>0</v>
      </c>
      <c r="AE949" s="51">
        <f>IF(AE948+AB948-AB949&lt;Model!$B$19*Model!$B$18, AE948+AB948-AB949,  0)</f>
        <v>443.63457370611354</v>
      </c>
      <c r="AF949" s="13">
        <f t="shared" si="286"/>
        <v>1</v>
      </c>
      <c r="AG949" s="50">
        <f t="shared" si="287"/>
        <v>0</v>
      </c>
    </row>
    <row r="950" spans="2:33" x14ac:dyDescent="0.25">
      <c r="B950" s="15">
        <f t="shared" si="288"/>
        <v>1</v>
      </c>
      <c r="C950" s="15">
        <f>B950+Model!$B$4</f>
        <v>3</v>
      </c>
      <c r="D950" s="15">
        <f t="shared" si="289"/>
        <v>1</v>
      </c>
      <c r="E950" s="15">
        <f t="shared" si="295"/>
        <v>3</v>
      </c>
      <c r="F950" s="16">
        <f>IF(AB950&gt;0, VLOOKUP(B950,Model!$A$40:$B$60, 2), 0)</f>
        <v>0</v>
      </c>
      <c r="G950" s="15">
        <f>IF(AB950&gt;0, VLOOKUP(B950,Model!$A$39:$C$58, 3), 0)</f>
        <v>0</v>
      </c>
      <c r="H950" s="15">
        <f t="shared" si="278"/>
        <v>0</v>
      </c>
      <c r="I950" s="45">
        <f>Model!$B$21*EXP((-0.029*9.81*F950)/(8.31*(273+J950)))</f>
        <v>104500</v>
      </c>
      <c r="J950" s="15">
        <f>IF(Model!$B$31="Summer",  IF(F950&lt;=2000,  Model!$B$20-Model!$B$35*F950/1000,  IF(F950&lt;Model!$B$36,  Model!$B$33-6.5*F950/1000,  Model!$B$38)),     IF(F950&lt;=2000,  Model!$B$20-Model!$B$35*F950/1000,  IF(F950&lt;Model!$B$36,  Model!$B$33-5.4*F950/1000,   Model!$B$38)))</f>
        <v>-20</v>
      </c>
      <c r="K950" s="15">
        <f t="shared" si="291"/>
        <v>253</v>
      </c>
      <c r="L950" s="45">
        <f>IF(AB949-AA949*(B950-B949)&gt;0, L949-Y949*(B950-B949)*3600-AD950*Model!$B$16, 0)</f>
        <v>0</v>
      </c>
      <c r="M950" s="56">
        <f t="shared" si="279"/>
        <v>0</v>
      </c>
      <c r="N950" s="56">
        <f>Model!$B$13*I950*K950/(Model!$B$13*I950-L950*287*K950)</f>
        <v>253</v>
      </c>
      <c r="O950" s="56">
        <f t="shared" si="280"/>
        <v>253</v>
      </c>
      <c r="P950" s="56">
        <f t="shared" si="281"/>
        <v>-10</v>
      </c>
      <c r="Q950" s="62">
        <f t="shared" si="292"/>
        <v>2.2579999999999999E-2</v>
      </c>
      <c r="R950" s="33">
        <f t="shared" si="293"/>
        <v>1.152E-5</v>
      </c>
      <c r="S950" s="45">
        <f>0.37*Model!$B$10*(Q950^2*(N950-K950)*I950/(R950*O950^2))^0.33333*(N950-K950)</f>
        <v>0</v>
      </c>
      <c r="T950" s="50">
        <f>Model!$B$32+(90-Model!$B$6)*SIN(RADIANS(-15*(E950+6)))</f>
        <v>-31.619472402513487</v>
      </c>
      <c r="U950" s="45">
        <f t="shared" si="282"/>
        <v>0</v>
      </c>
      <c r="V950" s="50">
        <f t="shared" si="283"/>
        <v>99999</v>
      </c>
      <c r="W950" s="45">
        <f t="shared" si="284"/>
        <v>0</v>
      </c>
      <c r="X950" s="45">
        <f>0.3*W950*Model!$B$9</f>
        <v>0</v>
      </c>
      <c r="Y950" s="33">
        <f>(S950-X950)/Model!$B$11</f>
        <v>0</v>
      </c>
      <c r="Z950" s="45" t="e">
        <f t="shared" si="285"/>
        <v>#DIV/0!</v>
      </c>
      <c r="AA950" s="56">
        <f>Y950/Model!$B$12*3600</f>
        <v>0</v>
      </c>
      <c r="AB950" s="50">
        <f t="shared" si="290"/>
        <v>0</v>
      </c>
      <c r="AC950" s="50">
        <f t="shared" si="294"/>
        <v>1800</v>
      </c>
      <c r="AD950" s="15">
        <f>IF(AE950=0, Model!$B$19, 0 )</f>
        <v>0</v>
      </c>
      <c r="AE950" s="50">
        <f>IF(AE949+AB949-AB950&lt;Model!$B$19*Model!$B$18, AE949+AB949-AB950,  0)</f>
        <v>443.63457370611354</v>
      </c>
      <c r="AF950" s="15">
        <f t="shared" si="286"/>
        <v>1</v>
      </c>
      <c r="AG950" s="50">
        <f t="shared" si="287"/>
        <v>0</v>
      </c>
    </row>
    <row r="951" spans="2:33" x14ac:dyDescent="0.25">
      <c r="B951" s="13">
        <f t="shared" si="288"/>
        <v>1</v>
      </c>
      <c r="C951" s="13">
        <f>B951+Model!$B$4</f>
        <v>3</v>
      </c>
      <c r="D951" s="13">
        <f t="shared" si="289"/>
        <v>1</v>
      </c>
      <c r="E951" s="13">
        <f t="shared" si="295"/>
        <v>3</v>
      </c>
      <c r="F951" s="14">
        <f>IF(AB951&gt;0, VLOOKUP(B951,Model!$A$40:$B$60, 2), 0)</f>
        <v>0</v>
      </c>
      <c r="G951" s="13">
        <f>IF(AB951&gt;0, VLOOKUP(B951,Model!$A$39:$C$58, 3), 0)</f>
        <v>0</v>
      </c>
      <c r="H951" s="13">
        <f t="shared" si="278"/>
        <v>0</v>
      </c>
      <c r="I951" s="46">
        <f>Model!$B$21*EXP((-0.029*9.81*F951)/(8.31*(273+J951)))</f>
        <v>104500</v>
      </c>
      <c r="J951" s="13">
        <f>IF(Model!$B$31="Summer",  IF(F951&lt;=2000,  Model!$B$20-Model!$B$35*F951/1000,  IF(F951&lt;Model!$B$36,  Model!$B$33-6.5*F951/1000,  Model!$B$38)),     IF(F951&lt;=2000,  Model!$B$20-Model!$B$35*F951/1000,  IF(F951&lt;Model!$B$36,  Model!$B$33-5.4*F951/1000,   Model!$B$38)))</f>
        <v>-20</v>
      </c>
      <c r="K951" s="13">
        <f t="shared" si="291"/>
        <v>253</v>
      </c>
      <c r="L951" s="46">
        <f>IF(AB950-AA950*(B951-B950)&gt;0, L950-Y950*(B951-B950)*3600-AD951*Model!$B$16, 0)</f>
        <v>0</v>
      </c>
      <c r="M951" s="57">
        <f t="shared" si="279"/>
        <v>0</v>
      </c>
      <c r="N951" s="57">
        <f>Model!$B$13*I951*K951/(Model!$B$13*I951-L951*287*K951)</f>
        <v>253</v>
      </c>
      <c r="O951" s="57">
        <f t="shared" si="280"/>
        <v>253</v>
      </c>
      <c r="P951" s="57">
        <f t="shared" si="281"/>
        <v>-10</v>
      </c>
      <c r="Q951" s="63">
        <f t="shared" si="292"/>
        <v>2.2579999999999999E-2</v>
      </c>
      <c r="R951" s="17">
        <f t="shared" si="293"/>
        <v>1.152E-5</v>
      </c>
      <c r="S951" s="46">
        <f>0.37*Model!$B$10*(Q951^2*(N951-K951)*I951/(R951*O951^2))^0.33333*(N951-K951)</f>
        <v>0</v>
      </c>
      <c r="T951" s="51">
        <f>Model!$B$32+(90-Model!$B$6)*SIN(RADIANS(-15*(E951+6)))</f>
        <v>-31.619472402513487</v>
      </c>
      <c r="U951" s="46">
        <f t="shared" si="282"/>
        <v>0</v>
      </c>
      <c r="V951" s="51">
        <f t="shared" si="283"/>
        <v>99999</v>
      </c>
      <c r="W951" s="46">
        <f t="shared" si="284"/>
        <v>0</v>
      </c>
      <c r="X951" s="46">
        <f>0.3*W951*Model!$B$9</f>
        <v>0</v>
      </c>
      <c r="Y951" s="17">
        <f>(S951-X951)/Model!$B$11</f>
        <v>0</v>
      </c>
      <c r="Z951" s="46" t="e">
        <f t="shared" si="285"/>
        <v>#DIV/0!</v>
      </c>
      <c r="AA951" s="57">
        <f>Y951/Model!$B$12*3600</f>
        <v>0</v>
      </c>
      <c r="AB951" s="51">
        <f t="shared" si="290"/>
        <v>0</v>
      </c>
      <c r="AC951" s="51">
        <f t="shared" si="294"/>
        <v>1800</v>
      </c>
      <c r="AD951" s="13">
        <f>IF(AE951=0, Model!$B$19, 0 )</f>
        <v>0</v>
      </c>
      <c r="AE951" s="51">
        <f>IF(AE950+AB950-AB951&lt;Model!$B$19*Model!$B$18, AE950+AB950-AB951,  0)</f>
        <v>443.63457370611354</v>
      </c>
      <c r="AF951" s="13">
        <f t="shared" si="286"/>
        <v>1</v>
      </c>
      <c r="AG951" s="50">
        <f t="shared" si="287"/>
        <v>0</v>
      </c>
    </row>
    <row r="952" spans="2:33" x14ac:dyDescent="0.25">
      <c r="B952" s="15">
        <f t="shared" si="288"/>
        <v>1</v>
      </c>
      <c r="C952" s="15">
        <f>B952+Model!$B$4</f>
        <v>3</v>
      </c>
      <c r="D952" s="15">
        <f t="shared" si="289"/>
        <v>1</v>
      </c>
      <c r="E952" s="15">
        <f t="shared" si="295"/>
        <v>3</v>
      </c>
      <c r="F952" s="16">
        <f>IF(AB952&gt;0, VLOOKUP(B952,Model!$A$40:$B$60, 2), 0)</f>
        <v>0</v>
      </c>
      <c r="G952" s="15">
        <f>IF(AB952&gt;0, VLOOKUP(B952,Model!$A$39:$C$58, 3), 0)</f>
        <v>0</v>
      </c>
      <c r="H952" s="15">
        <f t="shared" si="278"/>
        <v>0</v>
      </c>
      <c r="I952" s="45">
        <f>Model!$B$21*EXP((-0.029*9.81*F952)/(8.31*(273+J952)))</f>
        <v>104500</v>
      </c>
      <c r="J952" s="15">
        <f>IF(Model!$B$31="Summer",  IF(F952&lt;=2000,  Model!$B$20-Model!$B$35*F952/1000,  IF(F952&lt;Model!$B$36,  Model!$B$33-6.5*F952/1000,  Model!$B$38)),     IF(F952&lt;=2000,  Model!$B$20-Model!$B$35*F952/1000,  IF(F952&lt;Model!$B$36,  Model!$B$33-5.4*F952/1000,   Model!$B$38)))</f>
        <v>-20</v>
      </c>
      <c r="K952" s="15">
        <f t="shared" si="291"/>
        <v>253</v>
      </c>
      <c r="L952" s="45">
        <f>IF(AB951-AA951*(B952-B951)&gt;0, L951-Y951*(B952-B951)*3600-AD952*Model!$B$16, 0)</f>
        <v>0</v>
      </c>
      <c r="M952" s="56">
        <f t="shared" si="279"/>
        <v>0</v>
      </c>
      <c r="N952" s="56">
        <f>Model!$B$13*I952*K952/(Model!$B$13*I952-L952*287*K952)</f>
        <v>253</v>
      </c>
      <c r="O952" s="56">
        <f t="shared" si="280"/>
        <v>253</v>
      </c>
      <c r="P952" s="56">
        <f t="shared" si="281"/>
        <v>-10</v>
      </c>
      <c r="Q952" s="62">
        <f t="shared" si="292"/>
        <v>2.2579999999999999E-2</v>
      </c>
      <c r="R952" s="33">
        <f t="shared" si="293"/>
        <v>1.152E-5</v>
      </c>
      <c r="S952" s="45">
        <f>0.37*Model!$B$10*(Q952^2*(N952-K952)*I952/(R952*O952^2))^0.33333*(N952-K952)</f>
        <v>0</v>
      </c>
      <c r="T952" s="50">
        <f>Model!$B$32+(90-Model!$B$6)*SIN(RADIANS(-15*(E952+6)))</f>
        <v>-31.619472402513487</v>
      </c>
      <c r="U952" s="45">
        <f t="shared" si="282"/>
        <v>0</v>
      </c>
      <c r="V952" s="50">
        <f t="shared" si="283"/>
        <v>99999</v>
      </c>
      <c r="W952" s="45">
        <f t="shared" si="284"/>
        <v>0</v>
      </c>
      <c r="X952" s="45">
        <f>0.3*W952*Model!$B$9</f>
        <v>0</v>
      </c>
      <c r="Y952" s="33">
        <f>(S952-X952)/Model!$B$11</f>
        <v>0</v>
      </c>
      <c r="Z952" s="45" t="e">
        <f t="shared" si="285"/>
        <v>#DIV/0!</v>
      </c>
      <c r="AA952" s="56">
        <f>Y952/Model!$B$12*3600</f>
        <v>0</v>
      </c>
      <c r="AB952" s="50">
        <f t="shared" si="290"/>
        <v>0</v>
      </c>
      <c r="AC952" s="50">
        <f t="shared" si="294"/>
        <v>1800</v>
      </c>
      <c r="AD952" s="15">
        <f>IF(AE952=0, Model!$B$19, 0 )</f>
        <v>0</v>
      </c>
      <c r="AE952" s="50">
        <f>IF(AE951+AB951-AB952&lt;Model!$B$19*Model!$B$18, AE951+AB951-AB952,  0)</f>
        <v>443.63457370611354</v>
      </c>
      <c r="AF952" s="15">
        <f t="shared" si="286"/>
        <v>1</v>
      </c>
      <c r="AG952" s="50">
        <f t="shared" si="287"/>
        <v>0</v>
      </c>
    </row>
    <row r="953" spans="2:33" x14ac:dyDescent="0.25">
      <c r="B953" s="13">
        <f t="shared" si="288"/>
        <v>1</v>
      </c>
      <c r="C953" s="13">
        <f>B953+Model!$B$4</f>
        <v>3</v>
      </c>
      <c r="D953" s="13">
        <f t="shared" si="289"/>
        <v>1</v>
      </c>
      <c r="E953" s="13">
        <f t="shared" si="295"/>
        <v>3</v>
      </c>
      <c r="F953" s="14">
        <f>IF(AB953&gt;0, VLOOKUP(B953,Model!$A$40:$B$60, 2), 0)</f>
        <v>0</v>
      </c>
      <c r="G953" s="13">
        <f>IF(AB953&gt;0, VLOOKUP(B953,Model!$A$39:$C$58, 3), 0)</f>
        <v>0</v>
      </c>
      <c r="H953" s="13">
        <f t="shared" si="278"/>
        <v>0</v>
      </c>
      <c r="I953" s="46">
        <f>Model!$B$21*EXP((-0.029*9.81*F953)/(8.31*(273+J953)))</f>
        <v>104500</v>
      </c>
      <c r="J953" s="13">
        <f>IF(Model!$B$31="Summer",  IF(F953&lt;=2000,  Model!$B$20-Model!$B$35*F953/1000,  IF(F953&lt;Model!$B$36,  Model!$B$33-6.5*F953/1000,  Model!$B$38)),     IF(F953&lt;=2000,  Model!$B$20-Model!$B$35*F953/1000,  IF(F953&lt;Model!$B$36,  Model!$B$33-5.4*F953/1000,   Model!$B$38)))</f>
        <v>-20</v>
      </c>
      <c r="K953" s="13">
        <f t="shared" si="291"/>
        <v>253</v>
      </c>
      <c r="L953" s="46">
        <f>IF(AB952-AA952*(B953-B952)&gt;0, L952-Y952*(B953-B952)*3600-AD953*Model!$B$16, 0)</f>
        <v>0</v>
      </c>
      <c r="M953" s="57">
        <f t="shared" si="279"/>
        <v>0</v>
      </c>
      <c r="N953" s="57">
        <f>Model!$B$13*I953*K953/(Model!$B$13*I953-L953*287*K953)</f>
        <v>253</v>
      </c>
      <c r="O953" s="57">
        <f t="shared" si="280"/>
        <v>253</v>
      </c>
      <c r="P953" s="57">
        <f t="shared" si="281"/>
        <v>-10</v>
      </c>
      <c r="Q953" s="63">
        <f t="shared" si="292"/>
        <v>2.2579999999999999E-2</v>
      </c>
      <c r="R953" s="17">
        <f t="shared" si="293"/>
        <v>1.152E-5</v>
      </c>
      <c r="S953" s="46">
        <f>0.37*Model!$B$10*(Q953^2*(N953-K953)*I953/(R953*O953^2))^0.33333*(N953-K953)</f>
        <v>0</v>
      </c>
      <c r="T953" s="51">
        <f>Model!$B$32+(90-Model!$B$6)*SIN(RADIANS(-15*(E953+6)))</f>
        <v>-31.619472402513487</v>
      </c>
      <c r="U953" s="46">
        <f t="shared" si="282"/>
        <v>0</v>
      </c>
      <c r="V953" s="51">
        <f t="shared" si="283"/>
        <v>99999</v>
      </c>
      <c r="W953" s="46">
        <f t="shared" si="284"/>
        <v>0</v>
      </c>
      <c r="X953" s="46">
        <f>0.3*W953*Model!$B$9</f>
        <v>0</v>
      </c>
      <c r="Y953" s="17">
        <f>(S953-X953)/Model!$B$11</f>
        <v>0</v>
      </c>
      <c r="Z953" s="46" t="e">
        <f t="shared" si="285"/>
        <v>#DIV/0!</v>
      </c>
      <c r="AA953" s="57">
        <f>Y953/Model!$B$12*3600</f>
        <v>0</v>
      </c>
      <c r="AB953" s="51">
        <f t="shared" si="290"/>
        <v>0</v>
      </c>
      <c r="AC953" s="51">
        <f t="shared" si="294"/>
        <v>1800</v>
      </c>
      <c r="AD953" s="13">
        <f>IF(AE953=0, Model!$B$19, 0 )</f>
        <v>0</v>
      </c>
      <c r="AE953" s="51">
        <f>IF(AE952+AB952-AB953&lt;Model!$B$19*Model!$B$18, AE952+AB952-AB953,  0)</f>
        <v>443.63457370611354</v>
      </c>
      <c r="AF953" s="13">
        <f t="shared" si="286"/>
        <v>1</v>
      </c>
      <c r="AG953" s="50">
        <f t="shared" si="287"/>
        <v>0</v>
      </c>
    </row>
    <row r="954" spans="2:33" x14ac:dyDescent="0.25">
      <c r="B954" s="15">
        <f t="shared" si="288"/>
        <v>1</v>
      </c>
      <c r="C954" s="15">
        <f>B954+Model!$B$4</f>
        <v>3</v>
      </c>
      <c r="D954" s="15">
        <f t="shared" si="289"/>
        <v>1</v>
      </c>
      <c r="E954" s="15">
        <f t="shared" si="295"/>
        <v>3</v>
      </c>
      <c r="F954" s="16">
        <f>IF(AB954&gt;0, VLOOKUP(B954,Model!$A$40:$B$60, 2), 0)</f>
        <v>0</v>
      </c>
      <c r="G954" s="15">
        <f>IF(AB954&gt;0, VLOOKUP(B954,Model!$A$39:$C$58, 3), 0)</f>
        <v>0</v>
      </c>
      <c r="H954" s="15">
        <f t="shared" si="278"/>
        <v>0</v>
      </c>
      <c r="I954" s="45">
        <f>Model!$B$21*EXP((-0.029*9.81*F954)/(8.31*(273+J954)))</f>
        <v>104500</v>
      </c>
      <c r="J954" s="15">
        <f>IF(Model!$B$31="Summer",  IF(F954&lt;=2000,  Model!$B$20-Model!$B$35*F954/1000,  IF(F954&lt;Model!$B$36,  Model!$B$33-6.5*F954/1000,  Model!$B$38)),     IF(F954&lt;=2000,  Model!$B$20-Model!$B$35*F954/1000,  IF(F954&lt;Model!$B$36,  Model!$B$33-5.4*F954/1000,   Model!$B$38)))</f>
        <v>-20</v>
      </c>
      <c r="K954" s="15">
        <f t="shared" si="291"/>
        <v>253</v>
      </c>
      <c r="L954" s="45">
        <f>IF(AB953-AA953*(B954-B953)&gt;0, L953-Y953*(B954-B953)*3600-AD954*Model!$B$16, 0)</f>
        <v>0</v>
      </c>
      <c r="M954" s="56">
        <f t="shared" si="279"/>
        <v>0</v>
      </c>
      <c r="N954" s="56">
        <f>Model!$B$13*I954*K954/(Model!$B$13*I954-L954*287*K954)</f>
        <v>253</v>
      </c>
      <c r="O954" s="56">
        <f t="shared" si="280"/>
        <v>253</v>
      </c>
      <c r="P954" s="56">
        <f t="shared" si="281"/>
        <v>-10</v>
      </c>
      <c r="Q954" s="62">
        <f t="shared" si="292"/>
        <v>2.2579999999999999E-2</v>
      </c>
      <c r="R954" s="33">
        <f t="shared" si="293"/>
        <v>1.152E-5</v>
      </c>
      <c r="S954" s="45">
        <f>0.37*Model!$B$10*(Q954^2*(N954-K954)*I954/(R954*O954^2))^0.33333*(N954-K954)</f>
        <v>0</v>
      </c>
      <c r="T954" s="50">
        <f>Model!$B$32+(90-Model!$B$6)*SIN(RADIANS(-15*(E954+6)))</f>
        <v>-31.619472402513487</v>
      </c>
      <c r="U954" s="45">
        <f t="shared" si="282"/>
        <v>0</v>
      </c>
      <c r="V954" s="50">
        <f t="shared" si="283"/>
        <v>99999</v>
      </c>
      <c r="W954" s="45">
        <f t="shared" si="284"/>
        <v>0</v>
      </c>
      <c r="X954" s="45">
        <f>0.3*W954*Model!$B$9</f>
        <v>0</v>
      </c>
      <c r="Y954" s="33">
        <f>(S954-X954)/Model!$B$11</f>
        <v>0</v>
      </c>
      <c r="Z954" s="45" t="e">
        <f t="shared" si="285"/>
        <v>#DIV/0!</v>
      </c>
      <c r="AA954" s="56">
        <f>Y954/Model!$B$12*3600</f>
        <v>0</v>
      </c>
      <c r="AB954" s="50">
        <f t="shared" si="290"/>
        <v>0</v>
      </c>
      <c r="AC954" s="50">
        <f t="shared" si="294"/>
        <v>1800</v>
      </c>
      <c r="AD954" s="15">
        <f>IF(AE954=0, Model!$B$19, 0 )</f>
        <v>0</v>
      </c>
      <c r="AE954" s="50">
        <f>IF(AE953+AB953-AB954&lt;Model!$B$19*Model!$B$18, AE953+AB953-AB954,  0)</f>
        <v>443.63457370611354</v>
      </c>
      <c r="AF954" s="15">
        <f t="shared" si="286"/>
        <v>1</v>
      </c>
      <c r="AG954" s="50">
        <f t="shared" si="287"/>
        <v>0</v>
      </c>
    </row>
    <row r="955" spans="2:33" x14ac:dyDescent="0.25">
      <c r="B955" s="13">
        <f t="shared" si="288"/>
        <v>1</v>
      </c>
      <c r="C955" s="13">
        <f>B955+Model!$B$4</f>
        <v>3</v>
      </c>
      <c r="D955" s="13">
        <f t="shared" si="289"/>
        <v>1</v>
      </c>
      <c r="E955" s="13">
        <f t="shared" si="295"/>
        <v>3</v>
      </c>
      <c r="F955" s="14">
        <f>IF(AB955&gt;0, VLOOKUP(B955,Model!$A$40:$B$60, 2), 0)</f>
        <v>0</v>
      </c>
      <c r="G955" s="13">
        <f>IF(AB955&gt;0, VLOOKUP(B955,Model!$A$39:$C$58, 3), 0)</f>
        <v>0</v>
      </c>
      <c r="H955" s="13">
        <f t="shared" si="278"/>
        <v>0</v>
      </c>
      <c r="I955" s="46">
        <f>Model!$B$21*EXP((-0.029*9.81*F955)/(8.31*(273+J955)))</f>
        <v>104500</v>
      </c>
      <c r="J955" s="13">
        <f>IF(Model!$B$31="Summer",  IF(F955&lt;=2000,  Model!$B$20-Model!$B$35*F955/1000,  IF(F955&lt;Model!$B$36,  Model!$B$33-6.5*F955/1000,  Model!$B$38)),     IF(F955&lt;=2000,  Model!$B$20-Model!$B$35*F955/1000,  IF(F955&lt;Model!$B$36,  Model!$B$33-5.4*F955/1000,   Model!$B$38)))</f>
        <v>-20</v>
      </c>
      <c r="K955" s="13">
        <f t="shared" si="291"/>
        <v>253</v>
      </c>
      <c r="L955" s="46">
        <f>IF(AB954-AA954*(B955-B954)&gt;0, L954-Y954*(B955-B954)*3600-AD955*Model!$B$16, 0)</f>
        <v>0</v>
      </c>
      <c r="M955" s="57">
        <f t="shared" si="279"/>
        <v>0</v>
      </c>
      <c r="N955" s="57">
        <f>Model!$B$13*I955*K955/(Model!$B$13*I955-L955*287*K955)</f>
        <v>253</v>
      </c>
      <c r="O955" s="57">
        <f t="shared" si="280"/>
        <v>253</v>
      </c>
      <c r="P955" s="57">
        <f t="shared" si="281"/>
        <v>-10</v>
      </c>
      <c r="Q955" s="63">
        <f t="shared" si="292"/>
        <v>2.2579999999999999E-2</v>
      </c>
      <c r="R955" s="17">
        <f t="shared" si="293"/>
        <v>1.152E-5</v>
      </c>
      <c r="S955" s="46">
        <f>0.37*Model!$B$10*(Q955^2*(N955-K955)*I955/(R955*O955^2))^0.33333*(N955-K955)</f>
        <v>0</v>
      </c>
      <c r="T955" s="51">
        <f>Model!$B$32+(90-Model!$B$6)*SIN(RADIANS(-15*(E955+6)))</f>
        <v>-31.619472402513487</v>
      </c>
      <c r="U955" s="46">
        <f t="shared" si="282"/>
        <v>0</v>
      </c>
      <c r="V955" s="51">
        <f t="shared" si="283"/>
        <v>99999</v>
      </c>
      <c r="W955" s="46">
        <f t="shared" si="284"/>
        <v>0</v>
      </c>
      <c r="X955" s="46">
        <f>0.3*W955*Model!$B$9</f>
        <v>0</v>
      </c>
      <c r="Y955" s="17">
        <f>(S955-X955)/Model!$B$11</f>
        <v>0</v>
      </c>
      <c r="Z955" s="46" t="e">
        <f t="shared" si="285"/>
        <v>#DIV/0!</v>
      </c>
      <c r="AA955" s="57">
        <f>Y955/Model!$B$12*3600</f>
        <v>0</v>
      </c>
      <c r="AB955" s="51">
        <f t="shared" si="290"/>
        <v>0</v>
      </c>
      <c r="AC955" s="51">
        <f t="shared" si="294"/>
        <v>1800</v>
      </c>
      <c r="AD955" s="13">
        <f>IF(AE955=0, Model!$B$19, 0 )</f>
        <v>0</v>
      </c>
      <c r="AE955" s="51">
        <f>IF(AE954+AB954-AB955&lt;Model!$B$19*Model!$B$18, AE954+AB954-AB955,  0)</f>
        <v>443.63457370611354</v>
      </c>
      <c r="AF955" s="13">
        <f t="shared" si="286"/>
        <v>1</v>
      </c>
      <c r="AG955" s="50">
        <f t="shared" si="287"/>
        <v>0</v>
      </c>
    </row>
    <row r="956" spans="2:33" x14ac:dyDescent="0.25">
      <c r="B956" s="15">
        <f t="shared" si="288"/>
        <v>1</v>
      </c>
      <c r="C956" s="15">
        <f>B956+Model!$B$4</f>
        <v>3</v>
      </c>
      <c r="D956" s="15">
        <f t="shared" si="289"/>
        <v>1</v>
      </c>
      <c r="E956" s="15">
        <f t="shared" si="295"/>
        <v>3</v>
      </c>
      <c r="F956" s="16">
        <f>IF(AB956&gt;0, VLOOKUP(B956,Model!$A$40:$B$60, 2), 0)</f>
        <v>0</v>
      </c>
      <c r="G956" s="15">
        <f>IF(AB956&gt;0, VLOOKUP(B956,Model!$A$39:$C$58, 3), 0)</f>
        <v>0</v>
      </c>
      <c r="H956" s="15">
        <f t="shared" si="278"/>
        <v>0</v>
      </c>
      <c r="I956" s="45">
        <f>Model!$B$21*EXP((-0.029*9.81*F956)/(8.31*(273+J956)))</f>
        <v>104500</v>
      </c>
      <c r="J956" s="15">
        <f>IF(Model!$B$31="Summer",  IF(F956&lt;=2000,  Model!$B$20-Model!$B$35*F956/1000,  IF(F956&lt;Model!$B$36,  Model!$B$33-6.5*F956/1000,  Model!$B$38)),     IF(F956&lt;=2000,  Model!$B$20-Model!$B$35*F956/1000,  IF(F956&lt;Model!$B$36,  Model!$B$33-5.4*F956/1000,   Model!$B$38)))</f>
        <v>-20</v>
      </c>
      <c r="K956" s="15">
        <f t="shared" si="291"/>
        <v>253</v>
      </c>
      <c r="L956" s="45">
        <f>IF(AB955-AA955*(B956-B955)&gt;0, L955-Y955*(B956-B955)*3600-AD956*Model!$B$16, 0)</f>
        <v>0</v>
      </c>
      <c r="M956" s="56">
        <f t="shared" si="279"/>
        <v>0</v>
      </c>
      <c r="N956" s="56">
        <f>Model!$B$13*I956*K956/(Model!$B$13*I956-L956*287*K956)</f>
        <v>253</v>
      </c>
      <c r="O956" s="56">
        <f t="shared" si="280"/>
        <v>253</v>
      </c>
      <c r="P956" s="56">
        <f t="shared" si="281"/>
        <v>-10</v>
      </c>
      <c r="Q956" s="62">
        <f t="shared" si="292"/>
        <v>2.2579999999999999E-2</v>
      </c>
      <c r="R956" s="33">
        <f t="shared" si="293"/>
        <v>1.152E-5</v>
      </c>
      <c r="S956" s="45">
        <f>0.37*Model!$B$10*(Q956^2*(N956-K956)*I956/(R956*O956^2))^0.33333*(N956-K956)</f>
        <v>0</v>
      </c>
      <c r="T956" s="50">
        <f>Model!$B$32+(90-Model!$B$6)*SIN(RADIANS(-15*(E956+6)))</f>
        <v>-31.619472402513487</v>
      </c>
      <c r="U956" s="45">
        <f t="shared" si="282"/>
        <v>0</v>
      </c>
      <c r="V956" s="50">
        <f t="shared" si="283"/>
        <v>99999</v>
      </c>
      <c r="W956" s="45">
        <f t="shared" si="284"/>
        <v>0</v>
      </c>
      <c r="X956" s="45">
        <f>0.3*W956*Model!$B$9</f>
        <v>0</v>
      </c>
      <c r="Y956" s="33">
        <f>(S956-X956)/Model!$B$11</f>
        <v>0</v>
      </c>
      <c r="Z956" s="45" t="e">
        <f t="shared" si="285"/>
        <v>#DIV/0!</v>
      </c>
      <c r="AA956" s="56">
        <f>Y956/Model!$B$12*3600</f>
        <v>0</v>
      </c>
      <c r="AB956" s="50">
        <f t="shared" si="290"/>
        <v>0</v>
      </c>
      <c r="AC956" s="50">
        <f t="shared" si="294"/>
        <v>1800</v>
      </c>
      <c r="AD956" s="15">
        <f>IF(AE956=0, Model!$B$19, 0 )</f>
        <v>0</v>
      </c>
      <c r="AE956" s="50">
        <f>IF(AE955+AB955-AB956&lt;Model!$B$19*Model!$B$18, AE955+AB955-AB956,  0)</f>
        <v>443.63457370611354</v>
      </c>
      <c r="AF956" s="15">
        <f t="shared" si="286"/>
        <v>1</v>
      </c>
      <c r="AG956" s="50">
        <f t="shared" si="287"/>
        <v>0</v>
      </c>
    </row>
    <row r="957" spans="2:33" x14ac:dyDescent="0.25">
      <c r="B957" s="13">
        <f t="shared" si="288"/>
        <v>1</v>
      </c>
      <c r="C957" s="13">
        <f>B957+Model!$B$4</f>
        <v>3</v>
      </c>
      <c r="D957" s="13">
        <f t="shared" si="289"/>
        <v>1</v>
      </c>
      <c r="E957" s="13">
        <f t="shared" si="295"/>
        <v>3</v>
      </c>
      <c r="F957" s="14">
        <f>IF(AB957&gt;0, VLOOKUP(B957,Model!$A$40:$B$60, 2), 0)</f>
        <v>0</v>
      </c>
      <c r="G957" s="13">
        <f>IF(AB957&gt;0, VLOOKUP(B957,Model!$A$39:$C$58, 3), 0)</f>
        <v>0</v>
      </c>
      <c r="H957" s="13">
        <f t="shared" si="278"/>
        <v>0</v>
      </c>
      <c r="I957" s="46">
        <f>Model!$B$21*EXP((-0.029*9.81*F957)/(8.31*(273+J957)))</f>
        <v>104500</v>
      </c>
      <c r="J957" s="13">
        <f>IF(Model!$B$31="Summer",  IF(F957&lt;=2000,  Model!$B$20-Model!$B$35*F957/1000,  IF(F957&lt;Model!$B$36,  Model!$B$33-6.5*F957/1000,  Model!$B$38)),     IF(F957&lt;=2000,  Model!$B$20-Model!$B$35*F957/1000,  IF(F957&lt;Model!$B$36,  Model!$B$33-5.4*F957/1000,   Model!$B$38)))</f>
        <v>-20</v>
      </c>
      <c r="K957" s="13">
        <f t="shared" si="291"/>
        <v>253</v>
      </c>
      <c r="L957" s="46">
        <f>IF(AB956-AA956*(B957-B956)&gt;0, L956-Y956*(B957-B956)*3600-AD957*Model!$B$16, 0)</f>
        <v>0</v>
      </c>
      <c r="M957" s="57">
        <f t="shared" si="279"/>
        <v>0</v>
      </c>
      <c r="N957" s="57">
        <f>Model!$B$13*I957*K957/(Model!$B$13*I957-L957*287*K957)</f>
        <v>253</v>
      </c>
      <c r="O957" s="57">
        <f t="shared" si="280"/>
        <v>253</v>
      </c>
      <c r="P957" s="57">
        <f t="shared" si="281"/>
        <v>-10</v>
      </c>
      <c r="Q957" s="63">
        <f t="shared" si="292"/>
        <v>2.2579999999999999E-2</v>
      </c>
      <c r="R957" s="17">
        <f t="shared" si="293"/>
        <v>1.152E-5</v>
      </c>
      <c r="S957" s="46">
        <f>0.37*Model!$B$10*(Q957^2*(N957-K957)*I957/(R957*O957^2))^0.33333*(N957-K957)</f>
        <v>0</v>
      </c>
      <c r="T957" s="51">
        <f>Model!$B$32+(90-Model!$B$6)*SIN(RADIANS(-15*(E957+6)))</f>
        <v>-31.619472402513487</v>
      </c>
      <c r="U957" s="46">
        <f t="shared" si="282"/>
        <v>0</v>
      </c>
      <c r="V957" s="51">
        <f t="shared" si="283"/>
        <v>99999</v>
      </c>
      <c r="W957" s="46">
        <f t="shared" si="284"/>
        <v>0</v>
      </c>
      <c r="X957" s="46">
        <f>0.3*W957*Model!$B$9</f>
        <v>0</v>
      </c>
      <c r="Y957" s="17">
        <f>(S957-X957)/Model!$B$11</f>
        <v>0</v>
      </c>
      <c r="Z957" s="46" t="e">
        <f t="shared" si="285"/>
        <v>#DIV/0!</v>
      </c>
      <c r="AA957" s="57">
        <f>Y957/Model!$B$12*3600</f>
        <v>0</v>
      </c>
      <c r="AB957" s="51">
        <f t="shared" si="290"/>
        <v>0</v>
      </c>
      <c r="AC957" s="51">
        <f t="shared" si="294"/>
        <v>1800</v>
      </c>
      <c r="AD957" s="13">
        <f>IF(AE957=0, Model!$B$19, 0 )</f>
        <v>0</v>
      </c>
      <c r="AE957" s="51">
        <f>IF(AE956+AB956-AB957&lt;Model!$B$19*Model!$B$18, AE956+AB956-AB957,  0)</f>
        <v>443.63457370611354</v>
      </c>
      <c r="AF957" s="13">
        <f t="shared" si="286"/>
        <v>1</v>
      </c>
      <c r="AG957" s="50">
        <f t="shared" si="287"/>
        <v>0</v>
      </c>
    </row>
    <row r="958" spans="2:33" x14ac:dyDescent="0.25">
      <c r="B958" s="15">
        <f t="shared" si="288"/>
        <v>1</v>
      </c>
      <c r="C958" s="15">
        <f>B958+Model!$B$4</f>
        <v>3</v>
      </c>
      <c r="D958" s="15">
        <f t="shared" si="289"/>
        <v>1</v>
      </c>
      <c r="E958" s="15">
        <f t="shared" si="295"/>
        <v>3</v>
      </c>
      <c r="F958" s="16">
        <f>IF(AB958&gt;0, VLOOKUP(B958,Model!$A$40:$B$60, 2), 0)</f>
        <v>0</v>
      </c>
      <c r="G958" s="15">
        <f>IF(AB958&gt;0, VLOOKUP(B958,Model!$A$39:$C$58, 3), 0)</f>
        <v>0</v>
      </c>
      <c r="H958" s="15">
        <f t="shared" si="278"/>
        <v>0</v>
      </c>
      <c r="I958" s="45">
        <f>Model!$B$21*EXP((-0.029*9.81*F958)/(8.31*(273+J958)))</f>
        <v>104500</v>
      </c>
      <c r="J958" s="15">
        <f>IF(Model!$B$31="Summer",  IF(F958&lt;=2000,  Model!$B$20-Model!$B$35*F958/1000,  IF(F958&lt;Model!$B$36,  Model!$B$33-6.5*F958/1000,  Model!$B$38)),     IF(F958&lt;=2000,  Model!$B$20-Model!$B$35*F958/1000,  IF(F958&lt;Model!$B$36,  Model!$B$33-5.4*F958/1000,   Model!$B$38)))</f>
        <v>-20</v>
      </c>
      <c r="K958" s="15">
        <f t="shared" si="291"/>
        <v>253</v>
      </c>
      <c r="L958" s="45">
        <f>IF(AB957-AA957*(B958-B957)&gt;0, L957-Y957*(B958-B957)*3600-AD958*Model!$B$16, 0)</f>
        <v>0</v>
      </c>
      <c r="M958" s="56">
        <f t="shared" si="279"/>
        <v>0</v>
      </c>
      <c r="N958" s="56">
        <f>Model!$B$13*I958*K958/(Model!$B$13*I958-L958*287*K958)</f>
        <v>253</v>
      </c>
      <c r="O958" s="56">
        <f t="shared" si="280"/>
        <v>253</v>
      </c>
      <c r="P958" s="56">
        <f t="shared" si="281"/>
        <v>-10</v>
      </c>
      <c r="Q958" s="62">
        <f t="shared" si="292"/>
        <v>2.2579999999999999E-2</v>
      </c>
      <c r="R958" s="33">
        <f t="shared" si="293"/>
        <v>1.152E-5</v>
      </c>
      <c r="S958" s="45">
        <f>0.37*Model!$B$10*(Q958^2*(N958-K958)*I958/(R958*O958^2))^0.33333*(N958-K958)</f>
        <v>0</v>
      </c>
      <c r="T958" s="50">
        <f>Model!$B$32+(90-Model!$B$6)*SIN(RADIANS(-15*(E958+6)))</f>
        <v>-31.619472402513487</v>
      </c>
      <c r="U958" s="45">
        <f t="shared" si="282"/>
        <v>0</v>
      </c>
      <c r="V958" s="50">
        <f t="shared" si="283"/>
        <v>99999</v>
      </c>
      <c r="W958" s="45">
        <f t="shared" si="284"/>
        <v>0</v>
      </c>
      <c r="X958" s="45">
        <f>0.3*W958*Model!$B$9</f>
        <v>0</v>
      </c>
      <c r="Y958" s="33">
        <f>(S958-X958)/Model!$B$11</f>
        <v>0</v>
      </c>
      <c r="Z958" s="45" t="e">
        <f t="shared" si="285"/>
        <v>#DIV/0!</v>
      </c>
      <c r="AA958" s="56">
        <f>Y958/Model!$B$12*3600</f>
        <v>0</v>
      </c>
      <c r="AB958" s="50">
        <f t="shared" si="290"/>
        <v>0</v>
      </c>
      <c r="AC958" s="50">
        <f t="shared" si="294"/>
        <v>1800</v>
      </c>
      <c r="AD958" s="15">
        <f>IF(AE958=0, Model!$B$19, 0 )</f>
        <v>0</v>
      </c>
      <c r="AE958" s="50">
        <f>IF(AE957+AB957-AB958&lt;Model!$B$19*Model!$B$18, AE957+AB957-AB958,  0)</f>
        <v>443.63457370611354</v>
      </c>
      <c r="AF958" s="15">
        <f t="shared" si="286"/>
        <v>1</v>
      </c>
      <c r="AG958" s="50">
        <f t="shared" si="287"/>
        <v>0</v>
      </c>
    </row>
    <row r="959" spans="2:33" x14ac:dyDescent="0.25">
      <c r="B959" s="13">
        <f t="shared" si="288"/>
        <v>1</v>
      </c>
      <c r="C959" s="13">
        <f>B959+Model!$B$4</f>
        <v>3</v>
      </c>
      <c r="D959" s="13">
        <f t="shared" si="289"/>
        <v>1</v>
      </c>
      <c r="E959" s="13">
        <f t="shared" si="295"/>
        <v>3</v>
      </c>
      <c r="F959" s="14">
        <f>IF(AB959&gt;0, VLOOKUP(B959,Model!$A$40:$B$60, 2), 0)</f>
        <v>0</v>
      </c>
      <c r="G959" s="13">
        <f>IF(AB959&gt;0, VLOOKUP(B959,Model!$A$39:$C$58, 3), 0)</f>
        <v>0</v>
      </c>
      <c r="H959" s="13">
        <f t="shared" si="278"/>
        <v>0</v>
      </c>
      <c r="I959" s="46">
        <f>Model!$B$21*EXP((-0.029*9.81*F959)/(8.31*(273+J959)))</f>
        <v>104500</v>
      </c>
      <c r="J959" s="13">
        <f>IF(Model!$B$31="Summer",  IF(F959&lt;=2000,  Model!$B$20-Model!$B$35*F959/1000,  IF(F959&lt;Model!$B$36,  Model!$B$33-6.5*F959/1000,  Model!$B$38)),     IF(F959&lt;=2000,  Model!$B$20-Model!$B$35*F959/1000,  IF(F959&lt;Model!$B$36,  Model!$B$33-5.4*F959/1000,   Model!$B$38)))</f>
        <v>-20</v>
      </c>
      <c r="K959" s="13">
        <f t="shared" si="291"/>
        <v>253</v>
      </c>
      <c r="L959" s="46">
        <f>IF(AB958-AA958*(B959-B958)&gt;0, L958-Y958*(B959-B958)*3600-AD959*Model!$B$16, 0)</f>
        <v>0</v>
      </c>
      <c r="M959" s="57">
        <f t="shared" si="279"/>
        <v>0</v>
      </c>
      <c r="N959" s="57">
        <f>Model!$B$13*I959*K959/(Model!$B$13*I959-L959*287*K959)</f>
        <v>253</v>
      </c>
      <c r="O959" s="57">
        <f t="shared" si="280"/>
        <v>253</v>
      </c>
      <c r="P959" s="57">
        <f t="shared" si="281"/>
        <v>-10</v>
      </c>
      <c r="Q959" s="63">
        <f t="shared" si="292"/>
        <v>2.2579999999999999E-2</v>
      </c>
      <c r="R959" s="17">
        <f t="shared" si="293"/>
        <v>1.152E-5</v>
      </c>
      <c r="S959" s="46">
        <f>0.37*Model!$B$10*(Q959^2*(N959-K959)*I959/(R959*O959^2))^0.33333*(N959-K959)</f>
        <v>0</v>
      </c>
      <c r="T959" s="51">
        <f>Model!$B$32+(90-Model!$B$6)*SIN(RADIANS(-15*(E959+6)))</f>
        <v>-31.619472402513487</v>
      </c>
      <c r="U959" s="46">
        <f t="shared" si="282"/>
        <v>0</v>
      </c>
      <c r="V959" s="51">
        <f t="shared" si="283"/>
        <v>99999</v>
      </c>
      <c r="W959" s="46">
        <f t="shared" si="284"/>
        <v>0</v>
      </c>
      <c r="X959" s="46">
        <f>0.3*W959*Model!$B$9</f>
        <v>0</v>
      </c>
      <c r="Y959" s="17">
        <f>(S959-X959)/Model!$B$11</f>
        <v>0</v>
      </c>
      <c r="Z959" s="46" t="e">
        <f t="shared" si="285"/>
        <v>#DIV/0!</v>
      </c>
      <c r="AA959" s="57">
        <f>Y959/Model!$B$12*3600</f>
        <v>0</v>
      </c>
      <c r="AB959" s="51">
        <f t="shared" si="290"/>
        <v>0</v>
      </c>
      <c r="AC959" s="51">
        <f t="shared" si="294"/>
        <v>1800</v>
      </c>
      <c r="AD959" s="13">
        <f>IF(AE959=0, Model!$B$19, 0 )</f>
        <v>0</v>
      </c>
      <c r="AE959" s="51">
        <f>IF(AE958+AB958-AB959&lt;Model!$B$19*Model!$B$18, AE958+AB958-AB959,  0)</f>
        <v>443.63457370611354</v>
      </c>
      <c r="AF959" s="13">
        <f t="shared" si="286"/>
        <v>1</v>
      </c>
      <c r="AG959" s="50">
        <f t="shared" si="287"/>
        <v>0</v>
      </c>
    </row>
    <row r="960" spans="2:33" x14ac:dyDescent="0.25">
      <c r="B960" s="15">
        <f t="shared" si="288"/>
        <v>1</v>
      </c>
      <c r="C960" s="15">
        <f>B960+Model!$B$4</f>
        <v>3</v>
      </c>
      <c r="D960" s="15">
        <f t="shared" si="289"/>
        <v>1</v>
      </c>
      <c r="E960" s="15">
        <f t="shared" si="295"/>
        <v>3</v>
      </c>
      <c r="F960" s="16">
        <f>IF(AB960&gt;0, VLOOKUP(B960,Model!$A$40:$B$60, 2), 0)</f>
        <v>0</v>
      </c>
      <c r="G960" s="15">
        <f>IF(AB960&gt;0, VLOOKUP(B960,Model!$A$39:$C$58, 3), 0)</f>
        <v>0</v>
      </c>
      <c r="H960" s="15">
        <f t="shared" si="278"/>
        <v>0</v>
      </c>
      <c r="I960" s="45">
        <f>Model!$B$21*EXP((-0.029*9.81*F960)/(8.31*(273+J960)))</f>
        <v>104500</v>
      </c>
      <c r="J960" s="15">
        <f>IF(Model!$B$31="Summer",  IF(F960&lt;=2000,  Model!$B$20-Model!$B$35*F960/1000,  IF(F960&lt;Model!$B$36,  Model!$B$33-6.5*F960/1000,  Model!$B$38)),     IF(F960&lt;=2000,  Model!$B$20-Model!$B$35*F960/1000,  IF(F960&lt;Model!$B$36,  Model!$B$33-5.4*F960/1000,   Model!$B$38)))</f>
        <v>-20</v>
      </c>
      <c r="K960" s="15">
        <f t="shared" si="291"/>
        <v>253</v>
      </c>
      <c r="L960" s="45">
        <f>IF(AB959-AA959*(B960-B959)&gt;0, L959-Y959*(B960-B959)*3600-AD960*Model!$B$16, 0)</f>
        <v>0</v>
      </c>
      <c r="M960" s="56">
        <f t="shared" si="279"/>
        <v>0</v>
      </c>
      <c r="N960" s="56">
        <f>Model!$B$13*I960*K960/(Model!$B$13*I960-L960*287*K960)</f>
        <v>253</v>
      </c>
      <c r="O960" s="56">
        <f t="shared" si="280"/>
        <v>253</v>
      </c>
      <c r="P960" s="56">
        <f t="shared" si="281"/>
        <v>-10</v>
      </c>
      <c r="Q960" s="62">
        <f t="shared" si="292"/>
        <v>2.2579999999999999E-2</v>
      </c>
      <c r="R960" s="33">
        <f t="shared" si="293"/>
        <v>1.152E-5</v>
      </c>
      <c r="S960" s="45">
        <f>0.37*Model!$B$10*(Q960^2*(N960-K960)*I960/(R960*O960^2))^0.33333*(N960-K960)</f>
        <v>0</v>
      </c>
      <c r="T960" s="50">
        <f>Model!$B$32+(90-Model!$B$6)*SIN(RADIANS(-15*(E960+6)))</f>
        <v>-31.619472402513487</v>
      </c>
      <c r="U960" s="45">
        <f t="shared" si="282"/>
        <v>0</v>
      </c>
      <c r="V960" s="50">
        <f t="shared" si="283"/>
        <v>99999</v>
      </c>
      <c r="W960" s="45">
        <f t="shared" si="284"/>
        <v>0</v>
      </c>
      <c r="X960" s="45">
        <f>0.3*W960*Model!$B$9</f>
        <v>0</v>
      </c>
      <c r="Y960" s="33">
        <f>(S960-X960)/Model!$B$11</f>
        <v>0</v>
      </c>
      <c r="Z960" s="45" t="e">
        <f t="shared" si="285"/>
        <v>#DIV/0!</v>
      </c>
      <c r="AA960" s="56">
        <f>Y960/Model!$B$12*3600</f>
        <v>0</v>
      </c>
      <c r="AB960" s="50">
        <f t="shared" si="290"/>
        <v>0</v>
      </c>
      <c r="AC960" s="50">
        <f t="shared" si="294"/>
        <v>1800</v>
      </c>
      <c r="AD960" s="15">
        <f>IF(AE960=0, Model!$B$19, 0 )</f>
        <v>0</v>
      </c>
      <c r="AE960" s="50">
        <f>IF(AE959+AB959-AB960&lt;Model!$B$19*Model!$B$18, AE959+AB959-AB960,  0)</f>
        <v>443.63457370611354</v>
      </c>
      <c r="AF960" s="15">
        <f t="shared" si="286"/>
        <v>1</v>
      </c>
      <c r="AG960" s="50">
        <f t="shared" si="287"/>
        <v>0</v>
      </c>
    </row>
    <row r="961" spans="2:33" x14ac:dyDescent="0.25">
      <c r="B961" s="13">
        <f t="shared" si="288"/>
        <v>1</v>
      </c>
      <c r="C961" s="13">
        <f>B961+Model!$B$4</f>
        <v>3</v>
      </c>
      <c r="D961" s="13">
        <f t="shared" si="289"/>
        <v>1</v>
      </c>
      <c r="E961" s="13">
        <f t="shared" si="295"/>
        <v>3</v>
      </c>
      <c r="F961" s="14">
        <f>IF(AB961&gt;0, VLOOKUP(B961,Model!$A$40:$B$60, 2), 0)</f>
        <v>0</v>
      </c>
      <c r="G961" s="13">
        <f>IF(AB961&gt;0, VLOOKUP(B961,Model!$A$39:$C$58, 3), 0)</f>
        <v>0</v>
      </c>
      <c r="H961" s="13">
        <f t="shared" si="278"/>
        <v>0</v>
      </c>
      <c r="I961" s="46">
        <f>Model!$B$21*EXP((-0.029*9.81*F961)/(8.31*(273+J961)))</f>
        <v>104500</v>
      </c>
      <c r="J961" s="13">
        <f>IF(Model!$B$31="Summer",  IF(F961&lt;=2000,  Model!$B$20-Model!$B$35*F961/1000,  IF(F961&lt;Model!$B$36,  Model!$B$33-6.5*F961/1000,  Model!$B$38)),     IF(F961&lt;=2000,  Model!$B$20-Model!$B$35*F961/1000,  IF(F961&lt;Model!$B$36,  Model!$B$33-5.4*F961/1000,   Model!$B$38)))</f>
        <v>-20</v>
      </c>
      <c r="K961" s="13">
        <f t="shared" si="291"/>
        <v>253</v>
      </c>
      <c r="L961" s="46">
        <f>IF(AB960-AA960*(B961-B960)&gt;0, L960-Y960*(B961-B960)*3600-AD961*Model!$B$16, 0)</f>
        <v>0</v>
      </c>
      <c r="M961" s="57">
        <f t="shared" si="279"/>
        <v>0</v>
      </c>
      <c r="N961" s="57">
        <f>Model!$B$13*I961*K961/(Model!$B$13*I961-L961*287*K961)</f>
        <v>253</v>
      </c>
      <c r="O961" s="57">
        <f t="shared" si="280"/>
        <v>253</v>
      </c>
      <c r="P961" s="57">
        <f t="shared" si="281"/>
        <v>-10</v>
      </c>
      <c r="Q961" s="63">
        <f t="shared" si="292"/>
        <v>2.2579999999999999E-2</v>
      </c>
      <c r="R961" s="17">
        <f t="shared" si="293"/>
        <v>1.152E-5</v>
      </c>
      <c r="S961" s="46">
        <f>0.37*Model!$B$10*(Q961^2*(N961-K961)*I961/(R961*O961^2))^0.33333*(N961-K961)</f>
        <v>0</v>
      </c>
      <c r="T961" s="51">
        <f>Model!$B$32+(90-Model!$B$6)*SIN(RADIANS(-15*(E961+6)))</f>
        <v>-31.619472402513487</v>
      </c>
      <c r="U961" s="46">
        <f t="shared" si="282"/>
        <v>0</v>
      </c>
      <c r="V961" s="51">
        <f t="shared" si="283"/>
        <v>99999</v>
      </c>
      <c r="W961" s="46">
        <f t="shared" si="284"/>
        <v>0</v>
      </c>
      <c r="X961" s="46">
        <f>0.3*W961*Model!$B$9</f>
        <v>0</v>
      </c>
      <c r="Y961" s="17">
        <f>(S961-X961)/Model!$B$11</f>
        <v>0</v>
      </c>
      <c r="Z961" s="46" t="e">
        <f t="shared" si="285"/>
        <v>#DIV/0!</v>
      </c>
      <c r="AA961" s="57">
        <f>Y961/Model!$B$12*3600</f>
        <v>0</v>
      </c>
      <c r="AB961" s="51">
        <f t="shared" si="290"/>
        <v>0</v>
      </c>
      <c r="AC961" s="51">
        <f t="shared" si="294"/>
        <v>1800</v>
      </c>
      <c r="AD961" s="13">
        <f>IF(AE961=0, Model!$B$19, 0 )</f>
        <v>0</v>
      </c>
      <c r="AE961" s="51">
        <f>IF(AE960+AB960-AB961&lt;Model!$B$19*Model!$B$18, AE960+AB960-AB961,  0)</f>
        <v>443.63457370611354</v>
      </c>
      <c r="AF961" s="13">
        <f t="shared" si="286"/>
        <v>1</v>
      </c>
      <c r="AG961" s="50">
        <f t="shared" si="287"/>
        <v>0</v>
      </c>
    </row>
    <row r="962" spans="2:33" x14ac:dyDescent="0.25">
      <c r="B962" s="15">
        <f t="shared" si="288"/>
        <v>1</v>
      </c>
      <c r="C962" s="15">
        <f>B962+Model!$B$4</f>
        <v>3</v>
      </c>
      <c r="D962" s="15">
        <f t="shared" si="289"/>
        <v>1</v>
      </c>
      <c r="E962" s="15">
        <f t="shared" si="295"/>
        <v>3</v>
      </c>
      <c r="F962" s="16">
        <f>IF(AB962&gt;0, VLOOKUP(B962,Model!$A$40:$B$60, 2), 0)</f>
        <v>0</v>
      </c>
      <c r="G962" s="15">
        <f>IF(AB962&gt;0, VLOOKUP(B962,Model!$A$39:$C$58, 3), 0)</f>
        <v>0</v>
      </c>
      <c r="H962" s="15">
        <f t="shared" ref="H962:H1025" si="296">IF(B962=1, 0, G962*97)</f>
        <v>0</v>
      </c>
      <c r="I962" s="45">
        <f>Model!$B$21*EXP((-0.029*9.81*F962)/(8.31*(273+J962)))</f>
        <v>104500</v>
      </c>
      <c r="J962" s="15">
        <f>IF(Model!$B$31="Summer",  IF(F962&lt;=2000,  Model!$B$20-Model!$B$35*F962/1000,  IF(F962&lt;Model!$B$36,  Model!$B$33-6.5*F962/1000,  Model!$B$38)),     IF(F962&lt;=2000,  Model!$B$20-Model!$B$35*F962/1000,  IF(F962&lt;Model!$B$36,  Model!$B$33-5.4*F962/1000,   Model!$B$38)))</f>
        <v>-20</v>
      </c>
      <c r="K962" s="15">
        <f t="shared" si="291"/>
        <v>253</v>
      </c>
      <c r="L962" s="45">
        <f>IF(AB961-AA961*(B962-B961)&gt;0, L961-Y961*(B962-B961)*3600-AD962*Model!$B$16, 0)</f>
        <v>0</v>
      </c>
      <c r="M962" s="56">
        <f t="shared" ref="M962:M1025" si="297">IF(AB962=0, 0, N962-273)</f>
        <v>0</v>
      </c>
      <c r="N962" s="56">
        <f>Model!$B$13*I962*K962/(Model!$B$13*I962-L962*287*K962)</f>
        <v>253</v>
      </c>
      <c r="O962" s="56">
        <f t="shared" ref="O962:O1025" si="298">(K962+N962)/2</f>
        <v>253</v>
      </c>
      <c r="P962" s="56">
        <f t="shared" ref="P962:P1025" si="299">(J962+M962)/2+W961/150</f>
        <v>-10</v>
      </c>
      <c r="Q962" s="62">
        <f t="shared" si="292"/>
        <v>2.2579999999999999E-2</v>
      </c>
      <c r="R962" s="33">
        <f t="shared" si="293"/>
        <v>1.152E-5</v>
      </c>
      <c r="S962" s="45">
        <f>0.37*Model!$B$10*(Q962^2*(N962-K962)*I962/(R962*O962^2))^0.33333*(N962-K962)</f>
        <v>0</v>
      </c>
      <c r="T962" s="50">
        <f>Model!$B$32+(90-Model!$B$6)*SIN(RADIANS(-15*(E962+6)))</f>
        <v>-31.619472402513487</v>
      </c>
      <c r="U962" s="45">
        <f t="shared" ref="U962:U1025" si="300">IF(OR(T962&lt;0, AB962=0),  0, T962)</f>
        <v>0</v>
      </c>
      <c r="V962" s="50">
        <f t="shared" ref="V962:V1025" si="301">IF(T962&lt;0,99999,1/SIN(RADIANS(T962)))</f>
        <v>99999</v>
      </c>
      <c r="W962" s="45">
        <f t="shared" ref="W962:W1025" si="302">IF(G962=0,0, 1353*((1+F962/7100)*0.7^V962^0.678)+F962/7100)</f>
        <v>0</v>
      </c>
      <c r="X962" s="45">
        <f>0.3*W962*Model!$B$9</f>
        <v>0</v>
      </c>
      <c r="Y962" s="33">
        <f>(S962-X962)/Model!$B$11</f>
        <v>0</v>
      </c>
      <c r="Z962" s="45" t="e">
        <f t="shared" ref="Z962:Z1025" si="303">100*X962/S962</f>
        <v>#DIV/0!</v>
      </c>
      <c r="AA962" s="56">
        <f>Y962/Model!$B$12*3600</f>
        <v>0</v>
      </c>
      <c r="AB962" s="50">
        <f t="shared" si="290"/>
        <v>0</v>
      </c>
      <c r="AC962" s="50">
        <f t="shared" si="294"/>
        <v>1800</v>
      </c>
      <c r="AD962" s="15">
        <f>IF(AE962=0, Model!$B$19, 0 )</f>
        <v>0</v>
      </c>
      <c r="AE962" s="50">
        <f>IF(AE961+AB961-AB962&lt;Model!$B$19*Model!$B$18, AE961+AB961-AB962,  0)</f>
        <v>443.63457370611354</v>
      </c>
      <c r="AF962" s="15">
        <f t="shared" ref="AF962:AF1025" si="304">B962</f>
        <v>1</v>
      </c>
      <c r="AG962" s="50">
        <f t="shared" ref="AG962:AG1025" si="305">IF(OR(P962&gt;0, AB962&lt;=0),0, IF(P962&lt;-2,0.99,ABS(P962/2)))</f>
        <v>0</v>
      </c>
    </row>
    <row r="963" spans="2:33" x14ac:dyDescent="0.25">
      <c r="B963" s="13">
        <f t="shared" ref="B963:B1026" si="306">IF(AB962&gt;0, B962+0.05, 1)</f>
        <v>1</v>
      </c>
      <c r="C963" s="13">
        <f>B963+Model!$B$4</f>
        <v>3</v>
      </c>
      <c r="D963" s="13">
        <f t="shared" ref="D963:D1026" si="307">INT(C963/24+1)</f>
        <v>1</v>
      </c>
      <c r="E963" s="13">
        <f t="shared" si="295"/>
        <v>3</v>
      </c>
      <c r="F963" s="14">
        <f>IF(AB963&gt;0, VLOOKUP(B963,Model!$A$40:$B$60, 2), 0)</f>
        <v>0</v>
      </c>
      <c r="G963" s="13">
        <f>IF(AB963&gt;0, VLOOKUP(B963,Model!$A$39:$C$58, 3), 0)</f>
        <v>0</v>
      </c>
      <c r="H963" s="13">
        <f t="shared" si="296"/>
        <v>0</v>
      </c>
      <c r="I963" s="46">
        <f>Model!$B$21*EXP((-0.029*9.81*F963)/(8.31*(273+J963)))</f>
        <v>104500</v>
      </c>
      <c r="J963" s="13">
        <f>IF(Model!$B$31="Summer",  IF(F963&lt;=2000,  Model!$B$20-Model!$B$35*F963/1000,  IF(F963&lt;Model!$B$36,  Model!$B$33-6.5*F963/1000,  Model!$B$38)),     IF(F963&lt;=2000,  Model!$B$20-Model!$B$35*F963/1000,  IF(F963&lt;Model!$B$36,  Model!$B$33-5.4*F963/1000,   Model!$B$38)))</f>
        <v>-20</v>
      </c>
      <c r="K963" s="13">
        <f t="shared" si="291"/>
        <v>253</v>
      </c>
      <c r="L963" s="46">
        <f>IF(AB962-AA962*(B963-B962)&gt;0, L962-Y962*(B963-B962)*3600-AD963*Model!$B$16, 0)</f>
        <v>0</v>
      </c>
      <c r="M963" s="57">
        <f t="shared" si="297"/>
        <v>0</v>
      </c>
      <c r="N963" s="57">
        <f>Model!$B$13*I963*K963/(Model!$B$13*I963-L963*287*K963)</f>
        <v>253</v>
      </c>
      <c r="O963" s="57">
        <f t="shared" si="298"/>
        <v>253</v>
      </c>
      <c r="P963" s="57">
        <f t="shared" si="299"/>
        <v>-10</v>
      </c>
      <c r="Q963" s="63">
        <f t="shared" si="292"/>
        <v>2.2579999999999999E-2</v>
      </c>
      <c r="R963" s="17">
        <f t="shared" si="293"/>
        <v>1.152E-5</v>
      </c>
      <c r="S963" s="46">
        <f>0.37*Model!$B$10*(Q963^2*(N963-K963)*I963/(R963*O963^2))^0.33333*(N963-K963)</f>
        <v>0</v>
      </c>
      <c r="T963" s="51">
        <f>Model!$B$32+(90-Model!$B$6)*SIN(RADIANS(-15*(E963+6)))</f>
        <v>-31.619472402513487</v>
      </c>
      <c r="U963" s="46">
        <f t="shared" si="300"/>
        <v>0</v>
      </c>
      <c r="V963" s="51">
        <f t="shared" si="301"/>
        <v>99999</v>
      </c>
      <c r="W963" s="46">
        <f t="shared" si="302"/>
        <v>0</v>
      </c>
      <c r="X963" s="46">
        <f>0.3*W963*Model!$B$9</f>
        <v>0</v>
      </c>
      <c r="Y963" s="17">
        <f>(S963-X963)/Model!$B$11</f>
        <v>0</v>
      </c>
      <c r="Z963" s="46" t="e">
        <f t="shared" si="303"/>
        <v>#DIV/0!</v>
      </c>
      <c r="AA963" s="57">
        <f>Y963/Model!$B$12*3600</f>
        <v>0</v>
      </c>
      <c r="AB963" s="51">
        <f t="shared" ref="AB963:AB1026" si="308">IF(AB962-AA962*(B963-B962)&gt;0, AB962-AA962*(B963-B962), 0)</f>
        <v>0</v>
      </c>
      <c r="AC963" s="51">
        <f t="shared" si="294"/>
        <v>1800</v>
      </c>
      <c r="AD963" s="13">
        <f>IF(AE963=0, Model!$B$19, 0 )</f>
        <v>0</v>
      </c>
      <c r="AE963" s="51">
        <f>IF(AE962+AB962-AB963&lt;Model!$B$19*Model!$B$18, AE962+AB962-AB963,  0)</f>
        <v>443.63457370611354</v>
      </c>
      <c r="AF963" s="13">
        <f t="shared" si="304"/>
        <v>1</v>
      </c>
      <c r="AG963" s="50">
        <f t="shared" si="305"/>
        <v>0</v>
      </c>
    </row>
    <row r="964" spans="2:33" x14ac:dyDescent="0.25">
      <c r="B964" s="15">
        <f t="shared" si="306"/>
        <v>1</v>
      </c>
      <c r="C964" s="15">
        <f>B964+Model!$B$4</f>
        <v>3</v>
      </c>
      <c r="D964" s="15">
        <f t="shared" si="307"/>
        <v>1</v>
      </c>
      <c r="E964" s="15">
        <f t="shared" si="295"/>
        <v>3</v>
      </c>
      <c r="F964" s="16">
        <f>IF(AB964&gt;0, VLOOKUP(B964,Model!$A$40:$B$60, 2), 0)</f>
        <v>0</v>
      </c>
      <c r="G964" s="15">
        <f>IF(AB964&gt;0, VLOOKUP(B964,Model!$A$39:$C$58, 3), 0)</f>
        <v>0</v>
      </c>
      <c r="H964" s="15">
        <f t="shared" si="296"/>
        <v>0</v>
      </c>
      <c r="I964" s="45">
        <f>Model!$B$21*EXP((-0.029*9.81*F964)/(8.31*(273+J964)))</f>
        <v>104500</v>
      </c>
      <c r="J964" s="15">
        <f>IF(Model!$B$31="Summer",  IF(F964&lt;=2000,  Model!$B$20-Model!$B$35*F964/1000,  IF(F964&lt;Model!$B$36,  Model!$B$33-6.5*F964/1000,  Model!$B$38)),     IF(F964&lt;=2000,  Model!$B$20-Model!$B$35*F964/1000,  IF(F964&lt;Model!$B$36,  Model!$B$33-5.4*F964/1000,   Model!$B$38)))</f>
        <v>-20</v>
      </c>
      <c r="K964" s="15">
        <f t="shared" si="291"/>
        <v>253</v>
      </c>
      <c r="L964" s="45">
        <f>IF(AB963-AA963*(B964-B963)&gt;0, L963-Y963*(B964-B963)*3600-AD964*Model!$B$16, 0)</f>
        <v>0</v>
      </c>
      <c r="M964" s="56">
        <f t="shared" si="297"/>
        <v>0</v>
      </c>
      <c r="N964" s="56">
        <f>Model!$B$13*I964*K964/(Model!$B$13*I964-L964*287*K964)</f>
        <v>253</v>
      </c>
      <c r="O964" s="56">
        <f t="shared" si="298"/>
        <v>253</v>
      </c>
      <c r="P964" s="56">
        <f t="shared" si="299"/>
        <v>-10</v>
      </c>
      <c r="Q964" s="62">
        <f t="shared" si="292"/>
        <v>2.2579999999999999E-2</v>
      </c>
      <c r="R964" s="33">
        <f t="shared" si="293"/>
        <v>1.152E-5</v>
      </c>
      <c r="S964" s="45">
        <f>0.37*Model!$B$10*(Q964^2*(N964-K964)*I964/(R964*O964^2))^0.33333*(N964-K964)</f>
        <v>0</v>
      </c>
      <c r="T964" s="50">
        <f>Model!$B$32+(90-Model!$B$6)*SIN(RADIANS(-15*(E964+6)))</f>
        <v>-31.619472402513487</v>
      </c>
      <c r="U964" s="45">
        <f t="shared" si="300"/>
        <v>0</v>
      </c>
      <c r="V964" s="50">
        <f t="shared" si="301"/>
        <v>99999</v>
      </c>
      <c r="W964" s="45">
        <f t="shared" si="302"/>
        <v>0</v>
      </c>
      <c r="X964" s="45">
        <f>0.3*W964*Model!$B$9</f>
        <v>0</v>
      </c>
      <c r="Y964" s="33">
        <f>(S964-X964)/Model!$B$11</f>
        <v>0</v>
      </c>
      <c r="Z964" s="45" t="e">
        <f t="shared" si="303"/>
        <v>#DIV/0!</v>
      </c>
      <c r="AA964" s="56">
        <f>Y964/Model!$B$12*3600</f>
        <v>0</v>
      </c>
      <c r="AB964" s="50">
        <f t="shared" si="308"/>
        <v>0</v>
      </c>
      <c r="AC964" s="50">
        <f t="shared" si="294"/>
        <v>1800</v>
      </c>
      <c r="AD964" s="15">
        <f>IF(AE964=0, Model!$B$19, 0 )</f>
        <v>0</v>
      </c>
      <c r="AE964" s="50">
        <f>IF(AE963+AB963-AB964&lt;Model!$B$19*Model!$B$18, AE963+AB963-AB964,  0)</f>
        <v>443.63457370611354</v>
      </c>
      <c r="AF964" s="15">
        <f t="shared" si="304"/>
        <v>1</v>
      </c>
      <c r="AG964" s="50">
        <f t="shared" si="305"/>
        <v>0</v>
      </c>
    </row>
    <row r="965" spans="2:33" x14ac:dyDescent="0.25">
      <c r="B965" s="13">
        <f t="shared" si="306"/>
        <v>1</v>
      </c>
      <c r="C965" s="13">
        <f>B965+Model!$B$4</f>
        <v>3</v>
      </c>
      <c r="D965" s="13">
        <f t="shared" si="307"/>
        <v>1</v>
      </c>
      <c r="E965" s="13">
        <f t="shared" si="295"/>
        <v>3</v>
      </c>
      <c r="F965" s="14">
        <f>IF(AB965&gt;0, VLOOKUP(B965,Model!$A$40:$B$60, 2), 0)</f>
        <v>0</v>
      </c>
      <c r="G965" s="13">
        <f>IF(AB965&gt;0, VLOOKUP(B965,Model!$A$39:$C$58, 3), 0)</f>
        <v>0</v>
      </c>
      <c r="H965" s="13">
        <f t="shared" si="296"/>
        <v>0</v>
      </c>
      <c r="I965" s="46">
        <f>Model!$B$21*EXP((-0.029*9.81*F965)/(8.31*(273+J965)))</f>
        <v>104500</v>
      </c>
      <c r="J965" s="13">
        <f>IF(Model!$B$31="Summer",  IF(F965&lt;=2000,  Model!$B$20-Model!$B$35*F965/1000,  IF(F965&lt;Model!$B$36,  Model!$B$33-6.5*F965/1000,  Model!$B$38)),     IF(F965&lt;=2000,  Model!$B$20-Model!$B$35*F965/1000,  IF(F965&lt;Model!$B$36,  Model!$B$33-5.4*F965/1000,   Model!$B$38)))</f>
        <v>-20</v>
      </c>
      <c r="K965" s="13">
        <f t="shared" si="291"/>
        <v>253</v>
      </c>
      <c r="L965" s="46">
        <f>IF(AB964-AA964*(B965-B964)&gt;0, L964-Y964*(B965-B964)*3600-AD965*Model!$B$16, 0)</f>
        <v>0</v>
      </c>
      <c r="M965" s="57">
        <f t="shared" si="297"/>
        <v>0</v>
      </c>
      <c r="N965" s="57">
        <f>Model!$B$13*I965*K965/(Model!$B$13*I965-L965*287*K965)</f>
        <v>253</v>
      </c>
      <c r="O965" s="57">
        <f t="shared" si="298"/>
        <v>253</v>
      </c>
      <c r="P965" s="57">
        <f t="shared" si="299"/>
        <v>-10</v>
      </c>
      <c r="Q965" s="63">
        <f t="shared" si="292"/>
        <v>2.2579999999999999E-2</v>
      </c>
      <c r="R965" s="17">
        <f t="shared" si="293"/>
        <v>1.152E-5</v>
      </c>
      <c r="S965" s="46">
        <f>0.37*Model!$B$10*(Q965^2*(N965-K965)*I965/(R965*O965^2))^0.33333*(N965-K965)</f>
        <v>0</v>
      </c>
      <c r="T965" s="51">
        <f>Model!$B$32+(90-Model!$B$6)*SIN(RADIANS(-15*(E965+6)))</f>
        <v>-31.619472402513487</v>
      </c>
      <c r="U965" s="46">
        <f t="shared" si="300"/>
        <v>0</v>
      </c>
      <c r="V965" s="51">
        <f t="shared" si="301"/>
        <v>99999</v>
      </c>
      <c r="W965" s="46">
        <f t="shared" si="302"/>
        <v>0</v>
      </c>
      <c r="X965" s="46">
        <f>0.3*W965*Model!$B$9</f>
        <v>0</v>
      </c>
      <c r="Y965" s="17">
        <f>(S965-X965)/Model!$B$11</f>
        <v>0</v>
      </c>
      <c r="Z965" s="46" t="e">
        <f t="shared" si="303"/>
        <v>#DIV/0!</v>
      </c>
      <c r="AA965" s="57">
        <f>Y965/Model!$B$12*3600</f>
        <v>0</v>
      </c>
      <c r="AB965" s="51">
        <f t="shared" si="308"/>
        <v>0</v>
      </c>
      <c r="AC965" s="51">
        <f t="shared" si="294"/>
        <v>1800</v>
      </c>
      <c r="AD965" s="13">
        <f>IF(AE965=0, Model!$B$19, 0 )</f>
        <v>0</v>
      </c>
      <c r="AE965" s="51">
        <f>IF(AE964+AB964-AB965&lt;Model!$B$19*Model!$B$18, AE964+AB964-AB965,  0)</f>
        <v>443.63457370611354</v>
      </c>
      <c r="AF965" s="13">
        <f t="shared" si="304"/>
        <v>1</v>
      </c>
      <c r="AG965" s="50">
        <f t="shared" si="305"/>
        <v>0</v>
      </c>
    </row>
    <row r="966" spans="2:33" x14ac:dyDescent="0.25">
      <c r="B966" s="15">
        <f t="shared" si="306"/>
        <v>1</v>
      </c>
      <c r="C966" s="15">
        <f>B966+Model!$B$4</f>
        <v>3</v>
      </c>
      <c r="D966" s="15">
        <f t="shared" si="307"/>
        <v>1</v>
      </c>
      <c r="E966" s="15">
        <f t="shared" si="295"/>
        <v>3</v>
      </c>
      <c r="F966" s="16">
        <f>IF(AB966&gt;0, VLOOKUP(B966,Model!$A$40:$B$60, 2), 0)</f>
        <v>0</v>
      </c>
      <c r="G966" s="15">
        <f>IF(AB966&gt;0, VLOOKUP(B966,Model!$A$39:$C$58, 3), 0)</f>
        <v>0</v>
      </c>
      <c r="H966" s="15">
        <f t="shared" si="296"/>
        <v>0</v>
      </c>
      <c r="I966" s="45">
        <f>Model!$B$21*EXP((-0.029*9.81*F966)/(8.31*(273+J966)))</f>
        <v>104500</v>
      </c>
      <c r="J966" s="15">
        <f>IF(Model!$B$31="Summer",  IF(F966&lt;=2000,  Model!$B$20-Model!$B$35*F966/1000,  IF(F966&lt;Model!$B$36,  Model!$B$33-6.5*F966/1000,  Model!$B$38)),     IF(F966&lt;=2000,  Model!$B$20-Model!$B$35*F966/1000,  IF(F966&lt;Model!$B$36,  Model!$B$33-5.4*F966/1000,   Model!$B$38)))</f>
        <v>-20</v>
      </c>
      <c r="K966" s="15">
        <f t="shared" si="291"/>
        <v>253</v>
      </c>
      <c r="L966" s="45">
        <f>IF(AB965-AA965*(B966-B965)&gt;0, L965-Y965*(B966-B965)*3600-AD966*Model!$B$16, 0)</f>
        <v>0</v>
      </c>
      <c r="M966" s="56">
        <f t="shared" si="297"/>
        <v>0</v>
      </c>
      <c r="N966" s="56">
        <f>Model!$B$13*I966*K966/(Model!$B$13*I966-L966*287*K966)</f>
        <v>253</v>
      </c>
      <c r="O966" s="56">
        <f t="shared" si="298"/>
        <v>253</v>
      </c>
      <c r="P966" s="56">
        <f t="shared" si="299"/>
        <v>-10</v>
      </c>
      <c r="Q966" s="62">
        <f t="shared" si="292"/>
        <v>2.2579999999999999E-2</v>
      </c>
      <c r="R966" s="33">
        <f t="shared" si="293"/>
        <v>1.152E-5</v>
      </c>
      <c r="S966" s="45">
        <f>0.37*Model!$B$10*(Q966^2*(N966-K966)*I966/(R966*O966^2))^0.33333*(N966-K966)</f>
        <v>0</v>
      </c>
      <c r="T966" s="50">
        <f>Model!$B$32+(90-Model!$B$6)*SIN(RADIANS(-15*(E966+6)))</f>
        <v>-31.619472402513487</v>
      </c>
      <c r="U966" s="45">
        <f t="shared" si="300"/>
        <v>0</v>
      </c>
      <c r="V966" s="50">
        <f t="shared" si="301"/>
        <v>99999</v>
      </c>
      <c r="W966" s="45">
        <f t="shared" si="302"/>
        <v>0</v>
      </c>
      <c r="X966" s="45">
        <f>0.3*W966*Model!$B$9</f>
        <v>0</v>
      </c>
      <c r="Y966" s="33">
        <f>(S966-X966)/Model!$B$11</f>
        <v>0</v>
      </c>
      <c r="Z966" s="45" t="e">
        <f t="shared" si="303"/>
        <v>#DIV/0!</v>
      </c>
      <c r="AA966" s="56">
        <f>Y966/Model!$B$12*3600</f>
        <v>0</v>
      </c>
      <c r="AB966" s="50">
        <f t="shared" si="308"/>
        <v>0</v>
      </c>
      <c r="AC966" s="50">
        <f t="shared" si="294"/>
        <v>1800</v>
      </c>
      <c r="AD966" s="15">
        <f>IF(AE966=0, Model!$B$19, 0 )</f>
        <v>0</v>
      </c>
      <c r="AE966" s="50">
        <f>IF(AE965+AB965-AB966&lt;Model!$B$19*Model!$B$18, AE965+AB965-AB966,  0)</f>
        <v>443.63457370611354</v>
      </c>
      <c r="AF966" s="15">
        <f t="shared" si="304"/>
        <v>1</v>
      </c>
      <c r="AG966" s="50">
        <f t="shared" si="305"/>
        <v>0</v>
      </c>
    </row>
    <row r="967" spans="2:33" x14ac:dyDescent="0.25">
      <c r="B967" s="13">
        <f t="shared" si="306"/>
        <v>1</v>
      </c>
      <c r="C967" s="13">
        <f>B967+Model!$B$4</f>
        <v>3</v>
      </c>
      <c r="D967" s="13">
        <f t="shared" si="307"/>
        <v>1</v>
      </c>
      <c r="E967" s="13">
        <f t="shared" si="295"/>
        <v>3</v>
      </c>
      <c r="F967" s="14">
        <f>IF(AB967&gt;0, VLOOKUP(B967,Model!$A$40:$B$60, 2), 0)</f>
        <v>0</v>
      </c>
      <c r="G967" s="13">
        <f>IF(AB967&gt;0, VLOOKUP(B967,Model!$A$39:$C$58, 3), 0)</f>
        <v>0</v>
      </c>
      <c r="H967" s="13">
        <f t="shared" si="296"/>
        <v>0</v>
      </c>
      <c r="I967" s="46">
        <f>Model!$B$21*EXP((-0.029*9.81*F967)/(8.31*(273+J967)))</f>
        <v>104500</v>
      </c>
      <c r="J967" s="13">
        <f>IF(Model!$B$31="Summer",  IF(F967&lt;=2000,  Model!$B$20-Model!$B$35*F967/1000,  IF(F967&lt;Model!$B$36,  Model!$B$33-6.5*F967/1000,  Model!$B$38)),     IF(F967&lt;=2000,  Model!$B$20-Model!$B$35*F967/1000,  IF(F967&lt;Model!$B$36,  Model!$B$33-5.4*F967/1000,   Model!$B$38)))</f>
        <v>-20</v>
      </c>
      <c r="K967" s="13">
        <f t="shared" si="291"/>
        <v>253</v>
      </c>
      <c r="L967" s="46">
        <f>IF(AB966-AA966*(B967-B966)&gt;0, L966-Y966*(B967-B966)*3600-AD967*Model!$B$16, 0)</f>
        <v>0</v>
      </c>
      <c r="M967" s="57">
        <f t="shared" si="297"/>
        <v>0</v>
      </c>
      <c r="N967" s="57">
        <f>Model!$B$13*I967*K967/(Model!$B$13*I967-L967*287*K967)</f>
        <v>253</v>
      </c>
      <c r="O967" s="57">
        <f t="shared" si="298"/>
        <v>253</v>
      </c>
      <c r="P967" s="57">
        <f t="shared" si="299"/>
        <v>-10</v>
      </c>
      <c r="Q967" s="63">
        <f t="shared" si="292"/>
        <v>2.2579999999999999E-2</v>
      </c>
      <c r="R967" s="17">
        <f t="shared" si="293"/>
        <v>1.152E-5</v>
      </c>
      <c r="S967" s="46">
        <f>0.37*Model!$B$10*(Q967^2*(N967-K967)*I967/(R967*O967^2))^0.33333*(N967-K967)</f>
        <v>0</v>
      </c>
      <c r="T967" s="51">
        <f>Model!$B$32+(90-Model!$B$6)*SIN(RADIANS(-15*(E967+6)))</f>
        <v>-31.619472402513487</v>
      </c>
      <c r="U967" s="46">
        <f t="shared" si="300"/>
        <v>0</v>
      </c>
      <c r="V967" s="51">
        <f t="shared" si="301"/>
        <v>99999</v>
      </c>
      <c r="W967" s="46">
        <f t="shared" si="302"/>
        <v>0</v>
      </c>
      <c r="X967" s="46">
        <f>0.3*W967*Model!$B$9</f>
        <v>0</v>
      </c>
      <c r="Y967" s="17">
        <f>(S967-X967)/Model!$B$11</f>
        <v>0</v>
      </c>
      <c r="Z967" s="46" t="e">
        <f t="shared" si="303"/>
        <v>#DIV/0!</v>
      </c>
      <c r="AA967" s="57">
        <f>Y967/Model!$B$12*3600</f>
        <v>0</v>
      </c>
      <c r="AB967" s="51">
        <f t="shared" si="308"/>
        <v>0</v>
      </c>
      <c r="AC967" s="51">
        <f t="shared" si="294"/>
        <v>1800</v>
      </c>
      <c r="AD967" s="13">
        <f>IF(AE967=0, Model!$B$19, 0 )</f>
        <v>0</v>
      </c>
      <c r="AE967" s="51">
        <f>IF(AE966+AB966-AB967&lt;Model!$B$19*Model!$B$18, AE966+AB966-AB967,  0)</f>
        <v>443.63457370611354</v>
      </c>
      <c r="AF967" s="13">
        <f t="shared" si="304"/>
        <v>1</v>
      </c>
      <c r="AG967" s="50">
        <f t="shared" si="305"/>
        <v>0</v>
      </c>
    </row>
    <row r="968" spans="2:33" x14ac:dyDescent="0.25">
      <c r="B968" s="15">
        <f t="shared" si="306"/>
        <v>1</v>
      </c>
      <c r="C968" s="15">
        <f>B968+Model!$B$4</f>
        <v>3</v>
      </c>
      <c r="D968" s="15">
        <f t="shared" si="307"/>
        <v>1</v>
      </c>
      <c r="E968" s="15">
        <f t="shared" si="295"/>
        <v>3</v>
      </c>
      <c r="F968" s="16">
        <f>IF(AB968&gt;0, VLOOKUP(B968,Model!$A$40:$B$60, 2), 0)</f>
        <v>0</v>
      </c>
      <c r="G968" s="15">
        <f>IF(AB968&gt;0, VLOOKUP(B968,Model!$A$39:$C$58, 3), 0)</f>
        <v>0</v>
      </c>
      <c r="H968" s="15">
        <f t="shared" si="296"/>
        <v>0</v>
      </c>
      <c r="I968" s="45">
        <f>Model!$B$21*EXP((-0.029*9.81*F968)/(8.31*(273+J968)))</f>
        <v>104500</v>
      </c>
      <c r="J968" s="15">
        <f>IF(Model!$B$31="Summer",  IF(F968&lt;=2000,  Model!$B$20-Model!$B$35*F968/1000,  IF(F968&lt;Model!$B$36,  Model!$B$33-6.5*F968/1000,  Model!$B$38)),     IF(F968&lt;=2000,  Model!$B$20-Model!$B$35*F968/1000,  IF(F968&lt;Model!$B$36,  Model!$B$33-5.4*F968/1000,   Model!$B$38)))</f>
        <v>-20</v>
      </c>
      <c r="K968" s="15">
        <f t="shared" si="291"/>
        <v>253</v>
      </c>
      <c r="L968" s="45">
        <f>IF(AB967-AA967*(B968-B967)&gt;0, L967-Y967*(B968-B967)*3600-AD968*Model!$B$16, 0)</f>
        <v>0</v>
      </c>
      <c r="M968" s="56">
        <f t="shared" si="297"/>
        <v>0</v>
      </c>
      <c r="N968" s="56">
        <f>Model!$B$13*I968*K968/(Model!$B$13*I968-L968*287*K968)</f>
        <v>253</v>
      </c>
      <c r="O968" s="56">
        <f t="shared" si="298"/>
        <v>253</v>
      </c>
      <c r="P968" s="56">
        <f t="shared" si="299"/>
        <v>-10</v>
      </c>
      <c r="Q968" s="62">
        <f t="shared" si="292"/>
        <v>2.2579999999999999E-2</v>
      </c>
      <c r="R968" s="33">
        <f t="shared" si="293"/>
        <v>1.152E-5</v>
      </c>
      <c r="S968" s="45">
        <f>0.37*Model!$B$10*(Q968^2*(N968-K968)*I968/(R968*O968^2))^0.33333*(N968-K968)</f>
        <v>0</v>
      </c>
      <c r="T968" s="50">
        <f>Model!$B$32+(90-Model!$B$6)*SIN(RADIANS(-15*(E968+6)))</f>
        <v>-31.619472402513487</v>
      </c>
      <c r="U968" s="45">
        <f t="shared" si="300"/>
        <v>0</v>
      </c>
      <c r="V968" s="50">
        <f t="shared" si="301"/>
        <v>99999</v>
      </c>
      <c r="W968" s="45">
        <f t="shared" si="302"/>
        <v>0</v>
      </c>
      <c r="X968" s="45">
        <f>0.3*W968*Model!$B$9</f>
        <v>0</v>
      </c>
      <c r="Y968" s="33">
        <f>(S968-X968)/Model!$B$11</f>
        <v>0</v>
      </c>
      <c r="Z968" s="45" t="e">
        <f t="shared" si="303"/>
        <v>#DIV/0!</v>
      </c>
      <c r="AA968" s="56">
        <f>Y968/Model!$B$12*3600</f>
        <v>0</v>
      </c>
      <c r="AB968" s="50">
        <f t="shared" si="308"/>
        <v>0</v>
      </c>
      <c r="AC968" s="50">
        <f t="shared" si="294"/>
        <v>1800</v>
      </c>
      <c r="AD968" s="15">
        <f>IF(AE968=0, Model!$B$19, 0 )</f>
        <v>0</v>
      </c>
      <c r="AE968" s="50">
        <f>IF(AE967+AB967-AB968&lt;Model!$B$19*Model!$B$18, AE967+AB967-AB968,  0)</f>
        <v>443.63457370611354</v>
      </c>
      <c r="AF968" s="15">
        <f t="shared" si="304"/>
        <v>1</v>
      </c>
      <c r="AG968" s="50">
        <f t="shared" si="305"/>
        <v>0</v>
      </c>
    </row>
    <row r="969" spans="2:33" x14ac:dyDescent="0.25">
      <c r="B969" s="13">
        <f t="shared" si="306"/>
        <v>1</v>
      </c>
      <c r="C969" s="13">
        <f>B969+Model!$B$4</f>
        <v>3</v>
      </c>
      <c r="D969" s="13">
        <f t="shared" si="307"/>
        <v>1</v>
      </c>
      <c r="E969" s="13">
        <f t="shared" si="295"/>
        <v>3</v>
      </c>
      <c r="F969" s="14">
        <f>IF(AB969&gt;0, VLOOKUP(B969,Model!$A$40:$B$60, 2), 0)</f>
        <v>0</v>
      </c>
      <c r="G969" s="13">
        <f>IF(AB969&gt;0, VLOOKUP(B969,Model!$A$39:$C$58, 3), 0)</f>
        <v>0</v>
      </c>
      <c r="H969" s="13">
        <f t="shared" si="296"/>
        <v>0</v>
      </c>
      <c r="I969" s="46">
        <f>Model!$B$21*EXP((-0.029*9.81*F969)/(8.31*(273+J969)))</f>
        <v>104500</v>
      </c>
      <c r="J969" s="13">
        <f>IF(Model!$B$31="Summer",  IF(F969&lt;=2000,  Model!$B$20-Model!$B$35*F969/1000,  IF(F969&lt;Model!$B$36,  Model!$B$33-6.5*F969/1000,  Model!$B$38)),     IF(F969&lt;=2000,  Model!$B$20-Model!$B$35*F969/1000,  IF(F969&lt;Model!$B$36,  Model!$B$33-5.4*F969/1000,   Model!$B$38)))</f>
        <v>-20</v>
      </c>
      <c r="K969" s="13">
        <f t="shared" si="291"/>
        <v>253</v>
      </c>
      <c r="L969" s="46">
        <f>IF(AB968-AA968*(B969-B968)&gt;0, L968-Y968*(B969-B968)*3600-AD969*Model!$B$16, 0)</f>
        <v>0</v>
      </c>
      <c r="M969" s="57">
        <f t="shared" si="297"/>
        <v>0</v>
      </c>
      <c r="N969" s="57">
        <f>Model!$B$13*I969*K969/(Model!$B$13*I969-L969*287*K969)</f>
        <v>253</v>
      </c>
      <c r="O969" s="57">
        <f t="shared" si="298"/>
        <v>253</v>
      </c>
      <c r="P969" s="57">
        <f t="shared" si="299"/>
        <v>-10</v>
      </c>
      <c r="Q969" s="63">
        <f t="shared" si="292"/>
        <v>2.2579999999999999E-2</v>
      </c>
      <c r="R969" s="17">
        <f t="shared" si="293"/>
        <v>1.152E-5</v>
      </c>
      <c r="S969" s="46">
        <f>0.37*Model!$B$10*(Q969^2*(N969-K969)*I969/(R969*O969^2))^0.33333*(N969-K969)</f>
        <v>0</v>
      </c>
      <c r="T969" s="51">
        <f>Model!$B$32+(90-Model!$B$6)*SIN(RADIANS(-15*(E969+6)))</f>
        <v>-31.619472402513487</v>
      </c>
      <c r="U969" s="46">
        <f t="shared" si="300"/>
        <v>0</v>
      </c>
      <c r="V969" s="51">
        <f t="shared" si="301"/>
        <v>99999</v>
      </c>
      <c r="W969" s="46">
        <f t="shared" si="302"/>
        <v>0</v>
      </c>
      <c r="X969" s="46">
        <f>0.3*W969*Model!$B$9</f>
        <v>0</v>
      </c>
      <c r="Y969" s="17">
        <f>(S969-X969)/Model!$B$11</f>
        <v>0</v>
      </c>
      <c r="Z969" s="46" t="e">
        <f t="shared" si="303"/>
        <v>#DIV/0!</v>
      </c>
      <c r="AA969" s="57">
        <f>Y969/Model!$B$12*3600</f>
        <v>0</v>
      </c>
      <c r="AB969" s="51">
        <f t="shared" si="308"/>
        <v>0</v>
      </c>
      <c r="AC969" s="51">
        <f t="shared" si="294"/>
        <v>1800</v>
      </c>
      <c r="AD969" s="13">
        <f>IF(AE969=0, Model!$B$19, 0 )</f>
        <v>0</v>
      </c>
      <c r="AE969" s="51">
        <f>IF(AE968+AB968-AB969&lt;Model!$B$19*Model!$B$18, AE968+AB968-AB969,  0)</f>
        <v>443.63457370611354</v>
      </c>
      <c r="AF969" s="13">
        <f t="shared" si="304"/>
        <v>1</v>
      </c>
      <c r="AG969" s="50">
        <f t="shared" si="305"/>
        <v>0</v>
      </c>
    </row>
    <row r="970" spans="2:33" x14ac:dyDescent="0.25">
      <c r="B970" s="15">
        <f t="shared" si="306"/>
        <v>1</v>
      </c>
      <c r="C970" s="15">
        <f>B970+Model!$B$4</f>
        <v>3</v>
      </c>
      <c r="D970" s="15">
        <f t="shared" si="307"/>
        <v>1</v>
      </c>
      <c r="E970" s="15">
        <f t="shared" si="295"/>
        <v>3</v>
      </c>
      <c r="F970" s="16">
        <f>IF(AB970&gt;0, VLOOKUP(B970,Model!$A$40:$B$60, 2), 0)</f>
        <v>0</v>
      </c>
      <c r="G970" s="15">
        <f>IF(AB970&gt;0, VLOOKUP(B970,Model!$A$39:$C$58, 3), 0)</f>
        <v>0</v>
      </c>
      <c r="H970" s="15">
        <f t="shared" si="296"/>
        <v>0</v>
      </c>
      <c r="I970" s="45">
        <f>Model!$B$21*EXP((-0.029*9.81*F970)/(8.31*(273+J970)))</f>
        <v>104500</v>
      </c>
      <c r="J970" s="15">
        <f>IF(Model!$B$31="Summer",  IF(F970&lt;=2000,  Model!$B$20-Model!$B$35*F970/1000,  IF(F970&lt;Model!$B$36,  Model!$B$33-6.5*F970/1000,  Model!$B$38)),     IF(F970&lt;=2000,  Model!$B$20-Model!$B$35*F970/1000,  IF(F970&lt;Model!$B$36,  Model!$B$33-5.4*F970/1000,   Model!$B$38)))</f>
        <v>-20</v>
      </c>
      <c r="K970" s="15">
        <f t="shared" si="291"/>
        <v>253</v>
      </c>
      <c r="L970" s="45">
        <f>IF(AB969-AA969*(B970-B969)&gt;0, L969-Y969*(B970-B969)*3600-AD970*Model!$B$16, 0)</f>
        <v>0</v>
      </c>
      <c r="M970" s="56">
        <f t="shared" si="297"/>
        <v>0</v>
      </c>
      <c r="N970" s="56">
        <f>Model!$B$13*I970*K970/(Model!$B$13*I970-L970*287*K970)</f>
        <v>253</v>
      </c>
      <c r="O970" s="56">
        <f t="shared" si="298"/>
        <v>253</v>
      </c>
      <c r="P970" s="56">
        <f t="shared" si="299"/>
        <v>-10</v>
      </c>
      <c r="Q970" s="62">
        <f t="shared" si="292"/>
        <v>2.2579999999999999E-2</v>
      </c>
      <c r="R970" s="33">
        <f t="shared" si="293"/>
        <v>1.152E-5</v>
      </c>
      <c r="S970" s="45">
        <f>0.37*Model!$B$10*(Q970^2*(N970-K970)*I970/(R970*O970^2))^0.33333*(N970-K970)</f>
        <v>0</v>
      </c>
      <c r="T970" s="50">
        <f>Model!$B$32+(90-Model!$B$6)*SIN(RADIANS(-15*(E970+6)))</f>
        <v>-31.619472402513487</v>
      </c>
      <c r="U970" s="45">
        <f t="shared" si="300"/>
        <v>0</v>
      </c>
      <c r="V970" s="50">
        <f t="shared" si="301"/>
        <v>99999</v>
      </c>
      <c r="W970" s="45">
        <f t="shared" si="302"/>
        <v>0</v>
      </c>
      <c r="X970" s="45">
        <f>0.3*W970*Model!$B$9</f>
        <v>0</v>
      </c>
      <c r="Y970" s="33">
        <f>(S970-X970)/Model!$B$11</f>
        <v>0</v>
      </c>
      <c r="Z970" s="45" t="e">
        <f t="shared" si="303"/>
        <v>#DIV/0!</v>
      </c>
      <c r="AA970" s="56">
        <f>Y970/Model!$B$12*3600</f>
        <v>0</v>
      </c>
      <c r="AB970" s="50">
        <f t="shared" si="308"/>
        <v>0</v>
      </c>
      <c r="AC970" s="50">
        <f t="shared" si="294"/>
        <v>1800</v>
      </c>
      <c r="AD970" s="15">
        <f>IF(AE970=0, Model!$B$19, 0 )</f>
        <v>0</v>
      </c>
      <c r="AE970" s="50">
        <f>IF(AE969+AB969-AB970&lt;Model!$B$19*Model!$B$18, AE969+AB969-AB970,  0)</f>
        <v>443.63457370611354</v>
      </c>
      <c r="AF970" s="15">
        <f t="shared" si="304"/>
        <v>1</v>
      </c>
      <c r="AG970" s="50">
        <f t="shared" si="305"/>
        <v>0</v>
      </c>
    </row>
    <row r="971" spans="2:33" x14ac:dyDescent="0.25">
      <c r="B971" s="13">
        <f t="shared" si="306"/>
        <v>1</v>
      </c>
      <c r="C971" s="13">
        <f>B971+Model!$B$4</f>
        <v>3</v>
      </c>
      <c r="D971" s="13">
        <f t="shared" si="307"/>
        <v>1</v>
      </c>
      <c r="E971" s="13">
        <f t="shared" si="295"/>
        <v>3</v>
      </c>
      <c r="F971" s="14">
        <f>IF(AB971&gt;0, VLOOKUP(B971,Model!$A$40:$B$60, 2), 0)</f>
        <v>0</v>
      </c>
      <c r="G971" s="13">
        <f>IF(AB971&gt;0, VLOOKUP(B971,Model!$A$39:$C$58, 3), 0)</f>
        <v>0</v>
      </c>
      <c r="H971" s="13">
        <f t="shared" si="296"/>
        <v>0</v>
      </c>
      <c r="I971" s="46">
        <f>Model!$B$21*EXP((-0.029*9.81*F971)/(8.31*(273+J971)))</f>
        <v>104500</v>
      </c>
      <c r="J971" s="13">
        <f>IF(Model!$B$31="Summer",  IF(F971&lt;=2000,  Model!$B$20-Model!$B$35*F971/1000,  IF(F971&lt;Model!$B$36,  Model!$B$33-6.5*F971/1000,  Model!$B$38)),     IF(F971&lt;=2000,  Model!$B$20-Model!$B$35*F971/1000,  IF(F971&lt;Model!$B$36,  Model!$B$33-5.4*F971/1000,   Model!$B$38)))</f>
        <v>-20</v>
      </c>
      <c r="K971" s="13">
        <f t="shared" si="291"/>
        <v>253</v>
      </c>
      <c r="L971" s="46">
        <f>IF(AB970-AA970*(B971-B970)&gt;0, L970-Y970*(B971-B970)*3600-AD971*Model!$B$16, 0)</f>
        <v>0</v>
      </c>
      <c r="M971" s="57">
        <f t="shared" si="297"/>
        <v>0</v>
      </c>
      <c r="N971" s="57">
        <f>Model!$B$13*I971*K971/(Model!$B$13*I971-L971*287*K971)</f>
        <v>253</v>
      </c>
      <c r="O971" s="57">
        <f t="shared" si="298"/>
        <v>253</v>
      </c>
      <c r="P971" s="57">
        <f t="shared" si="299"/>
        <v>-10</v>
      </c>
      <c r="Q971" s="63">
        <f t="shared" si="292"/>
        <v>2.2579999999999999E-2</v>
      </c>
      <c r="R971" s="17">
        <f t="shared" si="293"/>
        <v>1.152E-5</v>
      </c>
      <c r="S971" s="46">
        <f>0.37*Model!$B$10*(Q971^2*(N971-K971)*I971/(R971*O971^2))^0.33333*(N971-K971)</f>
        <v>0</v>
      </c>
      <c r="T971" s="51">
        <f>Model!$B$32+(90-Model!$B$6)*SIN(RADIANS(-15*(E971+6)))</f>
        <v>-31.619472402513487</v>
      </c>
      <c r="U971" s="46">
        <f t="shared" si="300"/>
        <v>0</v>
      </c>
      <c r="V971" s="51">
        <f t="shared" si="301"/>
        <v>99999</v>
      </c>
      <c r="W971" s="46">
        <f t="shared" si="302"/>
        <v>0</v>
      </c>
      <c r="X971" s="46">
        <f>0.3*W971*Model!$B$9</f>
        <v>0</v>
      </c>
      <c r="Y971" s="17">
        <f>(S971-X971)/Model!$B$11</f>
        <v>0</v>
      </c>
      <c r="Z971" s="46" t="e">
        <f t="shared" si="303"/>
        <v>#DIV/0!</v>
      </c>
      <c r="AA971" s="57">
        <f>Y971/Model!$B$12*3600</f>
        <v>0</v>
      </c>
      <c r="AB971" s="51">
        <f t="shared" si="308"/>
        <v>0</v>
      </c>
      <c r="AC971" s="51">
        <f t="shared" si="294"/>
        <v>1800</v>
      </c>
      <c r="AD971" s="13">
        <f>IF(AE971=0, Model!$B$19, 0 )</f>
        <v>0</v>
      </c>
      <c r="AE971" s="51">
        <f>IF(AE970+AB970-AB971&lt;Model!$B$19*Model!$B$18, AE970+AB970-AB971,  0)</f>
        <v>443.63457370611354</v>
      </c>
      <c r="AF971" s="13">
        <f t="shared" si="304"/>
        <v>1</v>
      </c>
      <c r="AG971" s="50">
        <f t="shared" si="305"/>
        <v>0</v>
      </c>
    </row>
    <row r="972" spans="2:33" x14ac:dyDescent="0.25">
      <c r="B972" s="15">
        <f t="shared" si="306"/>
        <v>1</v>
      </c>
      <c r="C972" s="15">
        <f>B972+Model!$B$4</f>
        <v>3</v>
      </c>
      <c r="D972" s="15">
        <f t="shared" si="307"/>
        <v>1</v>
      </c>
      <c r="E972" s="15">
        <f t="shared" si="295"/>
        <v>3</v>
      </c>
      <c r="F972" s="16">
        <f>IF(AB972&gt;0, VLOOKUP(B972,Model!$A$40:$B$60, 2), 0)</f>
        <v>0</v>
      </c>
      <c r="G972" s="15">
        <f>IF(AB972&gt;0, VLOOKUP(B972,Model!$A$39:$C$58, 3), 0)</f>
        <v>0</v>
      </c>
      <c r="H972" s="15">
        <f t="shared" si="296"/>
        <v>0</v>
      </c>
      <c r="I972" s="45">
        <f>Model!$B$21*EXP((-0.029*9.81*F972)/(8.31*(273+J972)))</f>
        <v>104500</v>
      </c>
      <c r="J972" s="15">
        <f>IF(Model!$B$31="Summer",  IF(F972&lt;=2000,  Model!$B$20-Model!$B$35*F972/1000,  IF(F972&lt;Model!$B$36,  Model!$B$33-6.5*F972/1000,  Model!$B$38)),     IF(F972&lt;=2000,  Model!$B$20-Model!$B$35*F972/1000,  IF(F972&lt;Model!$B$36,  Model!$B$33-5.4*F972/1000,   Model!$B$38)))</f>
        <v>-20</v>
      </c>
      <c r="K972" s="15">
        <f t="shared" si="291"/>
        <v>253</v>
      </c>
      <c r="L972" s="45">
        <f>IF(AB971-AA971*(B972-B971)&gt;0, L971-Y971*(B972-B971)*3600-AD972*Model!$B$16, 0)</f>
        <v>0</v>
      </c>
      <c r="M972" s="56">
        <f t="shared" si="297"/>
        <v>0</v>
      </c>
      <c r="N972" s="56">
        <f>Model!$B$13*I972*K972/(Model!$B$13*I972-L972*287*K972)</f>
        <v>253</v>
      </c>
      <c r="O972" s="56">
        <f t="shared" si="298"/>
        <v>253</v>
      </c>
      <c r="P972" s="56">
        <f t="shared" si="299"/>
        <v>-10</v>
      </c>
      <c r="Q972" s="62">
        <f t="shared" si="292"/>
        <v>2.2579999999999999E-2</v>
      </c>
      <c r="R972" s="33">
        <f t="shared" si="293"/>
        <v>1.152E-5</v>
      </c>
      <c r="S972" s="45">
        <f>0.37*Model!$B$10*(Q972^2*(N972-K972)*I972/(R972*O972^2))^0.33333*(N972-K972)</f>
        <v>0</v>
      </c>
      <c r="T972" s="50">
        <f>Model!$B$32+(90-Model!$B$6)*SIN(RADIANS(-15*(E972+6)))</f>
        <v>-31.619472402513487</v>
      </c>
      <c r="U972" s="45">
        <f t="shared" si="300"/>
        <v>0</v>
      </c>
      <c r="V972" s="50">
        <f t="shared" si="301"/>
        <v>99999</v>
      </c>
      <c r="W972" s="45">
        <f t="shared" si="302"/>
        <v>0</v>
      </c>
      <c r="X972" s="45">
        <f>0.3*W972*Model!$B$9</f>
        <v>0</v>
      </c>
      <c r="Y972" s="33">
        <f>(S972-X972)/Model!$B$11</f>
        <v>0</v>
      </c>
      <c r="Z972" s="45" t="e">
        <f t="shared" si="303"/>
        <v>#DIV/0!</v>
      </c>
      <c r="AA972" s="56">
        <f>Y972/Model!$B$12*3600</f>
        <v>0</v>
      </c>
      <c r="AB972" s="50">
        <f t="shared" si="308"/>
        <v>0</v>
      </c>
      <c r="AC972" s="50">
        <f t="shared" si="294"/>
        <v>1800</v>
      </c>
      <c r="AD972" s="15">
        <f>IF(AE972=0, Model!$B$19, 0 )</f>
        <v>0</v>
      </c>
      <c r="AE972" s="50">
        <f>IF(AE971+AB971-AB972&lt;Model!$B$19*Model!$B$18, AE971+AB971-AB972,  0)</f>
        <v>443.63457370611354</v>
      </c>
      <c r="AF972" s="15">
        <f t="shared" si="304"/>
        <v>1</v>
      </c>
      <c r="AG972" s="50">
        <f t="shared" si="305"/>
        <v>0</v>
      </c>
    </row>
    <row r="973" spans="2:33" x14ac:dyDescent="0.25">
      <c r="B973" s="13">
        <f t="shared" si="306"/>
        <v>1</v>
      </c>
      <c r="C973" s="13">
        <f>B973+Model!$B$4</f>
        <v>3</v>
      </c>
      <c r="D973" s="13">
        <f t="shared" si="307"/>
        <v>1</v>
      </c>
      <c r="E973" s="13">
        <f t="shared" si="295"/>
        <v>3</v>
      </c>
      <c r="F973" s="14">
        <f>IF(AB973&gt;0, VLOOKUP(B973,Model!$A$40:$B$60, 2), 0)</f>
        <v>0</v>
      </c>
      <c r="G973" s="13">
        <f>IF(AB973&gt;0, VLOOKUP(B973,Model!$A$39:$C$58, 3), 0)</f>
        <v>0</v>
      </c>
      <c r="H973" s="13">
        <f t="shared" si="296"/>
        <v>0</v>
      </c>
      <c r="I973" s="46">
        <f>Model!$B$21*EXP((-0.029*9.81*F973)/(8.31*(273+J973)))</f>
        <v>104500</v>
      </c>
      <c r="J973" s="13">
        <f>IF(Model!$B$31="Summer",  IF(F973&lt;=2000,  Model!$B$20-Model!$B$35*F973/1000,  IF(F973&lt;Model!$B$36,  Model!$B$33-6.5*F973/1000,  Model!$B$38)),     IF(F973&lt;=2000,  Model!$B$20-Model!$B$35*F973/1000,  IF(F973&lt;Model!$B$36,  Model!$B$33-5.4*F973/1000,   Model!$B$38)))</f>
        <v>-20</v>
      </c>
      <c r="K973" s="13">
        <f t="shared" si="291"/>
        <v>253</v>
      </c>
      <c r="L973" s="46">
        <f>IF(AB972-AA972*(B973-B972)&gt;0, L972-Y972*(B973-B972)*3600-AD973*Model!$B$16, 0)</f>
        <v>0</v>
      </c>
      <c r="M973" s="57">
        <f t="shared" si="297"/>
        <v>0</v>
      </c>
      <c r="N973" s="57">
        <f>Model!$B$13*I973*K973/(Model!$B$13*I973-L973*287*K973)</f>
        <v>253</v>
      </c>
      <c r="O973" s="57">
        <f t="shared" si="298"/>
        <v>253</v>
      </c>
      <c r="P973" s="57">
        <f t="shared" si="299"/>
        <v>-10</v>
      </c>
      <c r="Q973" s="63">
        <f t="shared" si="292"/>
        <v>2.2579999999999999E-2</v>
      </c>
      <c r="R973" s="17">
        <f t="shared" si="293"/>
        <v>1.152E-5</v>
      </c>
      <c r="S973" s="46">
        <f>0.37*Model!$B$10*(Q973^2*(N973-K973)*I973/(R973*O973^2))^0.33333*(N973-K973)</f>
        <v>0</v>
      </c>
      <c r="T973" s="51">
        <f>Model!$B$32+(90-Model!$B$6)*SIN(RADIANS(-15*(E973+6)))</f>
        <v>-31.619472402513487</v>
      </c>
      <c r="U973" s="46">
        <f t="shared" si="300"/>
        <v>0</v>
      </c>
      <c r="V973" s="51">
        <f t="shared" si="301"/>
        <v>99999</v>
      </c>
      <c r="W973" s="46">
        <f t="shared" si="302"/>
        <v>0</v>
      </c>
      <c r="X973" s="46">
        <f>0.3*W973*Model!$B$9</f>
        <v>0</v>
      </c>
      <c r="Y973" s="17">
        <f>(S973-X973)/Model!$B$11</f>
        <v>0</v>
      </c>
      <c r="Z973" s="46" t="e">
        <f t="shared" si="303"/>
        <v>#DIV/0!</v>
      </c>
      <c r="AA973" s="57">
        <f>Y973/Model!$B$12*3600</f>
        <v>0</v>
      </c>
      <c r="AB973" s="51">
        <f t="shared" si="308"/>
        <v>0</v>
      </c>
      <c r="AC973" s="51">
        <f t="shared" si="294"/>
        <v>1800</v>
      </c>
      <c r="AD973" s="13">
        <f>IF(AE973=0, Model!$B$19, 0 )</f>
        <v>0</v>
      </c>
      <c r="AE973" s="51">
        <f>IF(AE972+AB972-AB973&lt;Model!$B$19*Model!$B$18, AE972+AB972-AB973,  0)</f>
        <v>443.63457370611354</v>
      </c>
      <c r="AF973" s="13">
        <f t="shared" si="304"/>
        <v>1</v>
      </c>
      <c r="AG973" s="50">
        <f t="shared" si="305"/>
        <v>0</v>
      </c>
    </row>
    <row r="974" spans="2:33" x14ac:dyDescent="0.25">
      <c r="B974" s="15">
        <f t="shared" si="306"/>
        <v>1</v>
      </c>
      <c r="C974" s="15">
        <f>B974+Model!$B$4</f>
        <v>3</v>
      </c>
      <c r="D974" s="15">
        <f t="shared" si="307"/>
        <v>1</v>
      </c>
      <c r="E974" s="15">
        <f t="shared" si="295"/>
        <v>3</v>
      </c>
      <c r="F974" s="16">
        <f>IF(AB974&gt;0, VLOOKUP(B974,Model!$A$40:$B$60, 2), 0)</f>
        <v>0</v>
      </c>
      <c r="G974" s="15">
        <f>IF(AB974&gt;0, VLOOKUP(B974,Model!$A$39:$C$58, 3), 0)</f>
        <v>0</v>
      </c>
      <c r="H974" s="15">
        <f t="shared" si="296"/>
        <v>0</v>
      </c>
      <c r="I974" s="45">
        <f>Model!$B$21*EXP((-0.029*9.81*F974)/(8.31*(273+J974)))</f>
        <v>104500</v>
      </c>
      <c r="J974" s="15">
        <f>IF(Model!$B$31="Summer",  IF(F974&lt;=2000,  Model!$B$20-Model!$B$35*F974/1000,  IF(F974&lt;Model!$B$36,  Model!$B$33-6.5*F974/1000,  Model!$B$38)),     IF(F974&lt;=2000,  Model!$B$20-Model!$B$35*F974/1000,  IF(F974&lt;Model!$B$36,  Model!$B$33-5.4*F974/1000,   Model!$B$38)))</f>
        <v>-20</v>
      </c>
      <c r="K974" s="15">
        <f t="shared" si="291"/>
        <v>253</v>
      </c>
      <c r="L974" s="45">
        <f>IF(AB973-AA973*(B974-B973)&gt;0, L973-Y973*(B974-B973)*3600-AD974*Model!$B$16, 0)</f>
        <v>0</v>
      </c>
      <c r="M974" s="56">
        <f t="shared" si="297"/>
        <v>0</v>
      </c>
      <c r="N974" s="56">
        <f>Model!$B$13*I974*K974/(Model!$B$13*I974-L974*287*K974)</f>
        <v>253</v>
      </c>
      <c r="O974" s="56">
        <f t="shared" si="298"/>
        <v>253</v>
      </c>
      <c r="P974" s="56">
        <f t="shared" si="299"/>
        <v>-10</v>
      </c>
      <c r="Q974" s="62">
        <f t="shared" si="292"/>
        <v>2.2579999999999999E-2</v>
      </c>
      <c r="R974" s="33">
        <f t="shared" si="293"/>
        <v>1.152E-5</v>
      </c>
      <c r="S974" s="45">
        <f>0.37*Model!$B$10*(Q974^2*(N974-K974)*I974/(R974*O974^2))^0.33333*(N974-K974)</f>
        <v>0</v>
      </c>
      <c r="T974" s="50">
        <f>Model!$B$32+(90-Model!$B$6)*SIN(RADIANS(-15*(E974+6)))</f>
        <v>-31.619472402513487</v>
      </c>
      <c r="U974" s="45">
        <f t="shared" si="300"/>
        <v>0</v>
      </c>
      <c r="V974" s="50">
        <f t="shared" si="301"/>
        <v>99999</v>
      </c>
      <c r="W974" s="45">
        <f t="shared" si="302"/>
        <v>0</v>
      </c>
      <c r="X974" s="45">
        <f>0.3*W974*Model!$B$9</f>
        <v>0</v>
      </c>
      <c r="Y974" s="33">
        <f>(S974-X974)/Model!$B$11</f>
        <v>0</v>
      </c>
      <c r="Z974" s="45" t="e">
        <f t="shared" si="303"/>
        <v>#DIV/0!</v>
      </c>
      <c r="AA974" s="56">
        <f>Y974/Model!$B$12*3600</f>
        <v>0</v>
      </c>
      <c r="AB974" s="50">
        <f t="shared" si="308"/>
        <v>0</v>
      </c>
      <c r="AC974" s="50">
        <f t="shared" si="294"/>
        <v>1800</v>
      </c>
      <c r="AD974" s="15">
        <f>IF(AE974=0, Model!$B$19, 0 )</f>
        <v>0</v>
      </c>
      <c r="AE974" s="50">
        <f>IF(AE973+AB973-AB974&lt;Model!$B$19*Model!$B$18, AE973+AB973-AB974,  0)</f>
        <v>443.63457370611354</v>
      </c>
      <c r="AF974" s="15">
        <f t="shared" si="304"/>
        <v>1</v>
      </c>
      <c r="AG974" s="50">
        <f t="shared" si="305"/>
        <v>0</v>
      </c>
    </row>
    <row r="975" spans="2:33" x14ac:dyDescent="0.25">
      <c r="B975" s="13">
        <f t="shared" si="306"/>
        <v>1</v>
      </c>
      <c r="C975" s="13">
        <f>B975+Model!$B$4</f>
        <v>3</v>
      </c>
      <c r="D975" s="13">
        <f t="shared" si="307"/>
        <v>1</v>
      </c>
      <c r="E975" s="13">
        <f t="shared" si="295"/>
        <v>3</v>
      </c>
      <c r="F975" s="14">
        <f>IF(AB975&gt;0, VLOOKUP(B975,Model!$A$40:$B$60, 2), 0)</f>
        <v>0</v>
      </c>
      <c r="G975" s="13">
        <f>IF(AB975&gt;0, VLOOKUP(B975,Model!$A$39:$C$58, 3), 0)</f>
        <v>0</v>
      </c>
      <c r="H975" s="13">
        <f t="shared" si="296"/>
        <v>0</v>
      </c>
      <c r="I975" s="46">
        <f>Model!$B$21*EXP((-0.029*9.81*F975)/(8.31*(273+J975)))</f>
        <v>104500</v>
      </c>
      <c r="J975" s="13">
        <f>IF(Model!$B$31="Summer",  IF(F975&lt;=2000,  Model!$B$20-Model!$B$35*F975/1000,  IF(F975&lt;Model!$B$36,  Model!$B$33-6.5*F975/1000,  Model!$B$38)),     IF(F975&lt;=2000,  Model!$B$20-Model!$B$35*F975/1000,  IF(F975&lt;Model!$B$36,  Model!$B$33-5.4*F975/1000,   Model!$B$38)))</f>
        <v>-20</v>
      </c>
      <c r="K975" s="13">
        <f t="shared" si="291"/>
        <v>253</v>
      </c>
      <c r="L975" s="46">
        <f>IF(AB974-AA974*(B975-B974)&gt;0, L974-Y974*(B975-B974)*3600-AD975*Model!$B$16, 0)</f>
        <v>0</v>
      </c>
      <c r="M975" s="57">
        <f t="shared" si="297"/>
        <v>0</v>
      </c>
      <c r="N975" s="57">
        <f>Model!$B$13*I975*K975/(Model!$B$13*I975-L975*287*K975)</f>
        <v>253</v>
      </c>
      <c r="O975" s="57">
        <f t="shared" si="298"/>
        <v>253</v>
      </c>
      <c r="P975" s="57">
        <f t="shared" si="299"/>
        <v>-10</v>
      </c>
      <c r="Q975" s="63">
        <f t="shared" si="292"/>
        <v>2.2579999999999999E-2</v>
      </c>
      <c r="R975" s="17">
        <f t="shared" si="293"/>
        <v>1.152E-5</v>
      </c>
      <c r="S975" s="46">
        <f>0.37*Model!$B$10*(Q975^2*(N975-K975)*I975/(R975*O975^2))^0.33333*(N975-K975)</f>
        <v>0</v>
      </c>
      <c r="T975" s="51">
        <f>Model!$B$32+(90-Model!$B$6)*SIN(RADIANS(-15*(E975+6)))</f>
        <v>-31.619472402513487</v>
      </c>
      <c r="U975" s="46">
        <f t="shared" si="300"/>
        <v>0</v>
      </c>
      <c r="V975" s="51">
        <f t="shared" si="301"/>
        <v>99999</v>
      </c>
      <c r="W975" s="46">
        <f t="shared" si="302"/>
        <v>0</v>
      </c>
      <c r="X975" s="46">
        <f>0.3*W975*Model!$B$9</f>
        <v>0</v>
      </c>
      <c r="Y975" s="17">
        <f>(S975-X975)/Model!$B$11</f>
        <v>0</v>
      </c>
      <c r="Z975" s="46" t="e">
        <f t="shared" si="303"/>
        <v>#DIV/0!</v>
      </c>
      <c r="AA975" s="57">
        <f>Y975/Model!$B$12*3600</f>
        <v>0</v>
      </c>
      <c r="AB975" s="51">
        <f t="shared" si="308"/>
        <v>0</v>
      </c>
      <c r="AC975" s="51">
        <f t="shared" si="294"/>
        <v>1800</v>
      </c>
      <c r="AD975" s="13">
        <f>IF(AE975=0, Model!$B$19, 0 )</f>
        <v>0</v>
      </c>
      <c r="AE975" s="51">
        <f>IF(AE974+AB974-AB975&lt;Model!$B$19*Model!$B$18, AE974+AB974-AB975,  0)</f>
        <v>443.63457370611354</v>
      </c>
      <c r="AF975" s="13">
        <f t="shared" si="304"/>
        <v>1</v>
      </c>
      <c r="AG975" s="50">
        <f t="shared" si="305"/>
        <v>0</v>
      </c>
    </row>
    <row r="976" spans="2:33" x14ac:dyDescent="0.25">
      <c r="B976" s="15">
        <f t="shared" si="306"/>
        <v>1</v>
      </c>
      <c r="C976" s="15">
        <f>B976+Model!$B$4</f>
        <v>3</v>
      </c>
      <c r="D976" s="15">
        <f t="shared" si="307"/>
        <v>1</v>
      </c>
      <c r="E976" s="15">
        <f t="shared" si="295"/>
        <v>3</v>
      </c>
      <c r="F976" s="16">
        <f>IF(AB976&gt;0, VLOOKUP(B976,Model!$A$40:$B$60, 2), 0)</f>
        <v>0</v>
      </c>
      <c r="G976" s="15">
        <f>IF(AB976&gt;0, VLOOKUP(B976,Model!$A$39:$C$58, 3), 0)</f>
        <v>0</v>
      </c>
      <c r="H976" s="15">
        <f t="shared" si="296"/>
        <v>0</v>
      </c>
      <c r="I976" s="45">
        <f>Model!$B$21*EXP((-0.029*9.81*F976)/(8.31*(273+J976)))</f>
        <v>104500</v>
      </c>
      <c r="J976" s="15">
        <f>IF(Model!$B$31="Summer",  IF(F976&lt;=2000,  Model!$B$20-Model!$B$35*F976/1000,  IF(F976&lt;Model!$B$36,  Model!$B$33-6.5*F976/1000,  Model!$B$38)),     IF(F976&lt;=2000,  Model!$B$20-Model!$B$35*F976/1000,  IF(F976&lt;Model!$B$36,  Model!$B$33-5.4*F976/1000,   Model!$B$38)))</f>
        <v>-20</v>
      </c>
      <c r="K976" s="15">
        <f t="shared" si="291"/>
        <v>253</v>
      </c>
      <c r="L976" s="45">
        <f>IF(AB975-AA975*(B976-B975)&gt;0, L975-Y975*(B976-B975)*3600-AD976*Model!$B$16, 0)</f>
        <v>0</v>
      </c>
      <c r="M976" s="56">
        <f t="shared" si="297"/>
        <v>0</v>
      </c>
      <c r="N976" s="56">
        <f>Model!$B$13*I976*K976/(Model!$B$13*I976-L976*287*K976)</f>
        <v>253</v>
      </c>
      <c r="O976" s="56">
        <f t="shared" si="298"/>
        <v>253</v>
      </c>
      <c r="P976" s="56">
        <f t="shared" si="299"/>
        <v>-10</v>
      </c>
      <c r="Q976" s="62">
        <f t="shared" si="292"/>
        <v>2.2579999999999999E-2</v>
      </c>
      <c r="R976" s="33">
        <f t="shared" si="293"/>
        <v>1.152E-5</v>
      </c>
      <c r="S976" s="45">
        <f>0.37*Model!$B$10*(Q976^2*(N976-K976)*I976/(R976*O976^2))^0.33333*(N976-K976)</f>
        <v>0</v>
      </c>
      <c r="T976" s="50">
        <f>Model!$B$32+(90-Model!$B$6)*SIN(RADIANS(-15*(E976+6)))</f>
        <v>-31.619472402513487</v>
      </c>
      <c r="U976" s="45">
        <f t="shared" si="300"/>
        <v>0</v>
      </c>
      <c r="V976" s="50">
        <f t="shared" si="301"/>
        <v>99999</v>
      </c>
      <c r="W976" s="45">
        <f t="shared" si="302"/>
        <v>0</v>
      </c>
      <c r="X976" s="45">
        <f>0.3*W976*Model!$B$9</f>
        <v>0</v>
      </c>
      <c r="Y976" s="33">
        <f>(S976-X976)/Model!$B$11</f>
        <v>0</v>
      </c>
      <c r="Z976" s="45" t="e">
        <f t="shared" si="303"/>
        <v>#DIV/0!</v>
      </c>
      <c r="AA976" s="56">
        <f>Y976/Model!$B$12*3600</f>
        <v>0</v>
      </c>
      <c r="AB976" s="50">
        <f t="shared" si="308"/>
        <v>0</v>
      </c>
      <c r="AC976" s="50">
        <f t="shared" si="294"/>
        <v>1800</v>
      </c>
      <c r="AD976" s="15">
        <f>IF(AE976=0, Model!$B$19, 0 )</f>
        <v>0</v>
      </c>
      <c r="AE976" s="50">
        <f>IF(AE975+AB975-AB976&lt;Model!$B$19*Model!$B$18, AE975+AB975-AB976,  0)</f>
        <v>443.63457370611354</v>
      </c>
      <c r="AF976" s="15">
        <f t="shared" si="304"/>
        <v>1</v>
      </c>
      <c r="AG976" s="50">
        <f t="shared" si="305"/>
        <v>0</v>
      </c>
    </row>
    <row r="977" spans="2:33" x14ac:dyDescent="0.25">
      <c r="B977" s="13">
        <f t="shared" si="306"/>
        <v>1</v>
      </c>
      <c r="C977" s="13">
        <f>B977+Model!$B$4</f>
        <v>3</v>
      </c>
      <c r="D977" s="13">
        <f t="shared" si="307"/>
        <v>1</v>
      </c>
      <c r="E977" s="13">
        <f t="shared" si="295"/>
        <v>3</v>
      </c>
      <c r="F977" s="14">
        <f>IF(AB977&gt;0, VLOOKUP(B977,Model!$A$40:$B$60, 2), 0)</f>
        <v>0</v>
      </c>
      <c r="G977" s="13">
        <f>IF(AB977&gt;0, VLOOKUP(B977,Model!$A$39:$C$58, 3), 0)</f>
        <v>0</v>
      </c>
      <c r="H977" s="13">
        <f t="shared" si="296"/>
        <v>0</v>
      </c>
      <c r="I977" s="46">
        <f>Model!$B$21*EXP((-0.029*9.81*F977)/(8.31*(273+J977)))</f>
        <v>104500</v>
      </c>
      <c r="J977" s="13">
        <f>IF(Model!$B$31="Summer",  IF(F977&lt;=2000,  Model!$B$20-Model!$B$35*F977/1000,  IF(F977&lt;Model!$B$36,  Model!$B$33-6.5*F977/1000,  Model!$B$38)),     IF(F977&lt;=2000,  Model!$B$20-Model!$B$35*F977/1000,  IF(F977&lt;Model!$B$36,  Model!$B$33-5.4*F977/1000,   Model!$B$38)))</f>
        <v>-20</v>
      </c>
      <c r="K977" s="13">
        <f t="shared" si="291"/>
        <v>253</v>
      </c>
      <c r="L977" s="46">
        <f>IF(AB976-AA976*(B977-B976)&gt;0, L976-Y976*(B977-B976)*3600-AD977*Model!$B$16, 0)</f>
        <v>0</v>
      </c>
      <c r="M977" s="57">
        <f t="shared" si="297"/>
        <v>0</v>
      </c>
      <c r="N977" s="57">
        <f>Model!$B$13*I977*K977/(Model!$B$13*I977-L977*287*K977)</f>
        <v>253</v>
      </c>
      <c r="O977" s="57">
        <f t="shared" si="298"/>
        <v>253</v>
      </c>
      <c r="P977" s="57">
        <f t="shared" si="299"/>
        <v>-10</v>
      </c>
      <c r="Q977" s="63">
        <f t="shared" si="292"/>
        <v>2.2579999999999999E-2</v>
      </c>
      <c r="R977" s="17">
        <f t="shared" si="293"/>
        <v>1.152E-5</v>
      </c>
      <c r="S977" s="46">
        <f>0.37*Model!$B$10*(Q977^2*(N977-K977)*I977/(R977*O977^2))^0.33333*(N977-K977)</f>
        <v>0</v>
      </c>
      <c r="T977" s="51">
        <f>Model!$B$32+(90-Model!$B$6)*SIN(RADIANS(-15*(E977+6)))</f>
        <v>-31.619472402513487</v>
      </c>
      <c r="U977" s="46">
        <f t="shared" si="300"/>
        <v>0</v>
      </c>
      <c r="V977" s="51">
        <f t="shared" si="301"/>
        <v>99999</v>
      </c>
      <c r="W977" s="46">
        <f t="shared" si="302"/>
        <v>0</v>
      </c>
      <c r="X977" s="46">
        <f>0.3*W977*Model!$B$9</f>
        <v>0</v>
      </c>
      <c r="Y977" s="17">
        <f>(S977-X977)/Model!$B$11</f>
        <v>0</v>
      </c>
      <c r="Z977" s="46" t="e">
        <f t="shared" si="303"/>
        <v>#DIV/0!</v>
      </c>
      <c r="AA977" s="57">
        <f>Y977/Model!$B$12*3600</f>
        <v>0</v>
      </c>
      <c r="AB977" s="51">
        <f t="shared" si="308"/>
        <v>0</v>
      </c>
      <c r="AC977" s="51">
        <f t="shared" si="294"/>
        <v>1800</v>
      </c>
      <c r="AD977" s="13">
        <f>IF(AE977=0, Model!$B$19, 0 )</f>
        <v>0</v>
      </c>
      <c r="AE977" s="51">
        <f>IF(AE976+AB976-AB977&lt;Model!$B$19*Model!$B$18, AE976+AB976-AB977,  0)</f>
        <v>443.63457370611354</v>
      </c>
      <c r="AF977" s="13">
        <f t="shared" si="304"/>
        <v>1</v>
      </c>
      <c r="AG977" s="50">
        <f t="shared" si="305"/>
        <v>0</v>
      </c>
    </row>
    <row r="978" spans="2:33" x14ac:dyDescent="0.25">
      <c r="B978" s="15">
        <f t="shared" si="306"/>
        <v>1</v>
      </c>
      <c r="C978" s="15">
        <f>B978+Model!$B$4</f>
        <v>3</v>
      </c>
      <c r="D978" s="15">
        <f t="shared" si="307"/>
        <v>1</v>
      </c>
      <c r="E978" s="15">
        <f t="shared" si="295"/>
        <v>3</v>
      </c>
      <c r="F978" s="16">
        <f>IF(AB978&gt;0, VLOOKUP(B978,Model!$A$40:$B$60, 2), 0)</f>
        <v>0</v>
      </c>
      <c r="G978" s="15">
        <f>IF(AB978&gt;0, VLOOKUP(B978,Model!$A$39:$C$58, 3), 0)</f>
        <v>0</v>
      </c>
      <c r="H978" s="15">
        <f t="shared" si="296"/>
        <v>0</v>
      </c>
      <c r="I978" s="45">
        <f>Model!$B$21*EXP((-0.029*9.81*F978)/(8.31*(273+J978)))</f>
        <v>104500</v>
      </c>
      <c r="J978" s="15">
        <f>IF(Model!$B$31="Summer",  IF(F978&lt;=2000,  Model!$B$20-Model!$B$35*F978/1000,  IF(F978&lt;Model!$B$36,  Model!$B$33-6.5*F978/1000,  Model!$B$38)),     IF(F978&lt;=2000,  Model!$B$20-Model!$B$35*F978/1000,  IF(F978&lt;Model!$B$36,  Model!$B$33-5.4*F978/1000,   Model!$B$38)))</f>
        <v>-20</v>
      </c>
      <c r="K978" s="15">
        <f t="shared" si="291"/>
        <v>253</v>
      </c>
      <c r="L978" s="45">
        <f>IF(AB977-AA977*(B978-B977)&gt;0, L977-Y977*(B978-B977)*3600-AD978*Model!$B$16, 0)</f>
        <v>0</v>
      </c>
      <c r="M978" s="56">
        <f t="shared" si="297"/>
        <v>0</v>
      </c>
      <c r="N978" s="56">
        <f>Model!$B$13*I978*K978/(Model!$B$13*I978-L978*287*K978)</f>
        <v>253</v>
      </c>
      <c r="O978" s="56">
        <f t="shared" si="298"/>
        <v>253</v>
      </c>
      <c r="P978" s="56">
        <f t="shared" si="299"/>
        <v>-10</v>
      </c>
      <c r="Q978" s="62">
        <f t="shared" si="292"/>
        <v>2.2579999999999999E-2</v>
      </c>
      <c r="R978" s="33">
        <f t="shared" si="293"/>
        <v>1.152E-5</v>
      </c>
      <c r="S978" s="45">
        <f>0.37*Model!$B$10*(Q978^2*(N978-K978)*I978/(R978*O978^2))^0.33333*(N978-K978)</f>
        <v>0</v>
      </c>
      <c r="T978" s="50">
        <f>Model!$B$32+(90-Model!$B$6)*SIN(RADIANS(-15*(E978+6)))</f>
        <v>-31.619472402513487</v>
      </c>
      <c r="U978" s="45">
        <f t="shared" si="300"/>
        <v>0</v>
      </c>
      <c r="V978" s="50">
        <f t="shared" si="301"/>
        <v>99999</v>
      </c>
      <c r="W978" s="45">
        <f t="shared" si="302"/>
        <v>0</v>
      </c>
      <c r="X978" s="45">
        <f>0.3*W978*Model!$B$9</f>
        <v>0</v>
      </c>
      <c r="Y978" s="33">
        <f>(S978-X978)/Model!$B$11</f>
        <v>0</v>
      </c>
      <c r="Z978" s="45" t="e">
        <f t="shared" si="303"/>
        <v>#DIV/0!</v>
      </c>
      <c r="AA978" s="56">
        <f>Y978/Model!$B$12*3600</f>
        <v>0</v>
      </c>
      <c r="AB978" s="50">
        <f t="shared" si="308"/>
        <v>0</v>
      </c>
      <c r="AC978" s="50">
        <f t="shared" si="294"/>
        <v>1800</v>
      </c>
      <c r="AD978" s="15">
        <f>IF(AE978=0, Model!$B$19, 0 )</f>
        <v>0</v>
      </c>
      <c r="AE978" s="50">
        <f>IF(AE977+AB977-AB978&lt;Model!$B$19*Model!$B$18, AE977+AB977-AB978,  0)</f>
        <v>443.63457370611354</v>
      </c>
      <c r="AF978" s="15">
        <f t="shared" si="304"/>
        <v>1</v>
      </c>
      <c r="AG978" s="50">
        <f t="shared" si="305"/>
        <v>0</v>
      </c>
    </row>
    <row r="979" spans="2:33" x14ac:dyDescent="0.25">
      <c r="B979" s="13">
        <f t="shared" si="306"/>
        <v>1</v>
      </c>
      <c r="C979" s="13">
        <f>B979+Model!$B$4</f>
        <v>3</v>
      </c>
      <c r="D979" s="13">
        <f t="shared" si="307"/>
        <v>1</v>
      </c>
      <c r="E979" s="13">
        <f t="shared" si="295"/>
        <v>3</v>
      </c>
      <c r="F979" s="14">
        <f>IF(AB979&gt;0, VLOOKUP(B979,Model!$A$40:$B$60, 2), 0)</f>
        <v>0</v>
      </c>
      <c r="G979" s="13">
        <f>IF(AB979&gt;0, VLOOKUP(B979,Model!$A$39:$C$58, 3), 0)</f>
        <v>0</v>
      </c>
      <c r="H979" s="13">
        <f t="shared" si="296"/>
        <v>0</v>
      </c>
      <c r="I979" s="46">
        <f>Model!$B$21*EXP((-0.029*9.81*F979)/(8.31*(273+J979)))</f>
        <v>104500</v>
      </c>
      <c r="J979" s="13">
        <f>IF(Model!$B$31="Summer",  IF(F979&lt;=2000,  Model!$B$20-Model!$B$35*F979/1000,  IF(F979&lt;Model!$B$36,  Model!$B$33-6.5*F979/1000,  Model!$B$38)),     IF(F979&lt;=2000,  Model!$B$20-Model!$B$35*F979/1000,  IF(F979&lt;Model!$B$36,  Model!$B$33-5.4*F979/1000,   Model!$B$38)))</f>
        <v>-20</v>
      </c>
      <c r="K979" s="13">
        <f t="shared" si="291"/>
        <v>253</v>
      </c>
      <c r="L979" s="46">
        <f>IF(AB978-AA978*(B979-B978)&gt;0, L978-Y978*(B979-B978)*3600-AD979*Model!$B$16, 0)</f>
        <v>0</v>
      </c>
      <c r="M979" s="57">
        <f t="shared" si="297"/>
        <v>0</v>
      </c>
      <c r="N979" s="57">
        <f>Model!$B$13*I979*K979/(Model!$B$13*I979-L979*287*K979)</f>
        <v>253</v>
      </c>
      <c r="O979" s="57">
        <f t="shared" si="298"/>
        <v>253</v>
      </c>
      <c r="P979" s="57">
        <f t="shared" si="299"/>
        <v>-10</v>
      </c>
      <c r="Q979" s="63">
        <f t="shared" si="292"/>
        <v>2.2579999999999999E-2</v>
      </c>
      <c r="R979" s="17">
        <f t="shared" si="293"/>
        <v>1.152E-5</v>
      </c>
      <c r="S979" s="46">
        <f>0.37*Model!$B$10*(Q979^2*(N979-K979)*I979/(R979*O979^2))^0.33333*(N979-K979)</f>
        <v>0</v>
      </c>
      <c r="T979" s="51">
        <f>Model!$B$32+(90-Model!$B$6)*SIN(RADIANS(-15*(E979+6)))</f>
        <v>-31.619472402513487</v>
      </c>
      <c r="U979" s="46">
        <f t="shared" si="300"/>
        <v>0</v>
      </c>
      <c r="V979" s="51">
        <f t="shared" si="301"/>
        <v>99999</v>
      </c>
      <c r="W979" s="46">
        <f t="shared" si="302"/>
        <v>0</v>
      </c>
      <c r="X979" s="46">
        <f>0.3*W979*Model!$B$9</f>
        <v>0</v>
      </c>
      <c r="Y979" s="17">
        <f>(S979-X979)/Model!$B$11</f>
        <v>0</v>
      </c>
      <c r="Z979" s="46" t="e">
        <f t="shared" si="303"/>
        <v>#DIV/0!</v>
      </c>
      <c r="AA979" s="57">
        <f>Y979/Model!$B$12*3600</f>
        <v>0</v>
      </c>
      <c r="AB979" s="51">
        <f t="shared" si="308"/>
        <v>0</v>
      </c>
      <c r="AC979" s="51">
        <f t="shared" si="294"/>
        <v>1800</v>
      </c>
      <c r="AD979" s="13">
        <f>IF(AE979=0, Model!$B$19, 0 )</f>
        <v>0</v>
      </c>
      <c r="AE979" s="51">
        <f>IF(AE978+AB978-AB979&lt;Model!$B$19*Model!$B$18, AE978+AB978-AB979,  0)</f>
        <v>443.63457370611354</v>
      </c>
      <c r="AF979" s="13">
        <f t="shared" si="304"/>
        <v>1</v>
      </c>
      <c r="AG979" s="50">
        <f t="shared" si="305"/>
        <v>0</v>
      </c>
    </row>
    <row r="980" spans="2:33" x14ac:dyDescent="0.25">
      <c r="B980" s="15">
        <f t="shared" si="306"/>
        <v>1</v>
      </c>
      <c r="C980" s="15">
        <f>B980+Model!$B$4</f>
        <v>3</v>
      </c>
      <c r="D980" s="15">
        <f t="shared" si="307"/>
        <v>1</v>
      </c>
      <c r="E980" s="15">
        <f t="shared" si="295"/>
        <v>3</v>
      </c>
      <c r="F980" s="16">
        <f>IF(AB980&gt;0, VLOOKUP(B980,Model!$A$40:$B$60, 2), 0)</f>
        <v>0</v>
      </c>
      <c r="G980" s="15">
        <f>IF(AB980&gt;0, VLOOKUP(B980,Model!$A$39:$C$58, 3), 0)</f>
        <v>0</v>
      </c>
      <c r="H980" s="15">
        <f t="shared" si="296"/>
        <v>0</v>
      </c>
      <c r="I980" s="45">
        <f>Model!$B$21*EXP((-0.029*9.81*F980)/(8.31*(273+J980)))</f>
        <v>104500</v>
      </c>
      <c r="J980" s="15">
        <f>IF(Model!$B$31="Summer",  IF(F980&lt;=2000,  Model!$B$20-Model!$B$35*F980/1000,  IF(F980&lt;Model!$B$36,  Model!$B$33-6.5*F980/1000,  Model!$B$38)),     IF(F980&lt;=2000,  Model!$B$20-Model!$B$35*F980/1000,  IF(F980&lt;Model!$B$36,  Model!$B$33-5.4*F980/1000,   Model!$B$38)))</f>
        <v>-20</v>
      </c>
      <c r="K980" s="15">
        <f t="shared" si="291"/>
        <v>253</v>
      </c>
      <c r="L980" s="45">
        <f>IF(AB979-AA979*(B980-B979)&gt;0, L979-Y979*(B980-B979)*3600-AD980*Model!$B$16, 0)</f>
        <v>0</v>
      </c>
      <c r="M980" s="56">
        <f t="shared" si="297"/>
        <v>0</v>
      </c>
      <c r="N980" s="56">
        <f>Model!$B$13*I980*K980/(Model!$B$13*I980-L980*287*K980)</f>
        <v>253</v>
      </c>
      <c r="O980" s="56">
        <f t="shared" si="298"/>
        <v>253</v>
      </c>
      <c r="P980" s="56">
        <f t="shared" si="299"/>
        <v>-10</v>
      </c>
      <c r="Q980" s="62">
        <f t="shared" si="292"/>
        <v>2.2579999999999999E-2</v>
      </c>
      <c r="R980" s="33">
        <f t="shared" si="293"/>
        <v>1.152E-5</v>
      </c>
      <c r="S980" s="45">
        <f>0.37*Model!$B$10*(Q980^2*(N980-K980)*I980/(R980*O980^2))^0.33333*(N980-K980)</f>
        <v>0</v>
      </c>
      <c r="T980" s="50">
        <f>Model!$B$32+(90-Model!$B$6)*SIN(RADIANS(-15*(E980+6)))</f>
        <v>-31.619472402513487</v>
      </c>
      <c r="U980" s="45">
        <f t="shared" si="300"/>
        <v>0</v>
      </c>
      <c r="V980" s="50">
        <f t="shared" si="301"/>
        <v>99999</v>
      </c>
      <c r="W980" s="45">
        <f t="shared" si="302"/>
        <v>0</v>
      </c>
      <c r="X980" s="45">
        <f>0.3*W980*Model!$B$9</f>
        <v>0</v>
      </c>
      <c r="Y980" s="33">
        <f>(S980-X980)/Model!$B$11</f>
        <v>0</v>
      </c>
      <c r="Z980" s="45" t="e">
        <f t="shared" si="303"/>
        <v>#DIV/0!</v>
      </c>
      <c r="AA980" s="56">
        <f>Y980/Model!$B$12*3600</f>
        <v>0</v>
      </c>
      <c r="AB980" s="50">
        <f t="shared" si="308"/>
        <v>0</v>
      </c>
      <c r="AC980" s="50">
        <f t="shared" si="294"/>
        <v>1800</v>
      </c>
      <c r="AD980" s="15">
        <f>IF(AE980=0, Model!$B$19, 0 )</f>
        <v>0</v>
      </c>
      <c r="AE980" s="50">
        <f>IF(AE979+AB979-AB980&lt;Model!$B$19*Model!$B$18, AE979+AB979-AB980,  0)</f>
        <v>443.63457370611354</v>
      </c>
      <c r="AF980" s="15">
        <f t="shared" si="304"/>
        <v>1</v>
      </c>
      <c r="AG980" s="50">
        <f t="shared" si="305"/>
        <v>0</v>
      </c>
    </row>
    <row r="981" spans="2:33" x14ac:dyDescent="0.25">
      <c r="B981" s="13">
        <f t="shared" si="306"/>
        <v>1</v>
      </c>
      <c r="C981" s="13">
        <f>B981+Model!$B$4</f>
        <v>3</v>
      </c>
      <c r="D981" s="13">
        <f t="shared" si="307"/>
        <v>1</v>
      </c>
      <c r="E981" s="13">
        <f t="shared" si="295"/>
        <v>3</v>
      </c>
      <c r="F981" s="14">
        <f>IF(AB981&gt;0, VLOOKUP(B981,Model!$A$40:$B$60, 2), 0)</f>
        <v>0</v>
      </c>
      <c r="G981" s="13">
        <f>IF(AB981&gt;0, VLOOKUP(B981,Model!$A$39:$C$58, 3), 0)</f>
        <v>0</v>
      </c>
      <c r="H981" s="13">
        <f t="shared" si="296"/>
        <v>0</v>
      </c>
      <c r="I981" s="46">
        <f>Model!$B$21*EXP((-0.029*9.81*F981)/(8.31*(273+J981)))</f>
        <v>104500</v>
      </c>
      <c r="J981" s="13">
        <f>IF(Model!$B$31="Summer",  IF(F981&lt;=2000,  Model!$B$20-Model!$B$35*F981/1000,  IF(F981&lt;Model!$B$36,  Model!$B$33-6.5*F981/1000,  Model!$B$38)),     IF(F981&lt;=2000,  Model!$B$20-Model!$B$35*F981/1000,  IF(F981&lt;Model!$B$36,  Model!$B$33-5.4*F981/1000,   Model!$B$38)))</f>
        <v>-20</v>
      </c>
      <c r="K981" s="13">
        <f t="shared" ref="K981:K1002" si="309">273+J981</f>
        <v>253</v>
      </c>
      <c r="L981" s="46">
        <f>IF(AB980-AA980*(B981-B980)&gt;0, L980-Y980*(B981-B980)*3600-AD981*Model!$B$16, 0)</f>
        <v>0</v>
      </c>
      <c r="M981" s="57">
        <f t="shared" si="297"/>
        <v>0</v>
      </c>
      <c r="N981" s="57">
        <f>Model!$B$13*I981*K981/(Model!$B$13*I981-L981*287*K981)</f>
        <v>253</v>
      </c>
      <c r="O981" s="57">
        <f t="shared" si="298"/>
        <v>253</v>
      </c>
      <c r="P981" s="57">
        <f t="shared" si="299"/>
        <v>-10</v>
      </c>
      <c r="Q981" s="63">
        <f t="shared" ref="Q981:Q1002" si="310">(O981-273)*7.1*0.00001+0.024</f>
        <v>2.2579999999999999E-2</v>
      </c>
      <c r="R981" s="17">
        <f t="shared" ref="R981:R1002" si="311">((O981-273)*0.104+13.6)*0.000001</f>
        <v>1.152E-5</v>
      </c>
      <c r="S981" s="46">
        <f>0.37*Model!$B$10*(Q981^2*(N981-K981)*I981/(R981*O981^2))^0.33333*(N981-K981)</f>
        <v>0</v>
      </c>
      <c r="T981" s="51">
        <f>Model!$B$32+(90-Model!$B$6)*SIN(RADIANS(-15*(E981+6)))</f>
        <v>-31.619472402513487</v>
      </c>
      <c r="U981" s="46">
        <f t="shared" si="300"/>
        <v>0</v>
      </c>
      <c r="V981" s="51">
        <f t="shared" si="301"/>
        <v>99999</v>
      </c>
      <c r="W981" s="46">
        <f t="shared" si="302"/>
        <v>0</v>
      </c>
      <c r="X981" s="46">
        <f>0.3*W981*Model!$B$9</f>
        <v>0</v>
      </c>
      <c r="Y981" s="17">
        <f>(S981-X981)/Model!$B$11</f>
        <v>0</v>
      </c>
      <c r="Z981" s="46" t="e">
        <f t="shared" si="303"/>
        <v>#DIV/0!</v>
      </c>
      <c r="AA981" s="57">
        <f>Y981/Model!$B$12*3600</f>
        <v>0</v>
      </c>
      <c r="AB981" s="51">
        <f t="shared" si="308"/>
        <v>0</v>
      </c>
      <c r="AC981" s="51">
        <f t="shared" ref="AC981:AC1002" si="312">AC980+AB980-AB981</f>
        <v>1800</v>
      </c>
      <c r="AD981" s="13">
        <f>IF(AE981=0, Model!$B$19, 0 )</f>
        <v>0</v>
      </c>
      <c r="AE981" s="51">
        <f>IF(AE980+AB980-AB981&lt;Model!$B$19*Model!$B$18, AE980+AB980-AB981,  0)</f>
        <v>443.63457370611354</v>
      </c>
      <c r="AF981" s="13">
        <f t="shared" si="304"/>
        <v>1</v>
      </c>
      <c r="AG981" s="50">
        <f t="shared" si="305"/>
        <v>0</v>
      </c>
    </row>
    <row r="982" spans="2:33" x14ac:dyDescent="0.25">
      <c r="B982" s="15">
        <f t="shared" si="306"/>
        <v>1</v>
      </c>
      <c r="C982" s="15">
        <f>B982+Model!$B$4</f>
        <v>3</v>
      </c>
      <c r="D982" s="15">
        <f t="shared" si="307"/>
        <v>1</v>
      </c>
      <c r="E982" s="15">
        <f t="shared" si="295"/>
        <v>3</v>
      </c>
      <c r="F982" s="16">
        <f>IF(AB982&gt;0, VLOOKUP(B982,Model!$A$40:$B$60, 2), 0)</f>
        <v>0</v>
      </c>
      <c r="G982" s="15">
        <f>IF(AB982&gt;0, VLOOKUP(B982,Model!$A$39:$C$58, 3), 0)</f>
        <v>0</v>
      </c>
      <c r="H982" s="15">
        <f t="shared" si="296"/>
        <v>0</v>
      </c>
      <c r="I982" s="45">
        <f>Model!$B$21*EXP((-0.029*9.81*F982)/(8.31*(273+J982)))</f>
        <v>104500</v>
      </c>
      <c r="J982" s="15">
        <f>IF(Model!$B$31="Summer",  IF(F982&lt;=2000,  Model!$B$20-Model!$B$35*F982/1000,  IF(F982&lt;Model!$B$36,  Model!$B$33-6.5*F982/1000,  Model!$B$38)),     IF(F982&lt;=2000,  Model!$B$20-Model!$B$35*F982/1000,  IF(F982&lt;Model!$B$36,  Model!$B$33-5.4*F982/1000,   Model!$B$38)))</f>
        <v>-20</v>
      </c>
      <c r="K982" s="15">
        <f t="shared" si="309"/>
        <v>253</v>
      </c>
      <c r="L982" s="45">
        <f>IF(AB981-AA981*(B982-B981)&gt;0, L981-Y981*(B982-B981)*3600-AD982*Model!$B$16, 0)</f>
        <v>0</v>
      </c>
      <c r="M982" s="56">
        <f t="shared" si="297"/>
        <v>0</v>
      </c>
      <c r="N982" s="56">
        <f>Model!$B$13*I982*K982/(Model!$B$13*I982-L982*287*K982)</f>
        <v>253</v>
      </c>
      <c r="O982" s="56">
        <f t="shared" si="298"/>
        <v>253</v>
      </c>
      <c r="P982" s="56">
        <f t="shared" si="299"/>
        <v>-10</v>
      </c>
      <c r="Q982" s="62">
        <f t="shared" si="310"/>
        <v>2.2579999999999999E-2</v>
      </c>
      <c r="R982" s="33">
        <f t="shared" si="311"/>
        <v>1.152E-5</v>
      </c>
      <c r="S982" s="45">
        <f>0.37*Model!$B$10*(Q982^2*(N982-K982)*I982/(R982*O982^2))^0.33333*(N982-K982)</f>
        <v>0</v>
      </c>
      <c r="T982" s="50">
        <f>Model!$B$32+(90-Model!$B$6)*SIN(RADIANS(-15*(E982+6)))</f>
        <v>-31.619472402513487</v>
      </c>
      <c r="U982" s="45">
        <f t="shared" si="300"/>
        <v>0</v>
      </c>
      <c r="V982" s="50">
        <f t="shared" si="301"/>
        <v>99999</v>
      </c>
      <c r="W982" s="45">
        <f t="shared" si="302"/>
        <v>0</v>
      </c>
      <c r="X982" s="45">
        <f>0.3*W982*Model!$B$9</f>
        <v>0</v>
      </c>
      <c r="Y982" s="33">
        <f>(S982-X982)/Model!$B$11</f>
        <v>0</v>
      </c>
      <c r="Z982" s="45" t="e">
        <f t="shared" si="303"/>
        <v>#DIV/0!</v>
      </c>
      <c r="AA982" s="56">
        <f>Y982/Model!$B$12*3600</f>
        <v>0</v>
      </c>
      <c r="AB982" s="50">
        <f t="shared" si="308"/>
        <v>0</v>
      </c>
      <c r="AC982" s="50">
        <f t="shared" si="312"/>
        <v>1800</v>
      </c>
      <c r="AD982" s="15">
        <f>IF(AE982=0, Model!$B$19, 0 )</f>
        <v>0</v>
      </c>
      <c r="AE982" s="50">
        <f>IF(AE981+AB981-AB982&lt;Model!$B$19*Model!$B$18, AE981+AB981-AB982,  0)</f>
        <v>443.63457370611354</v>
      </c>
      <c r="AF982" s="15">
        <f t="shared" si="304"/>
        <v>1</v>
      </c>
      <c r="AG982" s="50">
        <f t="shared" si="305"/>
        <v>0</v>
      </c>
    </row>
    <row r="983" spans="2:33" x14ac:dyDescent="0.25">
      <c r="B983" s="13">
        <f t="shared" si="306"/>
        <v>1</v>
      </c>
      <c r="C983" s="13">
        <f>B983+Model!$B$4</f>
        <v>3</v>
      </c>
      <c r="D983" s="13">
        <f t="shared" si="307"/>
        <v>1</v>
      </c>
      <c r="E983" s="13">
        <f t="shared" si="295"/>
        <v>3</v>
      </c>
      <c r="F983" s="14">
        <f>IF(AB983&gt;0, VLOOKUP(B983,Model!$A$40:$B$60, 2), 0)</f>
        <v>0</v>
      </c>
      <c r="G983" s="13">
        <f>IF(AB983&gt;0, VLOOKUP(B983,Model!$A$39:$C$58, 3), 0)</f>
        <v>0</v>
      </c>
      <c r="H983" s="13">
        <f t="shared" si="296"/>
        <v>0</v>
      </c>
      <c r="I983" s="46">
        <f>Model!$B$21*EXP((-0.029*9.81*F983)/(8.31*(273+J983)))</f>
        <v>104500</v>
      </c>
      <c r="J983" s="13">
        <f>IF(Model!$B$31="Summer",  IF(F983&lt;=2000,  Model!$B$20-Model!$B$35*F983/1000,  IF(F983&lt;Model!$B$36,  Model!$B$33-6.5*F983/1000,  Model!$B$38)),     IF(F983&lt;=2000,  Model!$B$20-Model!$B$35*F983/1000,  IF(F983&lt;Model!$B$36,  Model!$B$33-5.4*F983/1000,   Model!$B$38)))</f>
        <v>-20</v>
      </c>
      <c r="K983" s="13">
        <f t="shared" si="309"/>
        <v>253</v>
      </c>
      <c r="L983" s="46">
        <f>IF(AB982-AA982*(B983-B982)&gt;0, L982-Y982*(B983-B982)*3600-AD983*Model!$B$16, 0)</f>
        <v>0</v>
      </c>
      <c r="M983" s="57">
        <f t="shared" si="297"/>
        <v>0</v>
      </c>
      <c r="N983" s="57">
        <f>Model!$B$13*I983*K983/(Model!$B$13*I983-L983*287*K983)</f>
        <v>253</v>
      </c>
      <c r="O983" s="57">
        <f t="shared" si="298"/>
        <v>253</v>
      </c>
      <c r="P983" s="57">
        <f t="shared" si="299"/>
        <v>-10</v>
      </c>
      <c r="Q983" s="63">
        <f t="shared" si="310"/>
        <v>2.2579999999999999E-2</v>
      </c>
      <c r="R983" s="17">
        <f t="shared" si="311"/>
        <v>1.152E-5</v>
      </c>
      <c r="S983" s="46">
        <f>0.37*Model!$B$10*(Q983^2*(N983-K983)*I983/(R983*O983^2))^0.33333*(N983-K983)</f>
        <v>0</v>
      </c>
      <c r="T983" s="51">
        <f>Model!$B$32+(90-Model!$B$6)*SIN(RADIANS(-15*(E983+6)))</f>
        <v>-31.619472402513487</v>
      </c>
      <c r="U983" s="46">
        <f t="shared" si="300"/>
        <v>0</v>
      </c>
      <c r="V983" s="51">
        <f t="shared" si="301"/>
        <v>99999</v>
      </c>
      <c r="W983" s="46">
        <f t="shared" si="302"/>
        <v>0</v>
      </c>
      <c r="X983" s="46">
        <f>0.3*W983*Model!$B$9</f>
        <v>0</v>
      </c>
      <c r="Y983" s="17">
        <f>(S983-X983)/Model!$B$11</f>
        <v>0</v>
      </c>
      <c r="Z983" s="46" t="e">
        <f t="shared" si="303"/>
        <v>#DIV/0!</v>
      </c>
      <c r="AA983" s="57">
        <f>Y983/Model!$B$12*3600</f>
        <v>0</v>
      </c>
      <c r="AB983" s="51">
        <f t="shared" si="308"/>
        <v>0</v>
      </c>
      <c r="AC983" s="51">
        <f t="shared" si="312"/>
        <v>1800</v>
      </c>
      <c r="AD983" s="13">
        <f>IF(AE983=0, Model!$B$19, 0 )</f>
        <v>0</v>
      </c>
      <c r="AE983" s="51">
        <f>IF(AE982+AB982-AB983&lt;Model!$B$19*Model!$B$18, AE982+AB982-AB983,  0)</f>
        <v>443.63457370611354</v>
      </c>
      <c r="AF983" s="13">
        <f t="shared" si="304"/>
        <v>1</v>
      </c>
      <c r="AG983" s="50">
        <f t="shared" si="305"/>
        <v>0</v>
      </c>
    </row>
    <row r="984" spans="2:33" x14ac:dyDescent="0.25">
      <c r="B984" s="15">
        <f t="shared" si="306"/>
        <v>1</v>
      </c>
      <c r="C984" s="15">
        <f>B984+Model!$B$4</f>
        <v>3</v>
      </c>
      <c r="D984" s="15">
        <f t="shared" si="307"/>
        <v>1</v>
      </c>
      <c r="E984" s="15">
        <f t="shared" si="295"/>
        <v>3</v>
      </c>
      <c r="F984" s="16">
        <f>IF(AB984&gt;0, VLOOKUP(B984,Model!$A$40:$B$60, 2), 0)</f>
        <v>0</v>
      </c>
      <c r="G984" s="15">
        <f>IF(AB984&gt;0, VLOOKUP(B984,Model!$A$39:$C$58, 3), 0)</f>
        <v>0</v>
      </c>
      <c r="H984" s="15">
        <f t="shared" si="296"/>
        <v>0</v>
      </c>
      <c r="I984" s="45">
        <f>Model!$B$21*EXP((-0.029*9.81*F984)/(8.31*(273+J984)))</f>
        <v>104500</v>
      </c>
      <c r="J984" s="15">
        <f>IF(Model!$B$31="Summer",  IF(F984&lt;=2000,  Model!$B$20-Model!$B$35*F984/1000,  IF(F984&lt;Model!$B$36,  Model!$B$33-6.5*F984/1000,  Model!$B$38)),     IF(F984&lt;=2000,  Model!$B$20-Model!$B$35*F984/1000,  IF(F984&lt;Model!$B$36,  Model!$B$33-5.4*F984/1000,   Model!$B$38)))</f>
        <v>-20</v>
      </c>
      <c r="K984" s="15">
        <f t="shared" si="309"/>
        <v>253</v>
      </c>
      <c r="L984" s="45">
        <f>IF(AB983-AA983*(B984-B983)&gt;0, L983-Y983*(B984-B983)*3600-AD984*Model!$B$16, 0)</f>
        <v>0</v>
      </c>
      <c r="M984" s="56">
        <f t="shared" si="297"/>
        <v>0</v>
      </c>
      <c r="N984" s="56">
        <f>Model!$B$13*I984*K984/(Model!$B$13*I984-L984*287*K984)</f>
        <v>253</v>
      </c>
      <c r="O984" s="56">
        <f t="shared" si="298"/>
        <v>253</v>
      </c>
      <c r="P984" s="56">
        <f t="shared" si="299"/>
        <v>-10</v>
      </c>
      <c r="Q984" s="62">
        <f t="shared" si="310"/>
        <v>2.2579999999999999E-2</v>
      </c>
      <c r="R984" s="33">
        <f t="shared" si="311"/>
        <v>1.152E-5</v>
      </c>
      <c r="S984" s="45">
        <f>0.37*Model!$B$10*(Q984^2*(N984-K984)*I984/(R984*O984^2))^0.33333*(N984-K984)</f>
        <v>0</v>
      </c>
      <c r="T984" s="50">
        <f>Model!$B$32+(90-Model!$B$6)*SIN(RADIANS(-15*(E984+6)))</f>
        <v>-31.619472402513487</v>
      </c>
      <c r="U984" s="45">
        <f t="shared" si="300"/>
        <v>0</v>
      </c>
      <c r="V984" s="50">
        <f t="shared" si="301"/>
        <v>99999</v>
      </c>
      <c r="W984" s="45">
        <f t="shared" si="302"/>
        <v>0</v>
      </c>
      <c r="X984" s="45">
        <f>0.3*W984*Model!$B$9</f>
        <v>0</v>
      </c>
      <c r="Y984" s="33">
        <f>(S984-X984)/Model!$B$11</f>
        <v>0</v>
      </c>
      <c r="Z984" s="45" t="e">
        <f t="shared" si="303"/>
        <v>#DIV/0!</v>
      </c>
      <c r="AA984" s="56">
        <f>Y984/Model!$B$12*3600</f>
        <v>0</v>
      </c>
      <c r="AB984" s="50">
        <f t="shared" si="308"/>
        <v>0</v>
      </c>
      <c r="AC984" s="50">
        <f t="shared" si="312"/>
        <v>1800</v>
      </c>
      <c r="AD984" s="15">
        <f>IF(AE984=0, Model!$B$19, 0 )</f>
        <v>0</v>
      </c>
      <c r="AE984" s="50">
        <f>IF(AE983+AB983-AB984&lt;Model!$B$19*Model!$B$18, AE983+AB983-AB984,  0)</f>
        <v>443.63457370611354</v>
      </c>
      <c r="AF984" s="15">
        <f t="shared" si="304"/>
        <v>1</v>
      </c>
      <c r="AG984" s="50">
        <f t="shared" si="305"/>
        <v>0</v>
      </c>
    </row>
    <row r="985" spans="2:33" x14ac:dyDescent="0.25">
      <c r="B985" s="13">
        <f t="shared" si="306"/>
        <v>1</v>
      </c>
      <c r="C985" s="13">
        <f>B985+Model!$B$4</f>
        <v>3</v>
      </c>
      <c r="D985" s="13">
        <f t="shared" si="307"/>
        <v>1</v>
      </c>
      <c r="E985" s="13">
        <f t="shared" si="295"/>
        <v>3</v>
      </c>
      <c r="F985" s="14">
        <f>IF(AB985&gt;0, VLOOKUP(B985,Model!$A$40:$B$60, 2), 0)</f>
        <v>0</v>
      </c>
      <c r="G985" s="13">
        <f>IF(AB985&gt;0, VLOOKUP(B985,Model!$A$39:$C$58, 3), 0)</f>
        <v>0</v>
      </c>
      <c r="H985" s="13">
        <f t="shared" si="296"/>
        <v>0</v>
      </c>
      <c r="I985" s="46">
        <f>Model!$B$21*EXP((-0.029*9.81*F985)/(8.31*(273+J985)))</f>
        <v>104500</v>
      </c>
      <c r="J985" s="13">
        <f>IF(Model!$B$31="Summer",  IF(F985&lt;=2000,  Model!$B$20-Model!$B$35*F985/1000,  IF(F985&lt;Model!$B$36,  Model!$B$33-6.5*F985/1000,  Model!$B$38)),     IF(F985&lt;=2000,  Model!$B$20-Model!$B$35*F985/1000,  IF(F985&lt;Model!$B$36,  Model!$B$33-5.4*F985/1000,   Model!$B$38)))</f>
        <v>-20</v>
      </c>
      <c r="K985" s="13">
        <f t="shared" si="309"/>
        <v>253</v>
      </c>
      <c r="L985" s="46">
        <f>IF(AB984-AA984*(B985-B984)&gt;0, L984-Y984*(B985-B984)*3600-AD985*Model!$B$16, 0)</f>
        <v>0</v>
      </c>
      <c r="M985" s="57">
        <f t="shared" si="297"/>
        <v>0</v>
      </c>
      <c r="N985" s="57">
        <f>Model!$B$13*I985*K985/(Model!$B$13*I985-L985*287*K985)</f>
        <v>253</v>
      </c>
      <c r="O985" s="57">
        <f t="shared" si="298"/>
        <v>253</v>
      </c>
      <c r="P985" s="57">
        <f t="shared" si="299"/>
        <v>-10</v>
      </c>
      <c r="Q985" s="63">
        <f t="shared" si="310"/>
        <v>2.2579999999999999E-2</v>
      </c>
      <c r="R985" s="17">
        <f t="shared" si="311"/>
        <v>1.152E-5</v>
      </c>
      <c r="S985" s="46">
        <f>0.37*Model!$B$10*(Q985^2*(N985-K985)*I985/(R985*O985^2))^0.33333*(N985-K985)</f>
        <v>0</v>
      </c>
      <c r="T985" s="51">
        <f>Model!$B$32+(90-Model!$B$6)*SIN(RADIANS(-15*(E985+6)))</f>
        <v>-31.619472402513487</v>
      </c>
      <c r="U985" s="46">
        <f t="shared" si="300"/>
        <v>0</v>
      </c>
      <c r="V985" s="51">
        <f t="shared" si="301"/>
        <v>99999</v>
      </c>
      <c r="W985" s="46">
        <f t="shared" si="302"/>
        <v>0</v>
      </c>
      <c r="X985" s="46">
        <f>0.3*W985*Model!$B$9</f>
        <v>0</v>
      </c>
      <c r="Y985" s="17">
        <f>(S985-X985)/Model!$B$11</f>
        <v>0</v>
      </c>
      <c r="Z985" s="46" t="e">
        <f t="shared" si="303"/>
        <v>#DIV/0!</v>
      </c>
      <c r="AA985" s="57">
        <f>Y985/Model!$B$12*3600</f>
        <v>0</v>
      </c>
      <c r="AB985" s="51">
        <f t="shared" si="308"/>
        <v>0</v>
      </c>
      <c r="AC985" s="51">
        <f t="shared" si="312"/>
        <v>1800</v>
      </c>
      <c r="AD985" s="13">
        <f>IF(AE985=0, Model!$B$19, 0 )</f>
        <v>0</v>
      </c>
      <c r="AE985" s="51">
        <f>IF(AE984+AB984-AB985&lt;Model!$B$19*Model!$B$18, AE984+AB984-AB985,  0)</f>
        <v>443.63457370611354</v>
      </c>
      <c r="AF985" s="13">
        <f t="shared" si="304"/>
        <v>1</v>
      </c>
      <c r="AG985" s="50">
        <f t="shared" si="305"/>
        <v>0</v>
      </c>
    </row>
    <row r="986" spans="2:33" x14ac:dyDescent="0.25">
      <c r="B986" s="15">
        <f t="shared" si="306"/>
        <v>1</v>
      </c>
      <c r="C986" s="15">
        <f>B986+Model!$B$4</f>
        <v>3</v>
      </c>
      <c r="D986" s="15">
        <f t="shared" si="307"/>
        <v>1</v>
      </c>
      <c r="E986" s="15">
        <f t="shared" si="295"/>
        <v>3</v>
      </c>
      <c r="F986" s="16">
        <f>IF(AB986&gt;0, VLOOKUP(B986,Model!$A$40:$B$60, 2), 0)</f>
        <v>0</v>
      </c>
      <c r="G986" s="15">
        <f>IF(AB986&gt;0, VLOOKUP(B986,Model!$A$39:$C$58, 3), 0)</f>
        <v>0</v>
      </c>
      <c r="H986" s="15">
        <f t="shared" si="296"/>
        <v>0</v>
      </c>
      <c r="I986" s="45">
        <f>Model!$B$21*EXP((-0.029*9.81*F986)/(8.31*(273+J986)))</f>
        <v>104500</v>
      </c>
      <c r="J986" s="15">
        <f>IF(Model!$B$31="Summer",  IF(F986&lt;=2000,  Model!$B$20-Model!$B$35*F986/1000,  IF(F986&lt;Model!$B$36,  Model!$B$33-6.5*F986/1000,  Model!$B$38)),     IF(F986&lt;=2000,  Model!$B$20-Model!$B$35*F986/1000,  IF(F986&lt;Model!$B$36,  Model!$B$33-5.4*F986/1000,   Model!$B$38)))</f>
        <v>-20</v>
      </c>
      <c r="K986" s="15">
        <f t="shared" si="309"/>
        <v>253</v>
      </c>
      <c r="L986" s="45">
        <f>IF(AB985-AA985*(B986-B985)&gt;0, L985-Y985*(B986-B985)*3600-AD986*Model!$B$16, 0)</f>
        <v>0</v>
      </c>
      <c r="M986" s="56">
        <f t="shared" si="297"/>
        <v>0</v>
      </c>
      <c r="N986" s="56">
        <f>Model!$B$13*I986*K986/(Model!$B$13*I986-L986*287*K986)</f>
        <v>253</v>
      </c>
      <c r="O986" s="56">
        <f t="shared" si="298"/>
        <v>253</v>
      </c>
      <c r="P986" s="56">
        <f t="shared" si="299"/>
        <v>-10</v>
      </c>
      <c r="Q986" s="62">
        <f t="shared" si="310"/>
        <v>2.2579999999999999E-2</v>
      </c>
      <c r="R986" s="33">
        <f t="shared" si="311"/>
        <v>1.152E-5</v>
      </c>
      <c r="S986" s="45">
        <f>0.37*Model!$B$10*(Q986^2*(N986-K986)*I986/(R986*O986^2))^0.33333*(N986-K986)</f>
        <v>0</v>
      </c>
      <c r="T986" s="50">
        <f>Model!$B$32+(90-Model!$B$6)*SIN(RADIANS(-15*(E986+6)))</f>
        <v>-31.619472402513487</v>
      </c>
      <c r="U986" s="45">
        <f t="shared" si="300"/>
        <v>0</v>
      </c>
      <c r="V986" s="50">
        <f t="shared" si="301"/>
        <v>99999</v>
      </c>
      <c r="W986" s="45">
        <f t="shared" si="302"/>
        <v>0</v>
      </c>
      <c r="X986" s="45">
        <f>0.3*W986*Model!$B$9</f>
        <v>0</v>
      </c>
      <c r="Y986" s="33">
        <f>(S986-X986)/Model!$B$11</f>
        <v>0</v>
      </c>
      <c r="Z986" s="45" t="e">
        <f t="shared" si="303"/>
        <v>#DIV/0!</v>
      </c>
      <c r="AA986" s="56">
        <f>Y986/Model!$B$12*3600</f>
        <v>0</v>
      </c>
      <c r="AB986" s="50">
        <f t="shared" si="308"/>
        <v>0</v>
      </c>
      <c r="AC986" s="50">
        <f t="shared" si="312"/>
        <v>1800</v>
      </c>
      <c r="AD986" s="15">
        <f>IF(AE986=0, Model!$B$19, 0 )</f>
        <v>0</v>
      </c>
      <c r="AE986" s="50">
        <f>IF(AE985+AB985-AB986&lt;Model!$B$19*Model!$B$18, AE985+AB985-AB986,  0)</f>
        <v>443.63457370611354</v>
      </c>
      <c r="AF986" s="15">
        <f t="shared" si="304"/>
        <v>1</v>
      </c>
      <c r="AG986" s="50">
        <f t="shared" si="305"/>
        <v>0</v>
      </c>
    </row>
    <row r="987" spans="2:33" x14ac:dyDescent="0.25">
      <c r="B987" s="13">
        <f t="shared" si="306"/>
        <v>1</v>
      </c>
      <c r="C987" s="13">
        <f>B987+Model!$B$4</f>
        <v>3</v>
      </c>
      <c r="D987" s="13">
        <f t="shared" si="307"/>
        <v>1</v>
      </c>
      <c r="E987" s="13">
        <f t="shared" si="295"/>
        <v>3</v>
      </c>
      <c r="F987" s="14">
        <f>IF(AB987&gt;0, VLOOKUP(B987,Model!$A$40:$B$60, 2), 0)</f>
        <v>0</v>
      </c>
      <c r="G987" s="13">
        <f>IF(AB987&gt;0, VLOOKUP(B987,Model!$A$39:$C$58, 3), 0)</f>
        <v>0</v>
      </c>
      <c r="H987" s="13">
        <f t="shared" si="296"/>
        <v>0</v>
      </c>
      <c r="I987" s="46">
        <f>Model!$B$21*EXP((-0.029*9.81*F987)/(8.31*(273+J987)))</f>
        <v>104500</v>
      </c>
      <c r="J987" s="13">
        <f>IF(Model!$B$31="Summer",  IF(F987&lt;=2000,  Model!$B$20-Model!$B$35*F987/1000,  IF(F987&lt;Model!$B$36,  Model!$B$33-6.5*F987/1000,  Model!$B$38)),     IF(F987&lt;=2000,  Model!$B$20-Model!$B$35*F987/1000,  IF(F987&lt;Model!$B$36,  Model!$B$33-5.4*F987/1000,   Model!$B$38)))</f>
        <v>-20</v>
      </c>
      <c r="K987" s="13">
        <f t="shared" si="309"/>
        <v>253</v>
      </c>
      <c r="L987" s="46">
        <f>IF(AB986-AA986*(B987-B986)&gt;0, L986-Y986*(B987-B986)*3600-AD987*Model!$B$16, 0)</f>
        <v>0</v>
      </c>
      <c r="M987" s="57">
        <f t="shared" si="297"/>
        <v>0</v>
      </c>
      <c r="N987" s="57">
        <f>Model!$B$13*I987*K987/(Model!$B$13*I987-L987*287*K987)</f>
        <v>253</v>
      </c>
      <c r="O987" s="57">
        <f t="shared" si="298"/>
        <v>253</v>
      </c>
      <c r="P987" s="57">
        <f t="shared" si="299"/>
        <v>-10</v>
      </c>
      <c r="Q987" s="63">
        <f t="shared" si="310"/>
        <v>2.2579999999999999E-2</v>
      </c>
      <c r="R987" s="17">
        <f t="shared" si="311"/>
        <v>1.152E-5</v>
      </c>
      <c r="S987" s="46">
        <f>0.37*Model!$B$10*(Q987^2*(N987-K987)*I987/(R987*O987^2))^0.33333*(N987-K987)</f>
        <v>0</v>
      </c>
      <c r="T987" s="51">
        <f>Model!$B$32+(90-Model!$B$6)*SIN(RADIANS(-15*(E987+6)))</f>
        <v>-31.619472402513487</v>
      </c>
      <c r="U987" s="46">
        <f t="shared" si="300"/>
        <v>0</v>
      </c>
      <c r="V987" s="51">
        <f t="shared" si="301"/>
        <v>99999</v>
      </c>
      <c r="W987" s="46">
        <f t="shared" si="302"/>
        <v>0</v>
      </c>
      <c r="X987" s="46">
        <f>0.3*W987*Model!$B$9</f>
        <v>0</v>
      </c>
      <c r="Y987" s="17">
        <f>(S987-X987)/Model!$B$11</f>
        <v>0</v>
      </c>
      <c r="Z987" s="46" t="e">
        <f t="shared" si="303"/>
        <v>#DIV/0!</v>
      </c>
      <c r="AA987" s="57">
        <f>Y987/Model!$B$12*3600</f>
        <v>0</v>
      </c>
      <c r="AB987" s="51">
        <f t="shared" si="308"/>
        <v>0</v>
      </c>
      <c r="AC987" s="51">
        <f t="shared" si="312"/>
        <v>1800</v>
      </c>
      <c r="AD987" s="13">
        <f>IF(AE987=0, Model!$B$19, 0 )</f>
        <v>0</v>
      </c>
      <c r="AE987" s="51">
        <f>IF(AE986+AB986-AB987&lt;Model!$B$19*Model!$B$18, AE986+AB986-AB987,  0)</f>
        <v>443.63457370611354</v>
      </c>
      <c r="AF987" s="13">
        <f t="shared" si="304"/>
        <v>1</v>
      </c>
      <c r="AG987" s="50">
        <f t="shared" si="305"/>
        <v>0</v>
      </c>
    </row>
    <row r="988" spans="2:33" x14ac:dyDescent="0.25">
      <c r="B988" s="15">
        <f t="shared" si="306"/>
        <v>1</v>
      </c>
      <c r="C988" s="15">
        <f>B988+Model!$B$4</f>
        <v>3</v>
      </c>
      <c r="D988" s="15">
        <f t="shared" si="307"/>
        <v>1</v>
      </c>
      <c r="E988" s="15">
        <f t="shared" si="295"/>
        <v>3</v>
      </c>
      <c r="F988" s="16">
        <f>IF(AB988&gt;0, VLOOKUP(B988,Model!$A$40:$B$60, 2), 0)</f>
        <v>0</v>
      </c>
      <c r="G988" s="15">
        <f>IF(AB988&gt;0, VLOOKUP(B988,Model!$A$39:$C$58, 3), 0)</f>
        <v>0</v>
      </c>
      <c r="H988" s="15">
        <f t="shared" si="296"/>
        <v>0</v>
      </c>
      <c r="I988" s="45">
        <f>Model!$B$21*EXP((-0.029*9.81*F988)/(8.31*(273+J988)))</f>
        <v>104500</v>
      </c>
      <c r="J988" s="15">
        <f>IF(Model!$B$31="Summer",  IF(F988&lt;=2000,  Model!$B$20-Model!$B$35*F988/1000,  IF(F988&lt;Model!$B$36,  Model!$B$33-6.5*F988/1000,  Model!$B$38)),     IF(F988&lt;=2000,  Model!$B$20-Model!$B$35*F988/1000,  IF(F988&lt;Model!$B$36,  Model!$B$33-5.4*F988/1000,   Model!$B$38)))</f>
        <v>-20</v>
      </c>
      <c r="K988" s="15">
        <f t="shared" si="309"/>
        <v>253</v>
      </c>
      <c r="L988" s="45">
        <f>IF(AB987-AA987*(B988-B987)&gt;0, L987-Y987*(B988-B987)*3600-AD988*Model!$B$16, 0)</f>
        <v>0</v>
      </c>
      <c r="M988" s="56">
        <f t="shared" si="297"/>
        <v>0</v>
      </c>
      <c r="N988" s="56">
        <f>Model!$B$13*I988*K988/(Model!$B$13*I988-L988*287*K988)</f>
        <v>253</v>
      </c>
      <c r="O988" s="56">
        <f t="shared" si="298"/>
        <v>253</v>
      </c>
      <c r="P988" s="56">
        <f t="shared" si="299"/>
        <v>-10</v>
      </c>
      <c r="Q988" s="62">
        <f t="shared" si="310"/>
        <v>2.2579999999999999E-2</v>
      </c>
      <c r="R988" s="33">
        <f t="shared" si="311"/>
        <v>1.152E-5</v>
      </c>
      <c r="S988" s="45">
        <f>0.37*Model!$B$10*(Q988^2*(N988-K988)*I988/(R988*O988^2))^0.33333*(N988-K988)</f>
        <v>0</v>
      </c>
      <c r="T988" s="50">
        <f>Model!$B$32+(90-Model!$B$6)*SIN(RADIANS(-15*(E988+6)))</f>
        <v>-31.619472402513487</v>
      </c>
      <c r="U988" s="45">
        <f t="shared" si="300"/>
        <v>0</v>
      </c>
      <c r="V988" s="50">
        <f t="shared" si="301"/>
        <v>99999</v>
      </c>
      <c r="W988" s="45">
        <f t="shared" si="302"/>
        <v>0</v>
      </c>
      <c r="X988" s="45">
        <f>0.3*W988*Model!$B$9</f>
        <v>0</v>
      </c>
      <c r="Y988" s="33">
        <f>(S988-X988)/Model!$B$11</f>
        <v>0</v>
      </c>
      <c r="Z988" s="45" t="e">
        <f t="shared" si="303"/>
        <v>#DIV/0!</v>
      </c>
      <c r="AA988" s="56">
        <f>Y988/Model!$B$12*3600</f>
        <v>0</v>
      </c>
      <c r="AB988" s="50">
        <f t="shared" si="308"/>
        <v>0</v>
      </c>
      <c r="AC988" s="50">
        <f t="shared" si="312"/>
        <v>1800</v>
      </c>
      <c r="AD988" s="15">
        <f>IF(AE988=0, Model!$B$19, 0 )</f>
        <v>0</v>
      </c>
      <c r="AE988" s="50">
        <f>IF(AE987+AB987-AB988&lt;Model!$B$19*Model!$B$18, AE987+AB987-AB988,  0)</f>
        <v>443.63457370611354</v>
      </c>
      <c r="AF988" s="15">
        <f t="shared" si="304"/>
        <v>1</v>
      </c>
      <c r="AG988" s="50">
        <f t="shared" si="305"/>
        <v>0</v>
      </c>
    </row>
    <row r="989" spans="2:33" x14ac:dyDescent="0.25">
      <c r="B989" s="13">
        <f t="shared" si="306"/>
        <v>1</v>
      </c>
      <c r="C989" s="13">
        <f>B989+Model!$B$4</f>
        <v>3</v>
      </c>
      <c r="D989" s="13">
        <f t="shared" si="307"/>
        <v>1</v>
      </c>
      <c r="E989" s="13">
        <f t="shared" si="295"/>
        <v>3</v>
      </c>
      <c r="F989" s="14">
        <f>IF(AB989&gt;0, VLOOKUP(B989,Model!$A$40:$B$60, 2), 0)</f>
        <v>0</v>
      </c>
      <c r="G989" s="13">
        <f>IF(AB989&gt;0, VLOOKUP(B989,Model!$A$39:$C$58, 3), 0)</f>
        <v>0</v>
      </c>
      <c r="H989" s="13">
        <f t="shared" si="296"/>
        <v>0</v>
      </c>
      <c r="I989" s="46">
        <f>Model!$B$21*EXP((-0.029*9.81*F989)/(8.31*(273+J989)))</f>
        <v>104500</v>
      </c>
      <c r="J989" s="13">
        <f>IF(Model!$B$31="Summer",  IF(F989&lt;=2000,  Model!$B$20-Model!$B$35*F989/1000,  IF(F989&lt;Model!$B$36,  Model!$B$33-6.5*F989/1000,  Model!$B$38)),     IF(F989&lt;=2000,  Model!$B$20-Model!$B$35*F989/1000,  IF(F989&lt;Model!$B$36,  Model!$B$33-5.4*F989/1000,   Model!$B$38)))</f>
        <v>-20</v>
      </c>
      <c r="K989" s="13">
        <f t="shared" si="309"/>
        <v>253</v>
      </c>
      <c r="L989" s="46">
        <f>IF(AB988-AA988*(B989-B988)&gt;0, L988-Y988*(B989-B988)*3600-AD989*Model!$B$16, 0)</f>
        <v>0</v>
      </c>
      <c r="M989" s="57">
        <f t="shared" si="297"/>
        <v>0</v>
      </c>
      <c r="N989" s="57">
        <f>Model!$B$13*I989*K989/(Model!$B$13*I989-L989*287*K989)</f>
        <v>253</v>
      </c>
      <c r="O989" s="57">
        <f t="shared" si="298"/>
        <v>253</v>
      </c>
      <c r="P989" s="57">
        <f t="shared" si="299"/>
        <v>-10</v>
      </c>
      <c r="Q989" s="63">
        <f t="shared" si="310"/>
        <v>2.2579999999999999E-2</v>
      </c>
      <c r="R989" s="17">
        <f t="shared" si="311"/>
        <v>1.152E-5</v>
      </c>
      <c r="S989" s="46">
        <f>0.37*Model!$B$10*(Q989^2*(N989-K989)*I989/(R989*O989^2))^0.33333*(N989-K989)</f>
        <v>0</v>
      </c>
      <c r="T989" s="51">
        <f>Model!$B$32+(90-Model!$B$6)*SIN(RADIANS(-15*(E989+6)))</f>
        <v>-31.619472402513487</v>
      </c>
      <c r="U989" s="46">
        <f t="shared" si="300"/>
        <v>0</v>
      </c>
      <c r="V989" s="51">
        <f t="shared" si="301"/>
        <v>99999</v>
      </c>
      <c r="W989" s="46">
        <f t="shared" si="302"/>
        <v>0</v>
      </c>
      <c r="X989" s="46">
        <f>0.3*W989*Model!$B$9</f>
        <v>0</v>
      </c>
      <c r="Y989" s="17">
        <f>(S989-X989)/Model!$B$11</f>
        <v>0</v>
      </c>
      <c r="Z989" s="46" t="e">
        <f t="shared" si="303"/>
        <v>#DIV/0!</v>
      </c>
      <c r="AA989" s="57">
        <f>Y989/Model!$B$12*3600</f>
        <v>0</v>
      </c>
      <c r="AB989" s="51">
        <f t="shared" si="308"/>
        <v>0</v>
      </c>
      <c r="AC989" s="51">
        <f t="shared" si="312"/>
        <v>1800</v>
      </c>
      <c r="AD989" s="13">
        <f>IF(AE989=0, Model!$B$19, 0 )</f>
        <v>0</v>
      </c>
      <c r="AE989" s="51">
        <f>IF(AE988+AB988-AB989&lt;Model!$B$19*Model!$B$18, AE988+AB988-AB989,  0)</f>
        <v>443.63457370611354</v>
      </c>
      <c r="AF989" s="13">
        <f t="shared" si="304"/>
        <v>1</v>
      </c>
      <c r="AG989" s="50">
        <f t="shared" si="305"/>
        <v>0</v>
      </c>
    </row>
    <row r="990" spans="2:33" x14ac:dyDescent="0.25">
      <c r="B990" s="15">
        <f t="shared" si="306"/>
        <v>1</v>
      </c>
      <c r="C990" s="15">
        <f>B990+Model!$B$4</f>
        <v>3</v>
      </c>
      <c r="D990" s="15">
        <f t="shared" si="307"/>
        <v>1</v>
      </c>
      <c r="E990" s="15">
        <f t="shared" si="295"/>
        <v>3</v>
      </c>
      <c r="F990" s="16">
        <f>IF(AB990&gt;0, VLOOKUP(B990,Model!$A$40:$B$60, 2), 0)</f>
        <v>0</v>
      </c>
      <c r="G990" s="15">
        <f>IF(AB990&gt;0, VLOOKUP(B990,Model!$A$39:$C$58, 3), 0)</f>
        <v>0</v>
      </c>
      <c r="H990" s="15">
        <f t="shared" si="296"/>
        <v>0</v>
      </c>
      <c r="I990" s="45">
        <f>Model!$B$21*EXP((-0.029*9.81*F990)/(8.31*(273+J990)))</f>
        <v>104500</v>
      </c>
      <c r="J990" s="15">
        <f>IF(Model!$B$31="Summer",  IF(F990&lt;=2000,  Model!$B$20-Model!$B$35*F990/1000,  IF(F990&lt;Model!$B$36,  Model!$B$33-6.5*F990/1000,  Model!$B$38)),     IF(F990&lt;=2000,  Model!$B$20-Model!$B$35*F990/1000,  IF(F990&lt;Model!$B$36,  Model!$B$33-5.4*F990/1000,   Model!$B$38)))</f>
        <v>-20</v>
      </c>
      <c r="K990" s="15">
        <f t="shared" si="309"/>
        <v>253</v>
      </c>
      <c r="L990" s="45">
        <f>IF(AB989-AA989*(B990-B989)&gt;0, L989-Y989*(B990-B989)*3600-AD990*Model!$B$16, 0)</f>
        <v>0</v>
      </c>
      <c r="M990" s="56">
        <f t="shared" si="297"/>
        <v>0</v>
      </c>
      <c r="N990" s="56">
        <f>Model!$B$13*I990*K990/(Model!$B$13*I990-L990*287*K990)</f>
        <v>253</v>
      </c>
      <c r="O990" s="56">
        <f t="shared" si="298"/>
        <v>253</v>
      </c>
      <c r="P990" s="56">
        <f t="shared" si="299"/>
        <v>-10</v>
      </c>
      <c r="Q990" s="62">
        <f t="shared" si="310"/>
        <v>2.2579999999999999E-2</v>
      </c>
      <c r="R990" s="33">
        <f t="shared" si="311"/>
        <v>1.152E-5</v>
      </c>
      <c r="S990" s="45">
        <f>0.37*Model!$B$10*(Q990^2*(N990-K990)*I990/(R990*O990^2))^0.33333*(N990-K990)</f>
        <v>0</v>
      </c>
      <c r="T990" s="50">
        <f>Model!$B$32+(90-Model!$B$6)*SIN(RADIANS(-15*(E990+6)))</f>
        <v>-31.619472402513487</v>
      </c>
      <c r="U990" s="45">
        <f t="shared" si="300"/>
        <v>0</v>
      </c>
      <c r="V990" s="50">
        <f t="shared" si="301"/>
        <v>99999</v>
      </c>
      <c r="W990" s="45">
        <f t="shared" si="302"/>
        <v>0</v>
      </c>
      <c r="X990" s="45">
        <f>0.3*W990*Model!$B$9</f>
        <v>0</v>
      </c>
      <c r="Y990" s="33">
        <f>(S990-X990)/Model!$B$11</f>
        <v>0</v>
      </c>
      <c r="Z990" s="45" t="e">
        <f t="shared" si="303"/>
        <v>#DIV/0!</v>
      </c>
      <c r="AA990" s="56">
        <f>Y990/Model!$B$12*3600</f>
        <v>0</v>
      </c>
      <c r="AB990" s="50">
        <f t="shared" si="308"/>
        <v>0</v>
      </c>
      <c r="AC990" s="50">
        <f t="shared" si="312"/>
        <v>1800</v>
      </c>
      <c r="AD990" s="15">
        <f>IF(AE990=0, Model!$B$19, 0 )</f>
        <v>0</v>
      </c>
      <c r="AE990" s="50">
        <f>IF(AE989+AB989-AB990&lt;Model!$B$19*Model!$B$18, AE989+AB989-AB990,  0)</f>
        <v>443.63457370611354</v>
      </c>
      <c r="AF990" s="15">
        <f t="shared" si="304"/>
        <v>1</v>
      </c>
      <c r="AG990" s="50">
        <f t="shared" si="305"/>
        <v>0</v>
      </c>
    </row>
    <row r="991" spans="2:33" x14ac:dyDescent="0.25">
      <c r="B991" s="13">
        <f t="shared" si="306"/>
        <v>1</v>
      </c>
      <c r="C991" s="13">
        <f>B991+Model!$B$4</f>
        <v>3</v>
      </c>
      <c r="D991" s="13">
        <f t="shared" si="307"/>
        <v>1</v>
      </c>
      <c r="E991" s="13">
        <f t="shared" si="295"/>
        <v>3</v>
      </c>
      <c r="F991" s="14">
        <f>IF(AB991&gt;0, VLOOKUP(B991,Model!$A$40:$B$60, 2), 0)</f>
        <v>0</v>
      </c>
      <c r="G991" s="13">
        <f>IF(AB991&gt;0, VLOOKUP(B991,Model!$A$39:$C$58, 3), 0)</f>
        <v>0</v>
      </c>
      <c r="H991" s="13">
        <f t="shared" si="296"/>
        <v>0</v>
      </c>
      <c r="I991" s="46">
        <f>Model!$B$21*EXP((-0.029*9.81*F991)/(8.31*(273+J991)))</f>
        <v>104500</v>
      </c>
      <c r="J991" s="13">
        <f>IF(Model!$B$31="Summer",  IF(F991&lt;=2000,  Model!$B$20-Model!$B$35*F991/1000,  IF(F991&lt;Model!$B$36,  Model!$B$33-6.5*F991/1000,  Model!$B$38)),     IF(F991&lt;=2000,  Model!$B$20-Model!$B$35*F991/1000,  IF(F991&lt;Model!$B$36,  Model!$B$33-5.4*F991/1000,   Model!$B$38)))</f>
        <v>-20</v>
      </c>
      <c r="K991" s="13">
        <f t="shared" si="309"/>
        <v>253</v>
      </c>
      <c r="L991" s="46">
        <f>IF(AB990-AA990*(B991-B990)&gt;0, L990-Y990*(B991-B990)*3600-AD991*Model!$B$16, 0)</f>
        <v>0</v>
      </c>
      <c r="M991" s="57">
        <f t="shared" si="297"/>
        <v>0</v>
      </c>
      <c r="N991" s="57">
        <f>Model!$B$13*I991*K991/(Model!$B$13*I991-L991*287*K991)</f>
        <v>253</v>
      </c>
      <c r="O991" s="57">
        <f t="shared" si="298"/>
        <v>253</v>
      </c>
      <c r="P991" s="57">
        <f t="shared" si="299"/>
        <v>-10</v>
      </c>
      <c r="Q991" s="63">
        <f t="shared" si="310"/>
        <v>2.2579999999999999E-2</v>
      </c>
      <c r="R991" s="17">
        <f t="shared" si="311"/>
        <v>1.152E-5</v>
      </c>
      <c r="S991" s="46">
        <f>0.37*Model!$B$10*(Q991^2*(N991-K991)*I991/(R991*O991^2))^0.33333*(N991-K991)</f>
        <v>0</v>
      </c>
      <c r="T991" s="51">
        <f>Model!$B$32+(90-Model!$B$6)*SIN(RADIANS(-15*(E991+6)))</f>
        <v>-31.619472402513487</v>
      </c>
      <c r="U991" s="46">
        <f t="shared" si="300"/>
        <v>0</v>
      </c>
      <c r="V991" s="51">
        <f t="shared" si="301"/>
        <v>99999</v>
      </c>
      <c r="W991" s="46">
        <f t="shared" si="302"/>
        <v>0</v>
      </c>
      <c r="X991" s="46">
        <f>0.3*W991*Model!$B$9</f>
        <v>0</v>
      </c>
      <c r="Y991" s="17">
        <f>(S991-X991)/Model!$B$11</f>
        <v>0</v>
      </c>
      <c r="Z991" s="46" t="e">
        <f t="shared" si="303"/>
        <v>#DIV/0!</v>
      </c>
      <c r="AA991" s="57">
        <f>Y991/Model!$B$12*3600</f>
        <v>0</v>
      </c>
      <c r="AB991" s="51">
        <f t="shared" si="308"/>
        <v>0</v>
      </c>
      <c r="AC991" s="51">
        <f t="shared" si="312"/>
        <v>1800</v>
      </c>
      <c r="AD991" s="13">
        <f>IF(AE991=0, Model!$B$19, 0 )</f>
        <v>0</v>
      </c>
      <c r="AE991" s="51">
        <f>IF(AE990+AB990-AB991&lt;Model!$B$19*Model!$B$18, AE990+AB990-AB991,  0)</f>
        <v>443.63457370611354</v>
      </c>
      <c r="AF991" s="13">
        <f t="shared" si="304"/>
        <v>1</v>
      </c>
      <c r="AG991" s="50">
        <f t="shared" si="305"/>
        <v>0</v>
      </c>
    </row>
    <row r="992" spans="2:33" x14ac:dyDescent="0.25">
      <c r="B992" s="15">
        <f t="shared" si="306"/>
        <v>1</v>
      </c>
      <c r="C992" s="15">
        <f>B992+Model!$B$4</f>
        <v>3</v>
      </c>
      <c r="D992" s="15">
        <f t="shared" si="307"/>
        <v>1</v>
      </c>
      <c r="E992" s="15">
        <f t="shared" si="295"/>
        <v>3</v>
      </c>
      <c r="F992" s="16">
        <f>IF(AB992&gt;0, VLOOKUP(B992,Model!$A$40:$B$60, 2), 0)</f>
        <v>0</v>
      </c>
      <c r="G992" s="15">
        <f>IF(AB992&gt;0, VLOOKUP(B992,Model!$A$39:$C$58, 3), 0)</f>
        <v>0</v>
      </c>
      <c r="H992" s="15">
        <f t="shared" si="296"/>
        <v>0</v>
      </c>
      <c r="I992" s="45">
        <f>Model!$B$21*EXP((-0.029*9.81*F992)/(8.31*(273+J992)))</f>
        <v>104500</v>
      </c>
      <c r="J992" s="15">
        <f>IF(Model!$B$31="Summer",  IF(F992&lt;=2000,  Model!$B$20-Model!$B$35*F992/1000,  IF(F992&lt;Model!$B$36,  Model!$B$33-6.5*F992/1000,  Model!$B$38)),     IF(F992&lt;=2000,  Model!$B$20-Model!$B$35*F992/1000,  IF(F992&lt;Model!$B$36,  Model!$B$33-5.4*F992/1000,   Model!$B$38)))</f>
        <v>-20</v>
      </c>
      <c r="K992" s="15">
        <f t="shared" si="309"/>
        <v>253</v>
      </c>
      <c r="L992" s="45">
        <f>IF(AB991-AA991*(B992-B991)&gt;0, L991-Y991*(B992-B991)*3600-AD992*Model!$B$16, 0)</f>
        <v>0</v>
      </c>
      <c r="M992" s="56">
        <f t="shared" si="297"/>
        <v>0</v>
      </c>
      <c r="N992" s="56">
        <f>Model!$B$13*I992*K992/(Model!$B$13*I992-L992*287*K992)</f>
        <v>253</v>
      </c>
      <c r="O992" s="56">
        <f t="shared" si="298"/>
        <v>253</v>
      </c>
      <c r="P992" s="56">
        <f t="shared" si="299"/>
        <v>-10</v>
      </c>
      <c r="Q992" s="62">
        <f t="shared" si="310"/>
        <v>2.2579999999999999E-2</v>
      </c>
      <c r="R992" s="33">
        <f t="shared" si="311"/>
        <v>1.152E-5</v>
      </c>
      <c r="S992" s="45">
        <f>0.37*Model!$B$10*(Q992^2*(N992-K992)*I992/(R992*O992^2))^0.33333*(N992-K992)</f>
        <v>0</v>
      </c>
      <c r="T992" s="50">
        <f>Model!$B$32+(90-Model!$B$6)*SIN(RADIANS(-15*(E992+6)))</f>
        <v>-31.619472402513487</v>
      </c>
      <c r="U992" s="45">
        <f t="shared" si="300"/>
        <v>0</v>
      </c>
      <c r="V992" s="50">
        <f t="shared" si="301"/>
        <v>99999</v>
      </c>
      <c r="W992" s="45">
        <f t="shared" si="302"/>
        <v>0</v>
      </c>
      <c r="X992" s="45">
        <f>0.3*W992*Model!$B$9</f>
        <v>0</v>
      </c>
      <c r="Y992" s="33">
        <f>(S992-X992)/Model!$B$11</f>
        <v>0</v>
      </c>
      <c r="Z992" s="45" t="e">
        <f t="shared" si="303"/>
        <v>#DIV/0!</v>
      </c>
      <c r="AA992" s="56">
        <f>Y992/Model!$B$12*3600</f>
        <v>0</v>
      </c>
      <c r="AB992" s="50">
        <f t="shared" si="308"/>
        <v>0</v>
      </c>
      <c r="AC992" s="50">
        <f t="shared" si="312"/>
        <v>1800</v>
      </c>
      <c r="AD992" s="15">
        <f>IF(AE992=0, Model!$B$19, 0 )</f>
        <v>0</v>
      </c>
      <c r="AE992" s="50">
        <f>IF(AE991+AB991-AB992&lt;Model!$B$19*Model!$B$18, AE991+AB991-AB992,  0)</f>
        <v>443.63457370611354</v>
      </c>
      <c r="AF992" s="15">
        <f t="shared" si="304"/>
        <v>1</v>
      </c>
      <c r="AG992" s="50">
        <f t="shared" si="305"/>
        <v>0</v>
      </c>
    </row>
    <row r="993" spans="2:33" x14ac:dyDescent="0.25">
      <c r="B993" s="13">
        <f t="shared" si="306"/>
        <v>1</v>
      </c>
      <c r="C993" s="13">
        <f>B993+Model!$B$4</f>
        <v>3</v>
      </c>
      <c r="D993" s="13">
        <f t="shared" si="307"/>
        <v>1</v>
      </c>
      <c r="E993" s="13">
        <f t="shared" si="295"/>
        <v>3</v>
      </c>
      <c r="F993" s="14">
        <f>IF(AB993&gt;0, VLOOKUP(B993,Model!$A$40:$B$60, 2), 0)</f>
        <v>0</v>
      </c>
      <c r="G993" s="13">
        <f>IF(AB993&gt;0, VLOOKUP(B993,Model!$A$39:$C$58, 3), 0)</f>
        <v>0</v>
      </c>
      <c r="H993" s="13">
        <f t="shared" si="296"/>
        <v>0</v>
      </c>
      <c r="I993" s="46">
        <f>Model!$B$21*EXP((-0.029*9.81*F993)/(8.31*(273+J993)))</f>
        <v>104500</v>
      </c>
      <c r="J993" s="13">
        <f>IF(Model!$B$31="Summer",  IF(F993&lt;=2000,  Model!$B$20-Model!$B$35*F993/1000,  IF(F993&lt;Model!$B$36,  Model!$B$33-6.5*F993/1000,  Model!$B$38)),     IF(F993&lt;=2000,  Model!$B$20-Model!$B$35*F993/1000,  IF(F993&lt;Model!$B$36,  Model!$B$33-5.4*F993/1000,   Model!$B$38)))</f>
        <v>-20</v>
      </c>
      <c r="K993" s="13">
        <f t="shared" si="309"/>
        <v>253</v>
      </c>
      <c r="L993" s="46">
        <f>IF(AB992-AA992*(B993-B992)&gt;0, L992-Y992*(B993-B992)*3600-AD993*Model!$B$16, 0)</f>
        <v>0</v>
      </c>
      <c r="M993" s="57">
        <f t="shared" si="297"/>
        <v>0</v>
      </c>
      <c r="N993" s="57">
        <f>Model!$B$13*I993*K993/(Model!$B$13*I993-L993*287*K993)</f>
        <v>253</v>
      </c>
      <c r="O993" s="57">
        <f t="shared" si="298"/>
        <v>253</v>
      </c>
      <c r="P993" s="57">
        <f t="shared" si="299"/>
        <v>-10</v>
      </c>
      <c r="Q993" s="63">
        <f t="shared" si="310"/>
        <v>2.2579999999999999E-2</v>
      </c>
      <c r="R993" s="17">
        <f t="shared" si="311"/>
        <v>1.152E-5</v>
      </c>
      <c r="S993" s="46">
        <f>0.37*Model!$B$10*(Q993^2*(N993-K993)*I993/(R993*O993^2))^0.33333*(N993-K993)</f>
        <v>0</v>
      </c>
      <c r="T993" s="51">
        <f>Model!$B$32+(90-Model!$B$6)*SIN(RADIANS(-15*(E993+6)))</f>
        <v>-31.619472402513487</v>
      </c>
      <c r="U993" s="46">
        <f t="shared" si="300"/>
        <v>0</v>
      </c>
      <c r="V993" s="51">
        <f t="shared" si="301"/>
        <v>99999</v>
      </c>
      <c r="W993" s="46">
        <f t="shared" si="302"/>
        <v>0</v>
      </c>
      <c r="X993" s="46">
        <f>0.3*W993*Model!$B$9</f>
        <v>0</v>
      </c>
      <c r="Y993" s="17">
        <f>(S993-X993)/Model!$B$11</f>
        <v>0</v>
      </c>
      <c r="Z993" s="46" t="e">
        <f t="shared" si="303"/>
        <v>#DIV/0!</v>
      </c>
      <c r="AA993" s="57">
        <f>Y993/Model!$B$12*3600</f>
        <v>0</v>
      </c>
      <c r="AB993" s="51">
        <f t="shared" si="308"/>
        <v>0</v>
      </c>
      <c r="AC993" s="51">
        <f t="shared" si="312"/>
        <v>1800</v>
      </c>
      <c r="AD993" s="13">
        <f>IF(AE993=0, Model!$B$19, 0 )</f>
        <v>0</v>
      </c>
      <c r="AE993" s="51">
        <f>IF(AE992+AB992-AB993&lt;Model!$B$19*Model!$B$18, AE992+AB992-AB993,  0)</f>
        <v>443.63457370611354</v>
      </c>
      <c r="AF993" s="13">
        <f t="shared" si="304"/>
        <v>1</v>
      </c>
      <c r="AG993" s="50">
        <f t="shared" si="305"/>
        <v>0</v>
      </c>
    </row>
    <row r="994" spans="2:33" x14ac:dyDescent="0.25">
      <c r="B994" s="15">
        <f t="shared" si="306"/>
        <v>1</v>
      </c>
      <c r="C994" s="15">
        <f>B994+Model!$B$4</f>
        <v>3</v>
      </c>
      <c r="D994" s="15">
        <f t="shared" si="307"/>
        <v>1</v>
      </c>
      <c r="E994" s="15">
        <f t="shared" si="295"/>
        <v>3</v>
      </c>
      <c r="F994" s="16">
        <f>IF(AB994&gt;0, VLOOKUP(B994,Model!$A$40:$B$60, 2), 0)</f>
        <v>0</v>
      </c>
      <c r="G994" s="15">
        <f>IF(AB994&gt;0, VLOOKUP(B994,Model!$A$39:$C$58, 3), 0)</f>
        <v>0</v>
      </c>
      <c r="H994" s="15">
        <f t="shared" si="296"/>
        <v>0</v>
      </c>
      <c r="I994" s="45">
        <f>Model!$B$21*EXP((-0.029*9.81*F994)/(8.31*(273+J994)))</f>
        <v>104500</v>
      </c>
      <c r="J994" s="15">
        <f>IF(Model!$B$31="Summer",  IF(F994&lt;=2000,  Model!$B$20-Model!$B$35*F994/1000,  IF(F994&lt;Model!$B$36,  Model!$B$33-6.5*F994/1000,  Model!$B$38)),     IF(F994&lt;=2000,  Model!$B$20-Model!$B$35*F994/1000,  IF(F994&lt;Model!$B$36,  Model!$B$33-5.4*F994/1000,   Model!$B$38)))</f>
        <v>-20</v>
      </c>
      <c r="K994" s="15">
        <f t="shared" si="309"/>
        <v>253</v>
      </c>
      <c r="L994" s="45">
        <f>IF(AB993-AA993*(B994-B993)&gt;0, L993-Y993*(B994-B993)*3600-AD994*Model!$B$16, 0)</f>
        <v>0</v>
      </c>
      <c r="M994" s="56">
        <f t="shared" si="297"/>
        <v>0</v>
      </c>
      <c r="N994" s="56">
        <f>Model!$B$13*I994*K994/(Model!$B$13*I994-L994*287*K994)</f>
        <v>253</v>
      </c>
      <c r="O994" s="56">
        <f t="shared" si="298"/>
        <v>253</v>
      </c>
      <c r="P994" s="56">
        <f t="shared" si="299"/>
        <v>-10</v>
      </c>
      <c r="Q994" s="62">
        <f t="shared" si="310"/>
        <v>2.2579999999999999E-2</v>
      </c>
      <c r="R994" s="33">
        <f t="shared" si="311"/>
        <v>1.152E-5</v>
      </c>
      <c r="S994" s="45">
        <f>0.37*Model!$B$10*(Q994^2*(N994-K994)*I994/(R994*O994^2))^0.33333*(N994-K994)</f>
        <v>0</v>
      </c>
      <c r="T994" s="50">
        <f>Model!$B$32+(90-Model!$B$6)*SIN(RADIANS(-15*(E994+6)))</f>
        <v>-31.619472402513487</v>
      </c>
      <c r="U994" s="45">
        <f t="shared" si="300"/>
        <v>0</v>
      </c>
      <c r="V994" s="50">
        <f t="shared" si="301"/>
        <v>99999</v>
      </c>
      <c r="W994" s="45">
        <f t="shared" si="302"/>
        <v>0</v>
      </c>
      <c r="X994" s="45">
        <f>0.3*W994*Model!$B$9</f>
        <v>0</v>
      </c>
      <c r="Y994" s="33">
        <f>(S994-X994)/Model!$B$11</f>
        <v>0</v>
      </c>
      <c r="Z994" s="45" t="e">
        <f t="shared" si="303"/>
        <v>#DIV/0!</v>
      </c>
      <c r="AA994" s="56">
        <f>Y994/Model!$B$12*3600</f>
        <v>0</v>
      </c>
      <c r="AB994" s="50">
        <f t="shared" si="308"/>
        <v>0</v>
      </c>
      <c r="AC994" s="50">
        <f t="shared" si="312"/>
        <v>1800</v>
      </c>
      <c r="AD994" s="15">
        <f>IF(AE994=0, Model!$B$19, 0 )</f>
        <v>0</v>
      </c>
      <c r="AE994" s="50">
        <f>IF(AE993+AB993-AB994&lt;Model!$B$19*Model!$B$18, AE993+AB993-AB994,  0)</f>
        <v>443.63457370611354</v>
      </c>
      <c r="AF994" s="15">
        <f t="shared" si="304"/>
        <v>1</v>
      </c>
      <c r="AG994" s="50">
        <f t="shared" si="305"/>
        <v>0</v>
      </c>
    </row>
    <row r="995" spans="2:33" x14ac:dyDescent="0.25">
      <c r="B995" s="13">
        <f t="shared" si="306"/>
        <v>1</v>
      </c>
      <c r="C995" s="13">
        <f>B995+Model!$B$4</f>
        <v>3</v>
      </c>
      <c r="D995" s="13">
        <f t="shared" si="307"/>
        <v>1</v>
      </c>
      <c r="E995" s="13">
        <f t="shared" ref="E995:E1058" si="313">C995-24*(D995-1)</f>
        <v>3</v>
      </c>
      <c r="F995" s="14">
        <f>IF(AB995&gt;0, VLOOKUP(B995,Model!$A$40:$B$60, 2), 0)</f>
        <v>0</v>
      </c>
      <c r="G995" s="13">
        <f>IF(AB995&gt;0, VLOOKUP(B995,Model!$A$39:$C$58, 3), 0)</f>
        <v>0</v>
      </c>
      <c r="H995" s="13">
        <f t="shared" si="296"/>
        <v>0</v>
      </c>
      <c r="I995" s="46">
        <f>Model!$B$21*EXP((-0.029*9.81*F995)/(8.31*(273+J995)))</f>
        <v>104500</v>
      </c>
      <c r="J995" s="13">
        <f>IF(Model!$B$31="Summer",  IF(F995&lt;=2000,  Model!$B$20-Model!$B$35*F995/1000,  IF(F995&lt;Model!$B$36,  Model!$B$33-6.5*F995/1000,  Model!$B$38)),     IF(F995&lt;=2000,  Model!$B$20-Model!$B$35*F995/1000,  IF(F995&lt;Model!$B$36,  Model!$B$33-5.4*F995/1000,   Model!$B$38)))</f>
        <v>-20</v>
      </c>
      <c r="K995" s="13">
        <f t="shared" si="309"/>
        <v>253</v>
      </c>
      <c r="L995" s="46">
        <f>IF(AB994-AA994*(B995-B994)&gt;0, L994-Y994*(B995-B994)*3600-AD995*Model!$B$16, 0)</f>
        <v>0</v>
      </c>
      <c r="M995" s="57">
        <f t="shared" si="297"/>
        <v>0</v>
      </c>
      <c r="N995" s="57">
        <f>Model!$B$13*I995*K995/(Model!$B$13*I995-L995*287*K995)</f>
        <v>253</v>
      </c>
      <c r="O995" s="57">
        <f t="shared" si="298"/>
        <v>253</v>
      </c>
      <c r="P995" s="57">
        <f t="shared" si="299"/>
        <v>-10</v>
      </c>
      <c r="Q995" s="63">
        <f t="shared" si="310"/>
        <v>2.2579999999999999E-2</v>
      </c>
      <c r="R995" s="17">
        <f t="shared" si="311"/>
        <v>1.152E-5</v>
      </c>
      <c r="S995" s="46">
        <f>0.37*Model!$B$10*(Q995^2*(N995-K995)*I995/(R995*O995^2))^0.33333*(N995-K995)</f>
        <v>0</v>
      </c>
      <c r="T995" s="51">
        <f>Model!$B$32+(90-Model!$B$6)*SIN(RADIANS(-15*(E995+6)))</f>
        <v>-31.619472402513487</v>
      </c>
      <c r="U995" s="46">
        <f t="shared" si="300"/>
        <v>0</v>
      </c>
      <c r="V995" s="51">
        <f t="shared" si="301"/>
        <v>99999</v>
      </c>
      <c r="W995" s="46">
        <f t="shared" si="302"/>
        <v>0</v>
      </c>
      <c r="X995" s="46">
        <f>0.3*W995*Model!$B$9</f>
        <v>0</v>
      </c>
      <c r="Y995" s="17">
        <f>(S995-X995)/Model!$B$11</f>
        <v>0</v>
      </c>
      <c r="Z995" s="46" t="e">
        <f t="shared" si="303"/>
        <v>#DIV/0!</v>
      </c>
      <c r="AA995" s="57">
        <f>Y995/Model!$B$12*3600</f>
        <v>0</v>
      </c>
      <c r="AB995" s="51">
        <f t="shared" si="308"/>
        <v>0</v>
      </c>
      <c r="AC995" s="51">
        <f t="shared" si="312"/>
        <v>1800</v>
      </c>
      <c r="AD995" s="13">
        <f>IF(AE995=0, Model!$B$19, 0 )</f>
        <v>0</v>
      </c>
      <c r="AE995" s="51">
        <f>IF(AE994+AB994-AB995&lt;Model!$B$19*Model!$B$18, AE994+AB994-AB995,  0)</f>
        <v>443.63457370611354</v>
      </c>
      <c r="AF995" s="13">
        <f t="shared" si="304"/>
        <v>1</v>
      </c>
      <c r="AG995" s="50">
        <f t="shared" si="305"/>
        <v>0</v>
      </c>
    </row>
    <row r="996" spans="2:33" x14ac:dyDescent="0.25">
      <c r="B996" s="15">
        <f t="shared" si="306"/>
        <v>1</v>
      </c>
      <c r="C996" s="15">
        <f>B996+Model!$B$4</f>
        <v>3</v>
      </c>
      <c r="D996" s="15">
        <f t="shared" si="307"/>
        <v>1</v>
      </c>
      <c r="E996" s="15">
        <f t="shared" si="313"/>
        <v>3</v>
      </c>
      <c r="F996" s="16">
        <f>IF(AB996&gt;0, VLOOKUP(B996,Model!$A$40:$B$60, 2), 0)</f>
        <v>0</v>
      </c>
      <c r="G996" s="15">
        <f>IF(AB996&gt;0, VLOOKUP(B996,Model!$A$39:$C$58, 3), 0)</f>
        <v>0</v>
      </c>
      <c r="H996" s="15">
        <f t="shared" si="296"/>
        <v>0</v>
      </c>
      <c r="I996" s="45">
        <f>Model!$B$21*EXP((-0.029*9.81*F996)/(8.31*(273+J996)))</f>
        <v>104500</v>
      </c>
      <c r="J996" s="15">
        <f>IF(Model!$B$31="Summer",  IF(F996&lt;=2000,  Model!$B$20-Model!$B$35*F996/1000,  IF(F996&lt;Model!$B$36,  Model!$B$33-6.5*F996/1000,  Model!$B$38)),     IF(F996&lt;=2000,  Model!$B$20-Model!$B$35*F996/1000,  IF(F996&lt;Model!$B$36,  Model!$B$33-5.4*F996/1000,   Model!$B$38)))</f>
        <v>-20</v>
      </c>
      <c r="K996" s="15">
        <f t="shared" si="309"/>
        <v>253</v>
      </c>
      <c r="L996" s="45">
        <f>IF(AB995-AA995*(B996-B995)&gt;0, L995-Y995*(B996-B995)*3600-AD996*Model!$B$16, 0)</f>
        <v>0</v>
      </c>
      <c r="M996" s="56">
        <f t="shared" si="297"/>
        <v>0</v>
      </c>
      <c r="N996" s="56">
        <f>Model!$B$13*I996*K996/(Model!$B$13*I996-L996*287*K996)</f>
        <v>253</v>
      </c>
      <c r="O996" s="56">
        <f t="shared" si="298"/>
        <v>253</v>
      </c>
      <c r="P996" s="56">
        <f t="shared" si="299"/>
        <v>-10</v>
      </c>
      <c r="Q996" s="62">
        <f t="shared" si="310"/>
        <v>2.2579999999999999E-2</v>
      </c>
      <c r="R996" s="33">
        <f t="shared" si="311"/>
        <v>1.152E-5</v>
      </c>
      <c r="S996" s="45">
        <f>0.37*Model!$B$10*(Q996^2*(N996-K996)*I996/(R996*O996^2))^0.33333*(N996-K996)</f>
        <v>0</v>
      </c>
      <c r="T996" s="50">
        <f>Model!$B$32+(90-Model!$B$6)*SIN(RADIANS(-15*(E996+6)))</f>
        <v>-31.619472402513487</v>
      </c>
      <c r="U996" s="45">
        <f t="shared" si="300"/>
        <v>0</v>
      </c>
      <c r="V996" s="50">
        <f t="shared" si="301"/>
        <v>99999</v>
      </c>
      <c r="W996" s="45">
        <f t="shared" si="302"/>
        <v>0</v>
      </c>
      <c r="X996" s="45">
        <f>0.3*W996*Model!$B$9</f>
        <v>0</v>
      </c>
      <c r="Y996" s="33">
        <f>(S996-X996)/Model!$B$11</f>
        <v>0</v>
      </c>
      <c r="Z996" s="45" t="e">
        <f t="shared" si="303"/>
        <v>#DIV/0!</v>
      </c>
      <c r="AA996" s="56">
        <f>Y996/Model!$B$12*3600</f>
        <v>0</v>
      </c>
      <c r="AB996" s="50">
        <f t="shared" si="308"/>
        <v>0</v>
      </c>
      <c r="AC996" s="50">
        <f t="shared" si="312"/>
        <v>1800</v>
      </c>
      <c r="AD996" s="15">
        <f>IF(AE996=0, Model!$B$19, 0 )</f>
        <v>0</v>
      </c>
      <c r="AE996" s="50">
        <f>IF(AE995+AB995-AB996&lt;Model!$B$19*Model!$B$18, AE995+AB995-AB996,  0)</f>
        <v>443.63457370611354</v>
      </c>
      <c r="AF996" s="15">
        <f t="shared" si="304"/>
        <v>1</v>
      </c>
      <c r="AG996" s="50">
        <f t="shared" si="305"/>
        <v>0</v>
      </c>
    </row>
    <row r="997" spans="2:33" x14ac:dyDescent="0.25">
      <c r="B997" s="13">
        <f t="shared" si="306"/>
        <v>1</v>
      </c>
      <c r="C997" s="13">
        <f>B997+Model!$B$4</f>
        <v>3</v>
      </c>
      <c r="D997" s="13">
        <f t="shared" si="307"/>
        <v>1</v>
      </c>
      <c r="E997" s="13">
        <f t="shared" si="313"/>
        <v>3</v>
      </c>
      <c r="F997" s="14">
        <f>IF(AB997&gt;0, VLOOKUP(B997,Model!$A$40:$B$60, 2), 0)</f>
        <v>0</v>
      </c>
      <c r="G997" s="13">
        <f>IF(AB997&gt;0, VLOOKUP(B997,Model!$A$39:$C$58, 3), 0)</f>
        <v>0</v>
      </c>
      <c r="H997" s="13">
        <f t="shared" si="296"/>
        <v>0</v>
      </c>
      <c r="I997" s="46">
        <f>Model!$B$21*EXP((-0.029*9.81*F997)/(8.31*(273+J997)))</f>
        <v>104500</v>
      </c>
      <c r="J997" s="13">
        <f>IF(Model!$B$31="Summer",  IF(F997&lt;=2000,  Model!$B$20-Model!$B$35*F997/1000,  IF(F997&lt;Model!$B$36,  Model!$B$33-6.5*F997/1000,  Model!$B$38)),     IF(F997&lt;=2000,  Model!$B$20-Model!$B$35*F997/1000,  IF(F997&lt;Model!$B$36,  Model!$B$33-5.4*F997/1000,   Model!$B$38)))</f>
        <v>-20</v>
      </c>
      <c r="K997" s="13">
        <f t="shared" si="309"/>
        <v>253</v>
      </c>
      <c r="L997" s="46">
        <f>IF(AB996-AA996*(B997-B996)&gt;0, L996-Y996*(B997-B996)*3600-AD997*Model!$B$16, 0)</f>
        <v>0</v>
      </c>
      <c r="M997" s="57">
        <f t="shared" si="297"/>
        <v>0</v>
      </c>
      <c r="N997" s="57">
        <f>Model!$B$13*I997*K997/(Model!$B$13*I997-L997*287*K997)</f>
        <v>253</v>
      </c>
      <c r="O997" s="57">
        <f t="shared" si="298"/>
        <v>253</v>
      </c>
      <c r="P997" s="57">
        <f t="shared" si="299"/>
        <v>-10</v>
      </c>
      <c r="Q997" s="63">
        <f t="shared" si="310"/>
        <v>2.2579999999999999E-2</v>
      </c>
      <c r="R997" s="17">
        <f t="shared" si="311"/>
        <v>1.152E-5</v>
      </c>
      <c r="S997" s="46">
        <f>0.37*Model!$B$10*(Q997^2*(N997-K997)*I997/(R997*O997^2))^0.33333*(N997-K997)</f>
        <v>0</v>
      </c>
      <c r="T997" s="51">
        <f>Model!$B$32+(90-Model!$B$6)*SIN(RADIANS(-15*(E997+6)))</f>
        <v>-31.619472402513487</v>
      </c>
      <c r="U997" s="46">
        <f t="shared" si="300"/>
        <v>0</v>
      </c>
      <c r="V997" s="51">
        <f t="shared" si="301"/>
        <v>99999</v>
      </c>
      <c r="W997" s="46">
        <f t="shared" si="302"/>
        <v>0</v>
      </c>
      <c r="X997" s="46">
        <f>0.3*W997*Model!$B$9</f>
        <v>0</v>
      </c>
      <c r="Y997" s="17">
        <f>(S997-X997)/Model!$B$11</f>
        <v>0</v>
      </c>
      <c r="Z997" s="46" t="e">
        <f t="shared" si="303"/>
        <v>#DIV/0!</v>
      </c>
      <c r="AA997" s="57">
        <f>Y997/Model!$B$12*3600</f>
        <v>0</v>
      </c>
      <c r="AB997" s="51">
        <f t="shared" si="308"/>
        <v>0</v>
      </c>
      <c r="AC997" s="51">
        <f t="shared" si="312"/>
        <v>1800</v>
      </c>
      <c r="AD997" s="13">
        <f>IF(AE997=0, Model!$B$19, 0 )</f>
        <v>0</v>
      </c>
      <c r="AE997" s="51">
        <f>IF(AE996+AB996-AB997&lt;Model!$B$19*Model!$B$18, AE996+AB996-AB997,  0)</f>
        <v>443.63457370611354</v>
      </c>
      <c r="AF997" s="13">
        <f t="shared" si="304"/>
        <v>1</v>
      </c>
      <c r="AG997" s="50">
        <f t="shared" si="305"/>
        <v>0</v>
      </c>
    </row>
    <row r="998" spans="2:33" x14ac:dyDescent="0.25">
      <c r="B998" s="15">
        <f t="shared" si="306"/>
        <v>1</v>
      </c>
      <c r="C998" s="15">
        <f>B998+Model!$B$4</f>
        <v>3</v>
      </c>
      <c r="D998" s="15">
        <f t="shared" si="307"/>
        <v>1</v>
      </c>
      <c r="E998" s="15">
        <f t="shared" si="313"/>
        <v>3</v>
      </c>
      <c r="F998" s="16">
        <f>IF(AB998&gt;0, VLOOKUP(B998,Model!$A$40:$B$60, 2), 0)</f>
        <v>0</v>
      </c>
      <c r="G998" s="15">
        <f>IF(AB998&gt;0, VLOOKUP(B998,Model!$A$39:$C$58, 3), 0)</f>
        <v>0</v>
      </c>
      <c r="H998" s="15">
        <f t="shared" si="296"/>
        <v>0</v>
      </c>
      <c r="I998" s="45">
        <f>Model!$B$21*EXP((-0.029*9.81*F998)/(8.31*(273+J998)))</f>
        <v>104500</v>
      </c>
      <c r="J998" s="15">
        <f>IF(Model!$B$31="Summer",  IF(F998&lt;=2000,  Model!$B$20-Model!$B$35*F998/1000,  IF(F998&lt;Model!$B$36,  Model!$B$33-6.5*F998/1000,  Model!$B$38)),     IF(F998&lt;=2000,  Model!$B$20-Model!$B$35*F998/1000,  IF(F998&lt;Model!$B$36,  Model!$B$33-5.4*F998/1000,   Model!$B$38)))</f>
        <v>-20</v>
      </c>
      <c r="K998" s="15">
        <f t="shared" si="309"/>
        <v>253</v>
      </c>
      <c r="L998" s="45">
        <f>IF(AB997-AA997*(B998-B997)&gt;0, L997-Y997*(B998-B997)*3600-AD998*Model!$B$16, 0)</f>
        <v>0</v>
      </c>
      <c r="M998" s="56">
        <f t="shared" si="297"/>
        <v>0</v>
      </c>
      <c r="N998" s="56">
        <f>Model!$B$13*I998*K998/(Model!$B$13*I998-L998*287*K998)</f>
        <v>253</v>
      </c>
      <c r="O998" s="56">
        <f t="shared" si="298"/>
        <v>253</v>
      </c>
      <c r="P998" s="56">
        <f t="shared" si="299"/>
        <v>-10</v>
      </c>
      <c r="Q998" s="62">
        <f t="shared" si="310"/>
        <v>2.2579999999999999E-2</v>
      </c>
      <c r="R998" s="33">
        <f t="shared" si="311"/>
        <v>1.152E-5</v>
      </c>
      <c r="S998" s="45">
        <f>0.37*Model!$B$10*(Q998^2*(N998-K998)*I998/(R998*O998^2))^0.33333*(N998-K998)</f>
        <v>0</v>
      </c>
      <c r="T998" s="50">
        <f>Model!$B$32+(90-Model!$B$6)*SIN(RADIANS(-15*(E998+6)))</f>
        <v>-31.619472402513487</v>
      </c>
      <c r="U998" s="45">
        <f t="shared" si="300"/>
        <v>0</v>
      </c>
      <c r="V998" s="50">
        <f t="shared" si="301"/>
        <v>99999</v>
      </c>
      <c r="W998" s="45">
        <f t="shared" si="302"/>
        <v>0</v>
      </c>
      <c r="X998" s="45">
        <f>0.3*W998*Model!$B$9</f>
        <v>0</v>
      </c>
      <c r="Y998" s="33">
        <f>(S998-X998)/Model!$B$11</f>
        <v>0</v>
      </c>
      <c r="Z998" s="45" t="e">
        <f t="shared" si="303"/>
        <v>#DIV/0!</v>
      </c>
      <c r="AA998" s="56">
        <f>Y998/Model!$B$12*3600</f>
        <v>0</v>
      </c>
      <c r="AB998" s="50">
        <f t="shared" si="308"/>
        <v>0</v>
      </c>
      <c r="AC998" s="50">
        <f t="shared" si="312"/>
        <v>1800</v>
      </c>
      <c r="AD998" s="15">
        <f>IF(AE998=0, Model!$B$19, 0 )</f>
        <v>0</v>
      </c>
      <c r="AE998" s="50">
        <f>IF(AE997+AB997-AB998&lt;Model!$B$19*Model!$B$18, AE997+AB997-AB998,  0)</f>
        <v>443.63457370611354</v>
      </c>
      <c r="AF998" s="15">
        <f t="shared" si="304"/>
        <v>1</v>
      </c>
      <c r="AG998" s="50">
        <f t="shared" si="305"/>
        <v>0</v>
      </c>
    </row>
    <row r="999" spans="2:33" x14ac:dyDescent="0.25">
      <c r="B999" s="13">
        <f t="shared" si="306"/>
        <v>1</v>
      </c>
      <c r="C999" s="13">
        <f>B999+Model!$B$4</f>
        <v>3</v>
      </c>
      <c r="D999" s="13">
        <f t="shared" si="307"/>
        <v>1</v>
      </c>
      <c r="E999" s="13">
        <f t="shared" si="313"/>
        <v>3</v>
      </c>
      <c r="F999" s="14">
        <f>IF(AB999&gt;0, VLOOKUP(B999,Model!$A$40:$B$60, 2), 0)</f>
        <v>0</v>
      </c>
      <c r="G999" s="13">
        <f>IF(AB999&gt;0, VLOOKUP(B999,Model!$A$39:$C$58, 3), 0)</f>
        <v>0</v>
      </c>
      <c r="H999" s="13">
        <f t="shared" si="296"/>
        <v>0</v>
      </c>
      <c r="I999" s="46">
        <f>Model!$B$21*EXP((-0.029*9.81*F999)/(8.31*(273+J999)))</f>
        <v>104500</v>
      </c>
      <c r="J999" s="13">
        <f>IF(Model!$B$31="Summer",  IF(F999&lt;=2000,  Model!$B$20-Model!$B$35*F999/1000,  IF(F999&lt;Model!$B$36,  Model!$B$33-6.5*F999/1000,  Model!$B$38)),     IF(F999&lt;=2000,  Model!$B$20-Model!$B$35*F999/1000,  IF(F999&lt;Model!$B$36,  Model!$B$33-5.4*F999/1000,   Model!$B$38)))</f>
        <v>-20</v>
      </c>
      <c r="K999" s="13">
        <f t="shared" si="309"/>
        <v>253</v>
      </c>
      <c r="L999" s="46">
        <f>IF(AB998-AA998*(B999-B998)&gt;0, L998-Y998*(B999-B998)*3600-AD999*Model!$B$16, 0)</f>
        <v>0</v>
      </c>
      <c r="M999" s="57">
        <f t="shared" si="297"/>
        <v>0</v>
      </c>
      <c r="N999" s="57">
        <f>Model!$B$13*I999*K999/(Model!$B$13*I999-L999*287*K999)</f>
        <v>253</v>
      </c>
      <c r="O999" s="57">
        <f t="shared" si="298"/>
        <v>253</v>
      </c>
      <c r="P999" s="57">
        <f t="shared" si="299"/>
        <v>-10</v>
      </c>
      <c r="Q999" s="63">
        <f t="shared" si="310"/>
        <v>2.2579999999999999E-2</v>
      </c>
      <c r="R999" s="17">
        <f t="shared" si="311"/>
        <v>1.152E-5</v>
      </c>
      <c r="S999" s="46">
        <f>0.37*Model!$B$10*(Q999^2*(N999-K999)*I999/(R999*O999^2))^0.33333*(N999-K999)</f>
        <v>0</v>
      </c>
      <c r="T999" s="51">
        <f>Model!$B$32+(90-Model!$B$6)*SIN(RADIANS(-15*(E999+6)))</f>
        <v>-31.619472402513487</v>
      </c>
      <c r="U999" s="46">
        <f t="shared" si="300"/>
        <v>0</v>
      </c>
      <c r="V999" s="51">
        <f t="shared" si="301"/>
        <v>99999</v>
      </c>
      <c r="W999" s="46">
        <f t="shared" si="302"/>
        <v>0</v>
      </c>
      <c r="X999" s="46">
        <f>0.3*W999*Model!$B$9</f>
        <v>0</v>
      </c>
      <c r="Y999" s="17">
        <f>(S999-X999)/Model!$B$11</f>
        <v>0</v>
      </c>
      <c r="Z999" s="46" t="e">
        <f t="shared" si="303"/>
        <v>#DIV/0!</v>
      </c>
      <c r="AA999" s="57">
        <f>Y999/Model!$B$12*3600</f>
        <v>0</v>
      </c>
      <c r="AB999" s="51">
        <f t="shared" si="308"/>
        <v>0</v>
      </c>
      <c r="AC999" s="51">
        <f t="shared" si="312"/>
        <v>1800</v>
      </c>
      <c r="AD999" s="13">
        <f>IF(AE999=0, Model!$B$19, 0 )</f>
        <v>0</v>
      </c>
      <c r="AE999" s="51">
        <f>IF(AE998+AB998-AB999&lt;Model!$B$19*Model!$B$18, AE998+AB998-AB999,  0)</f>
        <v>443.63457370611354</v>
      </c>
      <c r="AF999" s="13">
        <f t="shared" si="304"/>
        <v>1</v>
      </c>
      <c r="AG999" s="50">
        <f t="shared" si="305"/>
        <v>0</v>
      </c>
    </row>
    <row r="1000" spans="2:33" x14ac:dyDescent="0.25">
      <c r="B1000" s="15">
        <f t="shared" si="306"/>
        <v>1</v>
      </c>
      <c r="C1000" s="15">
        <f>B1000+Model!$B$4</f>
        <v>3</v>
      </c>
      <c r="D1000" s="15">
        <f t="shared" si="307"/>
        <v>1</v>
      </c>
      <c r="E1000" s="15">
        <f t="shared" si="313"/>
        <v>3</v>
      </c>
      <c r="F1000" s="16">
        <f>IF(AB1000&gt;0, VLOOKUP(B1000,Model!$A$40:$B$60, 2), 0)</f>
        <v>0</v>
      </c>
      <c r="G1000" s="15">
        <f>IF(AB1000&gt;0, VLOOKUP(B1000,Model!$A$39:$C$58, 3), 0)</f>
        <v>0</v>
      </c>
      <c r="H1000" s="15">
        <f t="shared" si="296"/>
        <v>0</v>
      </c>
      <c r="I1000" s="45">
        <f>Model!$B$21*EXP((-0.029*9.81*F1000)/(8.31*(273+J1000)))</f>
        <v>104500</v>
      </c>
      <c r="J1000" s="15">
        <f>IF(Model!$B$31="Summer",  IF(F1000&lt;=2000,  Model!$B$20-Model!$B$35*F1000/1000,  IF(F1000&lt;Model!$B$36,  Model!$B$33-6.5*F1000/1000,  Model!$B$38)),     IF(F1000&lt;=2000,  Model!$B$20-Model!$B$35*F1000/1000,  IF(F1000&lt;Model!$B$36,  Model!$B$33-5.4*F1000/1000,   Model!$B$38)))</f>
        <v>-20</v>
      </c>
      <c r="K1000" s="15">
        <f t="shared" si="309"/>
        <v>253</v>
      </c>
      <c r="L1000" s="45">
        <f>IF(AB999-AA999*(B1000-B999)&gt;0, L999-Y999*(B1000-B999)*3600-AD1000*Model!$B$16, 0)</f>
        <v>0</v>
      </c>
      <c r="M1000" s="56">
        <f t="shared" si="297"/>
        <v>0</v>
      </c>
      <c r="N1000" s="56">
        <f>Model!$B$13*I1000*K1000/(Model!$B$13*I1000-L1000*287*K1000)</f>
        <v>253</v>
      </c>
      <c r="O1000" s="56">
        <f t="shared" si="298"/>
        <v>253</v>
      </c>
      <c r="P1000" s="56">
        <f t="shared" si="299"/>
        <v>-10</v>
      </c>
      <c r="Q1000" s="62">
        <f t="shared" si="310"/>
        <v>2.2579999999999999E-2</v>
      </c>
      <c r="R1000" s="33">
        <f t="shared" si="311"/>
        <v>1.152E-5</v>
      </c>
      <c r="S1000" s="45">
        <f>0.37*Model!$B$10*(Q1000^2*(N1000-K1000)*I1000/(R1000*O1000^2))^0.33333*(N1000-K1000)</f>
        <v>0</v>
      </c>
      <c r="T1000" s="50">
        <f>Model!$B$32+(90-Model!$B$6)*SIN(RADIANS(-15*(E1000+6)))</f>
        <v>-31.619472402513487</v>
      </c>
      <c r="U1000" s="45">
        <f t="shared" si="300"/>
        <v>0</v>
      </c>
      <c r="V1000" s="50">
        <f t="shared" si="301"/>
        <v>99999</v>
      </c>
      <c r="W1000" s="45">
        <f t="shared" si="302"/>
        <v>0</v>
      </c>
      <c r="X1000" s="45">
        <f>0.3*W1000*Model!$B$9</f>
        <v>0</v>
      </c>
      <c r="Y1000" s="33">
        <f>(S1000-X1000)/Model!$B$11</f>
        <v>0</v>
      </c>
      <c r="Z1000" s="45" t="e">
        <f t="shared" si="303"/>
        <v>#DIV/0!</v>
      </c>
      <c r="AA1000" s="56">
        <f>Y1000/Model!$B$12*3600</f>
        <v>0</v>
      </c>
      <c r="AB1000" s="50">
        <f t="shared" si="308"/>
        <v>0</v>
      </c>
      <c r="AC1000" s="50">
        <f t="shared" si="312"/>
        <v>1800</v>
      </c>
      <c r="AD1000" s="15">
        <f>IF(AE1000=0, Model!$B$19, 0 )</f>
        <v>0</v>
      </c>
      <c r="AE1000" s="50">
        <f>IF(AE999+AB999-AB1000&lt;Model!$B$19*Model!$B$18, AE999+AB999-AB1000,  0)</f>
        <v>443.63457370611354</v>
      </c>
      <c r="AF1000" s="15">
        <f t="shared" si="304"/>
        <v>1</v>
      </c>
      <c r="AG1000" s="50">
        <f t="shared" si="305"/>
        <v>0</v>
      </c>
    </row>
    <row r="1001" spans="2:33" x14ac:dyDescent="0.25">
      <c r="B1001" s="13">
        <f t="shared" si="306"/>
        <v>1</v>
      </c>
      <c r="C1001" s="13">
        <f>B1001+Model!$B$4</f>
        <v>3</v>
      </c>
      <c r="D1001" s="13">
        <f t="shared" si="307"/>
        <v>1</v>
      </c>
      <c r="E1001" s="13">
        <f t="shared" si="313"/>
        <v>3</v>
      </c>
      <c r="F1001" s="14">
        <f>IF(AB1001&gt;0, VLOOKUP(B1001,Model!$A$40:$B$60, 2), 0)</f>
        <v>0</v>
      </c>
      <c r="G1001" s="13">
        <f>IF(AB1001&gt;0, VLOOKUP(B1001,Model!$A$39:$C$58, 3), 0)</f>
        <v>0</v>
      </c>
      <c r="H1001" s="13">
        <f t="shared" si="296"/>
        <v>0</v>
      </c>
      <c r="I1001" s="46">
        <f>Model!$B$21*EXP((-0.029*9.81*F1001)/(8.31*(273+J1001)))</f>
        <v>104500</v>
      </c>
      <c r="J1001" s="13">
        <f>IF(Model!$B$31="Summer",  IF(F1001&lt;=2000,  Model!$B$20-Model!$B$35*F1001/1000,  IF(F1001&lt;Model!$B$36,  Model!$B$33-6.5*F1001/1000,  Model!$B$38)),     IF(F1001&lt;=2000,  Model!$B$20-Model!$B$35*F1001/1000,  IF(F1001&lt;Model!$B$36,  Model!$B$33-5.4*F1001/1000,   Model!$B$38)))</f>
        <v>-20</v>
      </c>
      <c r="K1001" s="13">
        <f t="shared" si="309"/>
        <v>253</v>
      </c>
      <c r="L1001" s="46">
        <f>IF(AB1000-AA1000*(B1001-B1000)&gt;0, L1000-Y1000*(B1001-B1000)*3600-AD1001*Model!$B$16, 0)</f>
        <v>0</v>
      </c>
      <c r="M1001" s="57">
        <f t="shared" si="297"/>
        <v>0</v>
      </c>
      <c r="N1001" s="57">
        <f>Model!$B$13*I1001*K1001/(Model!$B$13*I1001-L1001*287*K1001)</f>
        <v>253</v>
      </c>
      <c r="O1001" s="57">
        <f t="shared" si="298"/>
        <v>253</v>
      </c>
      <c r="P1001" s="57">
        <f t="shared" si="299"/>
        <v>-10</v>
      </c>
      <c r="Q1001" s="63">
        <f t="shared" si="310"/>
        <v>2.2579999999999999E-2</v>
      </c>
      <c r="R1001" s="17">
        <f t="shared" si="311"/>
        <v>1.152E-5</v>
      </c>
      <c r="S1001" s="46">
        <f>0.37*Model!$B$10*(Q1001^2*(N1001-K1001)*I1001/(R1001*O1001^2))^0.33333*(N1001-K1001)</f>
        <v>0</v>
      </c>
      <c r="T1001" s="51">
        <f>Model!$B$32+(90-Model!$B$6)*SIN(RADIANS(-15*(E1001+6)))</f>
        <v>-31.619472402513487</v>
      </c>
      <c r="U1001" s="46">
        <f t="shared" si="300"/>
        <v>0</v>
      </c>
      <c r="V1001" s="51">
        <f t="shared" si="301"/>
        <v>99999</v>
      </c>
      <c r="W1001" s="46">
        <f t="shared" si="302"/>
        <v>0</v>
      </c>
      <c r="X1001" s="46">
        <f>0.3*W1001*Model!$B$9</f>
        <v>0</v>
      </c>
      <c r="Y1001" s="17">
        <f>(S1001-X1001)/Model!$B$11</f>
        <v>0</v>
      </c>
      <c r="Z1001" s="46" t="e">
        <f t="shared" si="303"/>
        <v>#DIV/0!</v>
      </c>
      <c r="AA1001" s="57">
        <f>Y1001/Model!$B$12*3600</f>
        <v>0</v>
      </c>
      <c r="AB1001" s="51">
        <f t="shared" si="308"/>
        <v>0</v>
      </c>
      <c r="AC1001" s="51">
        <f t="shared" si="312"/>
        <v>1800</v>
      </c>
      <c r="AD1001" s="13">
        <f>IF(AE1001=0, Model!$B$19, 0 )</f>
        <v>0</v>
      </c>
      <c r="AE1001" s="51">
        <f>IF(AE1000+AB1000-AB1001&lt;Model!$B$19*Model!$B$18, AE1000+AB1000-AB1001,  0)</f>
        <v>443.63457370611354</v>
      </c>
      <c r="AF1001" s="13">
        <f t="shared" si="304"/>
        <v>1</v>
      </c>
      <c r="AG1001" s="50">
        <f t="shared" si="305"/>
        <v>0</v>
      </c>
    </row>
    <row r="1002" spans="2:33" x14ac:dyDescent="0.25">
      <c r="B1002" s="15">
        <f t="shared" si="306"/>
        <v>1</v>
      </c>
      <c r="C1002" s="15">
        <f>B1002+Model!$B$4</f>
        <v>3</v>
      </c>
      <c r="D1002" s="15">
        <f t="shared" si="307"/>
        <v>1</v>
      </c>
      <c r="E1002" s="15">
        <f t="shared" si="313"/>
        <v>3</v>
      </c>
      <c r="F1002" s="16">
        <f>IF(AB1002&gt;0, VLOOKUP(B1002,Model!$A$40:$B$60, 2), 0)</f>
        <v>0</v>
      </c>
      <c r="G1002" s="15">
        <f>IF(AB1002&gt;0, VLOOKUP(B1002,Model!$A$39:$C$58, 3), 0)</f>
        <v>0</v>
      </c>
      <c r="H1002" s="15">
        <f t="shared" si="296"/>
        <v>0</v>
      </c>
      <c r="I1002" s="45">
        <f>Model!$B$21*EXP((-0.029*9.81*F1002)/(8.31*(273+J1002)))</f>
        <v>104500</v>
      </c>
      <c r="J1002" s="15">
        <f>IF(Model!$B$31="Summer",  IF(F1002&lt;=2000,  Model!$B$20-Model!$B$35*F1002/1000,  IF(F1002&lt;Model!$B$36,  Model!$B$33-6.5*F1002/1000,  Model!$B$38)),     IF(F1002&lt;=2000,  Model!$B$20-Model!$B$35*F1002/1000,  IF(F1002&lt;Model!$B$36,  Model!$B$33-5.4*F1002/1000,   Model!$B$38)))</f>
        <v>-20</v>
      </c>
      <c r="K1002" s="15">
        <f t="shared" si="309"/>
        <v>253</v>
      </c>
      <c r="L1002" s="45">
        <f>IF(AB1001-AA1001*(B1002-B1001)&gt;0, L1001-Y1001*(B1002-B1001)*3600-AD1002*Model!$B$16, 0)</f>
        <v>0</v>
      </c>
      <c r="M1002" s="56">
        <f t="shared" si="297"/>
        <v>0</v>
      </c>
      <c r="N1002" s="56">
        <f>Model!$B$13*I1002*K1002/(Model!$B$13*I1002-L1002*287*K1002)</f>
        <v>253</v>
      </c>
      <c r="O1002" s="56">
        <f t="shared" si="298"/>
        <v>253</v>
      </c>
      <c r="P1002" s="56">
        <f t="shared" si="299"/>
        <v>-10</v>
      </c>
      <c r="Q1002" s="62">
        <f t="shared" si="310"/>
        <v>2.2579999999999999E-2</v>
      </c>
      <c r="R1002" s="33">
        <f t="shared" si="311"/>
        <v>1.152E-5</v>
      </c>
      <c r="S1002" s="45">
        <f>0.37*Model!$B$10*(Q1002^2*(N1002-K1002)*I1002/(R1002*O1002^2))^0.33333*(N1002-K1002)</f>
        <v>0</v>
      </c>
      <c r="T1002" s="50">
        <f>Model!$B$32+(90-Model!$B$6)*SIN(RADIANS(-15*(E1002+6)))</f>
        <v>-31.619472402513487</v>
      </c>
      <c r="U1002" s="45">
        <f t="shared" si="300"/>
        <v>0</v>
      </c>
      <c r="V1002" s="50">
        <f t="shared" si="301"/>
        <v>99999</v>
      </c>
      <c r="W1002" s="45">
        <f t="shared" si="302"/>
        <v>0</v>
      </c>
      <c r="X1002" s="45">
        <f>0.3*W1002*Model!$B$9</f>
        <v>0</v>
      </c>
      <c r="Y1002" s="33">
        <f>(S1002-X1002)/Model!$B$11</f>
        <v>0</v>
      </c>
      <c r="Z1002" s="45" t="e">
        <f t="shared" si="303"/>
        <v>#DIV/0!</v>
      </c>
      <c r="AA1002" s="56">
        <f>Y1002/Model!$B$12*3600</f>
        <v>0</v>
      </c>
      <c r="AB1002" s="50">
        <f t="shared" si="308"/>
        <v>0</v>
      </c>
      <c r="AC1002" s="50">
        <f t="shared" si="312"/>
        <v>1800</v>
      </c>
      <c r="AD1002" s="15">
        <f>IF(AE1002=0, Model!$B$19, 0 )</f>
        <v>0</v>
      </c>
      <c r="AE1002" s="50">
        <f>IF(AE1001+AB1001-AB1002&lt;Model!$B$19*Model!$B$18, AE1001+AB1001-AB1002,  0)</f>
        <v>443.63457370611354</v>
      </c>
      <c r="AF1002" s="15">
        <f t="shared" si="304"/>
        <v>1</v>
      </c>
      <c r="AG1002" s="50">
        <f t="shared" si="305"/>
        <v>0</v>
      </c>
    </row>
    <row r="1003" spans="2:33" x14ac:dyDescent="0.25">
      <c r="B1003" s="13">
        <f t="shared" si="306"/>
        <v>1</v>
      </c>
      <c r="C1003" s="13">
        <f>B1003+Model!$B$4</f>
        <v>3</v>
      </c>
      <c r="D1003" s="13">
        <f t="shared" si="307"/>
        <v>1</v>
      </c>
      <c r="E1003" s="13">
        <f t="shared" si="313"/>
        <v>3</v>
      </c>
      <c r="F1003" s="14">
        <f>IF(AB1003&gt;0, VLOOKUP(B1003,Model!$A$40:$B$60, 2), 0)</f>
        <v>0</v>
      </c>
      <c r="G1003" s="13">
        <f>IF(AB1003&gt;0, VLOOKUP(B1003,Model!$A$39:$C$58, 3), 0)</f>
        <v>0</v>
      </c>
      <c r="H1003" s="13">
        <f t="shared" si="296"/>
        <v>0</v>
      </c>
      <c r="I1003" s="46">
        <f>Model!$B$21*EXP((-0.029*9.81*F1003)/(8.31*(273+J1003)))</f>
        <v>104500</v>
      </c>
      <c r="J1003" s="13">
        <f>IF(Model!$B$31="Summer",  IF(F1003&lt;=2000,  Model!$B$20-Model!$B$35*F1003/1000,  IF(F1003&lt;Model!$B$36,  Model!$B$33-6.5*F1003/1000,  Model!$B$38)),     IF(F1003&lt;=2000,  Model!$B$20-Model!$B$35*F1003/1000,  IF(F1003&lt;Model!$B$36,  Model!$B$33-5.4*F1003/1000,   Model!$B$38)))</f>
        <v>-20</v>
      </c>
      <c r="K1003" s="13">
        <f t="shared" ref="K1003:K1012" si="314">273+J1003</f>
        <v>253</v>
      </c>
      <c r="L1003" s="46">
        <f>IF(AB1002-AA1002*(B1003-B1002)&gt;0, L1002-Y1002*(B1003-B1002)*3600-AD1003*Model!$B$16, 0)</f>
        <v>0</v>
      </c>
      <c r="M1003" s="57">
        <f t="shared" si="297"/>
        <v>0</v>
      </c>
      <c r="N1003" s="57">
        <f>Model!$B$13*I1003*K1003/(Model!$B$13*I1003-L1003*287*K1003)</f>
        <v>253</v>
      </c>
      <c r="O1003" s="57">
        <f t="shared" si="298"/>
        <v>253</v>
      </c>
      <c r="P1003" s="57">
        <f t="shared" si="299"/>
        <v>-10</v>
      </c>
      <c r="Q1003" s="63">
        <f t="shared" ref="Q1003:Q1012" si="315">(O1003-273)*7.1*0.00001+0.024</f>
        <v>2.2579999999999999E-2</v>
      </c>
      <c r="R1003" s="17">
        <f t="shared" ref="R1003:R1012" si="316">((O1003-273)*0.104+13.6)*0.000001</f>
        <v>1.152E-5</v>
      </c>
      <c r="S1003" s="46">
        <f>0.37*Model!$B$10*(Q1003^2*(N1003-K1003)*I1003/(R1003*O1003^2))^0.33333*(N1003-K1003)</f>
        <v>0</v>
      </c>
      <c r="T1003" s="51">
        <f>Model!$B$32+(90-Model!$B$6)*SIN(RADIANS(-15*(E1003+6)))</f>
        <v>-31.619472402513487</v>
      </c>
      <c r="U1003" s="46">
        <f t="shared" si="300"/>
        <v>0</v>
      </c>
      <c r="V1003" s="51">
        <f t="shared" si="301"/>
        <v>99999</v>
      </c>
      <c r="W1003" s="46">
        <f t="shared" si="302"/>
        <v>0</v>
      </c>
      <c r="X1003" s="46">
        <f>0.3*W1003*Model!$B$9</f>
        <v>0</v>
      </c>
      <c r="Y1003" s="17">
        <f>(S1003-X1003)/Model!$B$11</f>
        <v>0</v>
      </c>
      <c r="Z1003" s="46" t="e">
        <f t="shared" si="303"/>
        <v>#DIV/0!</v>
      </c>
      <c r="AA1003" s="57">
        <f>Y1003/Model!$B$12*3600</f>
        <v>0</v>
      </c>
      <c r="AB1003" s="51">
        <f t="shared" si="308"/>
        <v>0</v>
      </c>
      <c r="AC1003" s="51">
        <f t="shared" ref="AC1003:AC1012" si="317">AC1002+AB1002-AB1003</f>
        <v>1800</v>
      </c>
      <c r="AD1003" s="13">
        <f>IF(AE1003=0, Model!$B$19, 0 )</f>
        <v>0</v>
      </c>
      <c r="AE1003" s="51">
        <f>IF(AE1002+AB1002-AB1003&lt;Model!$B$19*Model!$B$18, AE1002+AB1002-AB1003,  0)</f>
        <v>443.63457370611354</v>
      </c>
      <c r="AF1003" s="13">
        <f t="shared" si="304"/>
        <v>1</v>
      </c>
      <c r="AG1003" s="50">
        <f t="shared" si="305"/>
        <v>0</v>
      </c>
    </row>
    <row r="1004" spans="2:33" x14ac:dyDescent="0.25">
      <c r="B1004" s="15">
        <f t="shared" si="306"/>
        <v>1</v>
      </c>
      <c r="C1004" s="15">
        <f>B1004+Model!$B$4</f>
        <v>3</v>
      </c>
      <c r="D1004" s="15">
        <f t="shared" si="307"/>
        <v>1</v>
      </c>
      <c r="E1004" s="15">
        <f t="shared" si="313"/>
        <v>3</v>
      </c>
      <c r="F1004" s="16">
        <f>IF(AB1004&gt;0, VLOOKUP(B1004,Model!$A$40:$B$60, 2), 0)</f>
        <v>0</v>
      </c>
      <c r="G1004" s="15">
        <f>IF(AB1004&gt;0, VLOOKUP(B1004,Model!$A$39:$C$58, 3), 0)</f>
        <v>0</v>
      </c>
      <c r="H1004" s="15">
        <f t="shared" si="296"/>
        <v>0</v>
      </c>
      <c r="I1004" s="45">
        <f>Model!$B$21*EXP((-0.029*9.81*F1004)/(8.31*(273+J1004)))</f>
        <v>104500</v>
      </c>
      <c r="J1004" s="15">
        <f>IF(Model!$B$31="Summer",  IF(F1004&lt;=2000,  Model!$B$20-Model!$B$35*F1004/1000,  IF(F1004&lt;Model!$B$36,  Model!$B$33-6.5*F1004/1000,  Model!$B$38)),     IF(F1004&lt;=2000,  Model!$B$20-Model!$B$35*F1004/1000,  IF(F1004&lt;Model!$B$36,  Model!$B$33-5.4*F1004/1000,   Model!$B$38)))</f>
        <v>-20</v>
      </c>
      <c r="K1004" s="15">
        <f t="shared" si="314"/>
        <v>253</v>
      </c>
      <c r="L1004" s="45">
        <f>IF(AB1003-AA1003*(B1004-B1003)&gt;0, L1003-Y1003*(B1004-B1003)*3600-AD1004*Model!$B$16, 0)</f>
        <v>0</v>
      </c>
      <c r="M1004" s="56">
        <f t="shared" si="297"/>
        <v>0</v>
      </c>
      <c r="N1004" s="56">
        <f>Model!$B$13*I1004*K1004/(Model!$B$13*I1004-L1004*287*K1004)</f>
        <v>253</v>
      </c>
      <c r="O1004" s="56">
        <f t="shared" si="298"/>
        <v>253</v>
      </c>
      <c r="P1004" s="56">
        <f t="shared" si="299"/>
        <v>-10</v>
      </c>
      <c r="Q1004" s="62">
        <f t="shared" si="315"/>
        <v>2.2579999999999999E-2</v>
      </c>
      <c r="R1004" s="33">
        <f t="shared" si="316"/>
        <v>1.152E-5</v>
      </c>
      <c r="S1004" s="45">
        <f>0.37*Model!$B$10*(Q1004^2*(N1004-K1004)*I1004/(R1004*O1004^2))^0.33333*(N1004-K1004)</f>
        <v>0</v>
      </c>
      <c r="T1004" s="50">
        <f>Model!$B$32+(90-Model!$B$6)*SIN(RADIANS(-15*(E1004+6)))</f>
        <v>-31.619472402513487</v>
      </c>
      <c r="U1004" s="45">
        <f t="shared" si="300"/>
        <v>0</v>
      </c>
      <c r="V1004" s="50">
        <f t="shared" si="301"/>
        <v>99999</v>
      </c>
      <c r="W1004" s="45">
        <f t="shared" si="302"/>
        <v>0</v>
      </c>
      <c r="X1004" s="45">
        <f>0.3*W1004*Model!$B$9</f>
        <v>0</v>
      </c>
      <c r="Y1004" s="33">
        <f>(S1004-X1004)/Model!$B$11</f>
        <v>0</v>
      </c>
      <c r="Z1004" s="45" t="e">
        <f t="shared" si="303"/>
        <v>#DIV/0!</v>
      </c>
      <c r="AA1004" s="56">
        <f>Y1004/Model!$B$12*3600</f>
        <v>0</v>
      </c>
      <c r="AB1004" s="50">
        <f t="shared" si="308"/>
        <v>0</v>
      </c>
      <c r="AC1004" s="50">
        <f t="shared" si="317"/>
        <v>1800</v>
      </c>
      <c r="AD1004" s="15">
        <f>IF(AE1004=0, Model!$B$19, 0 )</f>
        <v>0</v>
      </c>
      <c r="AE1004" s="50">
        <f>IF(AE1003+AB1003-AB1004&lt;Model!$B$19*Model!$B$18, AE1003+AB1003-AB1004,  0)</f>
        <v>443.63457370611354</v>
      </c>
      <c r="AF1004" s="15">
        <f t="shared" si="304"/>
        <v>1</v>
      </c>
      <c r="AG1004" s="50">
        <f t="shared" si="305"/>
        <v>0</v>
      </c>
    </row>
    <row r="1005" spans="2:33" x14ac:dyDescent="0.25">
      <c r="B1005" s="13">
        <f t="shared" si="306"/>
        <v>1</v>
      </c>
      <c r="C1005" s="13">
        <f>B1005+Model!$B$4</f>
        <v>3</v>
      </c>
      <c r="D1005" s="13">
        <f t="shared" si="307"/>
        <v>1</v>
      </c>
      <c r="E1005" s="13">
        <f t="shared" si="313"/>
        <v>3</v>
      </c>
      <c r="F1005" s="14">
        <f>IF(AB1005&gt;0, VLOOKUP(B1005,Model!$A$40:$B$60, 2), 0)</f>
        <v>0</v>
      </c>
      <c r="G1005" s="13">
        <f>IF(AB1005&gt;0, VLOOKUP(B1005,Model!$A$39:$C$58, 3), 0)</f>
        <v>0</v>
      </c>
      <c r="H1005" s="13">
        <f t="shared" si="296"/>
        <v>0</v>
      </c>
      <c r="I1005" s="46">
        <f>Model!$B$21*EXP((-0.029*9.81*F1005)/(8.31*(273+J1005)))</f>
        <v>104500</v>
      </c>
      <c r="J1005" s="13">
        <f>IF(Model!$B$31="Summer",  IF(F1005&lt;=2000,  Model!$B$20-Model!$B$35*F1005/1000,  IF(F1005&lt;Model!$B$36,  Model!$B$33-6.5*F1005/1000,  Model!$B$38)),     IF(F1005&lt;=2000,  Model!$B$20-Model!$B$35*F1005/1000,  IF(F1005&lt;Model!$B$36,  Model!$B$33-5.4*F1005/1000,   Model!$B$38)))</f>
        <v>-20</v>
      </c>
      <c r="K1005" s="13">
        <f t="shared" si="314"/>
        <v>253</v>
      </c>
      <c r="L1005" s="46">
        <f>IF(AB1004-AA1004*(B1005-B1004)&gt;0, L1004-Y1004*(B1005-B1004)*3600-AD1005*Model!$B$16, 0)</f>
        <v>0</v>
      </c>
      <c r="M1005" s="57">
        <f t="shared" si="297"/>
        <v>0</v>
      </c>
      <c r="N1005" s="57">
        <f>Model!$B$13*I1005*K1005/(Model!$B$13*I1005-L1005*287*K1005)</f>
        <v>253</v>
      </c>
      <c r="O1005" s="57">
        <f t="shared" si="298"/>
        <v>253</v>
      </c>
      <c r="P1005" s="57">
        <f t="shared" si="299"/>
        <v>-10</v>
      </c>
      <c r="Q1005" s="63">
        <f t="shared" si="315"/>
        <v>2.2579999999999999E-2</v>
      </c>
      <c r="R1005" s="17">
        <f t="shared" si="316"/>
        <v>1.152E-5</v>
      </c>
      <c r="S1005" s="46">
        <f>0.37*Model!$B$10*(Q1005^2*(N1005-K1005)*I1005/(R1005*O1005^2))^0.33333*(N1005-K1005)</f>
        <v>0</v>
      </c>
      <c r="T1005" s="51">
        <f>Model!$B$32+(90-Model!$B$6)*SIN(RADIANS(-15*(E1005+6)))</f>
        <v>-31.619472402513487</v>
      </c>
      <c r="U1005" s="46">
        <f t="shared" si="300"/>
        <v>0</v>
      </c>
      <c r="V1005" s="51">
        <f t="shared" si="301"/>
        <v>99999</v>
      </c>
      <c r="W1005" s="46">
        <f t="shared" si="302"/>
        <v>0</v>
      </c>
      <c r="X1005" s="46">
        <f>0.3*W1005*Model!$B$9</f>
        <v>0</v>
      </c>
      <c r="Y1005" s="17">
        <f>(S1005-X1005)/Model!$B$11</f>
        <v>0</v>
      </c>
      <c r="Z1005" s="46" t="e">
        <f t="shared" si="303"/>
        <v>#DIV/0!</v>
      </c>
      <c r="AA1005" s="57">
        <f>Y1005/Model!$B$12*3600</f>
        <v>0</v>
      </c>
      <c r="AB1005" s="51">
        <f t="shared" si="308"/>
        <v>0</v>
      </c>
      <c r="AC1005" s="51">
        <f t="shared" si="317"/>
        <v>1800</v>
      </c>
      <c r="AD1005" s="13">
        <f>IF(AE1005=0, Model!$B$19, 0 )</f>
        <v>0</v>
      </c>
      <c r="AE1005" s="51">
        <f>IF(AE1004+AB1004-AB1005&lt;Model!$B$19*Model!$B$18, AE1004+AB1004-AB1005,  0)</f>
        <v>443.63457370611354</v>
      </c>
      <c r="AF1005" s="13">
        <f t="shared" si="304"/>
        <v>1</v>
      </c>
      <c r="AG1005" s="50">
        <f t="shared" si="305"/>
        <v>0</v>
      </c>
    </row>
    <row r="1006" spans="2:33" x14ac:dyDescent="0.25">
      <c r="B1006" s="15">
        <f t="shared" si="306"/>
        <v>1</v>
      </c>
      <c r="C1006" s="15">
        <f>B1006+Model!$B$4</f>
        <v>3</v>
      </c>
      <c r="D1006" s="15">
        <f t="shared" si="307"/>
        <v>1</v>
      </c>
      <c r="E1006" s="15">
        <f t="shared" si="313"/>
        <v>3</v>
      </c>
      <c r="F1006" s="16">
        <f>IF(AB1006&gt;0, VLOOKUP(B1006,Model!$A$40:$B$60, 2), 0)</f>
        <v>0</v>
      </c>
      <c r="G1006" s="15">
        <f>IF(AB1006&gt;0, VLOOKUP(B1006,Model!$A$39:$C$58, 3), 0)</f>
        <v>0</v>
      </c>
      <c r="H1006" s="15">
        <f t="shared" si="296"/>
        <v>0</v>
      </c>
      <c r="I1006" s="45">
        <f>Model!$B$21*EXP((-0.029*9.81*F1006)/(8.31*(273+J1006)))</f>
        <v>104500</v>
      </c>
      <c r="J1006" s="15">
        <f>IF(Model!$B$31="Summer",  IF(F1006&lt;=2000,  Model!$B$20-Model!$B$35*F1006/1000,  IF(F1006&lt;Model!$B$36,  Model!$B$33-6.5*F1006/1000,  Model!$B$38)),     IF(F1006&lt;=2000,  Model!$B$20-Model!$B$35*F1006/1000,  IF(F1006&lt;Model!$B$36,  Model!$B$33-5.4*F1006/1000,   Model!$B$38)))</f>
        <v>-20</v>
      </c>
      <c r="K1006" s="15">
        <f t="shared" si="314"/>
        <v>253</v>
      </c>
      <c r="L1006" s="45">
        <f>IF(AB1005-AA1005*(B1006-B1005)&gt;0, L1005-Y1005*(B1006-B1005)*3600-AD1006*Model!$B$16, 0)</f>
        <v>0</v>
      </c>
      <c r="M1006" s="56">
        <f t="shared" si="297"/>
        <v>0</v>
      </c>
      <c r="N1006" s="56">
        <f>Model!$B$13*I1006*K1006/(Model!$B$13*I1006-L1006*287*K1006)</f>
        <v>253</v>
      </c>
      <c r="O1006" s="56">
        <f t="shared" si="298"/>
        <v>253</v>
      </c>
      <c r="P1006" s="56">
        <f t="shared" si="299"/>
        <v>-10</v>
      </c>
      <c r="Q1006" s="62">
        <f t="shared" si="315"/>
        <v>2.2579999999999999E-2</v>
      </c>
      <c r="R1006" s="33">
        <f t="shared" si="316"/>
        <v>1.152E-5</v>
      </c>
      <c r="S1006" s="45">
        <f>0.37*Model!$B$10*(Q1006^2*(N1006-K1006)*I1006/(R1006*O1006^2))^0.33333*(N1006-K1006)</f>
        <v>0</v>
      </c>
      <c r="T1006" s="50">
        <f>Model!$B$32+(90-Model!$B$6)*SIN(RADIANS(-15*(E1006+6)))</f>
        <v>-31.619472402513487</v>
      </c>
      <c r="U1006" s="45">
        <f t="shared" si="300"/>
        <v>0</v>
      </c>
      <c r="V1006" s="50">
        <f t="shared" si="301"/>
        <v>99999</v>
      </c>
      <c r="W1006" s="45">
        <f t="shared" si="302"/>
        <v>0</v>
      </c>
      <c r="X1006" s="45">
        <f>0.3*W1006*Model!$B$9</f>
        <v>0</v>
      </c>
      <c r="Y1006" s="33">
        <f>(S1006-X1006)/Model!$B$11</f>
        <v>0</v>
      </c>
      <c r="Z1006" s="45" t="e">
        <f t="shared" si="303"/>
        <v>#DIV/0!</v>
      </c>
      <c r="AA1006" s="56">
        <f>Y1006/Model!$B$12*3600</f>
        <v>0</v>
      </c>
      <c r="AB1006" s="50">
        <f t="shared" si="308"/>
        <v>0</v>
      </c>
      <c r="AC1006" s="50">
        <f t="shared" si="317"/>
        <v>1800</v>
      </c>
      <c r="AD1006" s="15">
        <f>IF(AE1006=0, Model!$B$19, 0 )</f>
        <v>0</v>
      </c>
      <c r="AE1006" s="50">
        <f>IF(AE1005+AB1005-AB1006&lt;Model!$B$19*Model!$B$18, AE1005+AB1005-AB1006,  0)</f>
        <v>443.63457370611354</v>
      </c>
      <c r="AF1006" s="15">
        <f t="shared" si="304"/>
        <v>1</v>
      </c>
      <c r="AG1006" s="50">
        <f t="shared" si="305"/>
        <v>0</v>
      </c>
    </row>
    <row r="1007" spans="2:33" x14ac:dyDescent="0.25">
      <c r="B1007" s="13">
        <f t="shared" si="306"/>
        <v>1</v>
      </c>
      <c r="C1007" s="13">
        <f>B1007+Model!$B$4</f>
        <v>3</v>
      </c>
      <c r="D1007" s="13">
        <f t="shared" si="307"/>
        <v>1</v>
      </c>
      <c r="E1007" s="13">
        <f t="shared" si="313"/>
        <v>3</v>
      </c>
      <c r="F1007" s="14">
        <f>IF(AB1007&gt;0, VLOOKUP(B1007,Model!$A$40:$B$60, 2), 0)</f>
        <v>0</v>
      </c>
      <c r="G1007" s="13">
        <f>IF(AB1007&gt;0, VLOOKUP(B1007,Model!$A$39:$C$58, 3), 0)</f>
        <v>0</v>
      </c>
      <c r="H1007" s="13">
        <f t="shared" si="296"/>
        <v>0</v>
      </c>
      <c r="I1007" s="46">
        <f>Model!$B$21*EXP((-0.029*9.81*F1007)/(8.31*(273+J1007)))</f>
        <v>104500</v>
      </c>
      <c r="J1007" s="13">
        <f>IF(Model!$B$31="Summer",  IF(F1007&lt;=2000,  Model!$B$20-Model!$B$35*F1007/1000,  IF(F1007&lt;Model!$B$36,  Model!$B$33-6.5*F1007/1000,  Model!$B$38)),     IF(F1007&lt;=2000,  Model!$B$20-Model!$B$35*F1007/1000,  IF(F1007&lt;Model!$B$36,  Model!$B$33-5.4*F1007/1000,   Model!$B$38)))</f>
        <v>-20</v>
      </c>
      <c r="K1007" s="13">
        <f t="shared" si="314"/>
        <v>253</v>
      </c>
      <c r="L1007" s="46">
        <f>IF(AB1006-AA1006*(B1007-B1006)&gt;0, L1006-Y1006*(B1007-B1006)*3600-AD1007*Model!$B$16, 0)</f>
        <v>0</v>
      </c>
      <c r="M1007" s="57">
        <f t="shared" si="297"/>
        <v>0</v>
      </c>
      <c r="N1007" s="57">
        <f>Model!$B$13*I1007*K1007/(Model!$B$13*I1007-L1007*287*K1007)</f>
        <v>253</v>
      </c>
      <c r="O1007" s="57">
        <f t="shared" si="298"/>
        <v>253</v>
      </c>
      <c r="P1007" s="57">
        <f t="shared" si="299"/>
        <v>-10</v>
      </c>
      <c r="Q1007" s="63">
        <f t="shared" si="315"/>
        <v>2.2579999999999999E-2</v>
      </c>
      <c r="R1007" s="17">
        <f t="shared" si="316"/>
        <v>1.152E-5</v>
      </c>
      <c r="S1007" s="46">
        <f>0.37*Model!$B$10*(Q1007^2*(N1007-K1007)*I1007/(R1007*O1007^2))^0.33333*(N1007-K1007)</f>
        <v>0</v>
      </c>
      <c r="T1007" s="51">
        <f>Model!$B$32+(90-Model!$B$6)*SIN(RADIANS(-15*(E1007+6)))</f>
        <v>-31.619472402513487</v>
      </c>
      <c r="U1007" s="46">
        <f t="shared" si="300"/>
        <v>0</v>
      </c>
      <c r="V1007" s="51">
        <f t="shared" si="301"/>
        <v>99999</v>
      </c>
      <c r="W1007" s="46">
        <f t="shared" si="302"/>
        <v>0</v>
      </c>
      <c r="X1007" s="46">
        <f>0.3*W1007*Model!$B$9</f>
        <v>0</v>
      </c>
      <c r="Y1007" s="17">
        <f>(S1007-X1007)/Model!$B$11</f>
        <v>0</v>
      </c>
      <c r="Z1007" s="46" t="e">
        <f t="shared" si="303"/>
        <v>#DIV/0!</v>
      </c>
      <c r="AA1007" s="57">
        <f>Y1007/Model!$B$12*3600</f>
        <v>0</v>
      </c>
      <c r="AB1007" s="51">
        <f t="shared" si="308"/>
        <v>0</v>
      </c>
      <c r="AC1007" s="51">
        <f t="shared" si="317"/>
        <v>1800</v>
      </c>
      <c r="AD1007" s="13">
        <f>IF(AE1007=0, Model!$B$19, 0 )</f>
        <v>0</v>
      </c>
      <c r="AE1007" s="51">
        <f>IF(AE1006+AB1006-AB1007&lt;Model!$B$19*Model!$B$18, AE1006+AB1006-AB1007,  0)</f>
        <v>443.63457370611354</v>
      </c>
      <c r="AF1007" s="13">
        <f t="shared" si="304"/>
        <v>1</v>
      </c>
      <c r="AG1007" s="50">
        <f t="shared" si="305"/>
        <v>0</v>
      </c>
    </row>
    <row r="1008" spans="2:33" x14ac:dyDescent="0.25">
      <c r="B1008" s="15">
        <f t="shared" si="306"/>
        <v>1</v>
      </c>
      <c r="C1008" s="15">
        <f>B1008+Model!$B$4</f>
        <v>3</v>
      </c>
      <c r="D1008" s="15">
        <f t="shared" si="307"/>
        <v>1</v>
      </c>
      <c r="E1008" s="15">
        <f t="shared" si="313"/>
        <v>3</v>
      </c>
      <c r="F1008" s="16">
        <f>IF(AB1008&gt;0, VLOOKUP(B1008,Model!$A$40:$B$60, 2), 0)</f>
        <v>0</v>
      </c>
      <c r="G1008" s="15">
        <f>IF(AB1008&gt;0, VLOOKUP(B1008,Model!$A$39:$C$58, 3), 0)</f>
        <v>0</v>
      </c>
      <c r="H1008" s="15">
        <f t="shared" si="296"/>
        <v>0</v>
      </c>
      <c r="I1008" s="45">
        <f>Model!$B$21*EXP((-0.029*9.81*F1008)/(8.31*(273+J1008)))</f>
        <v>104500</v>
      </c>
      <c r="J1008" s="15">
        <f>IF(Model!$B$31="Summer",  IF(F1008&lt;=2000,  Model!$B$20-Model!$B$35*F1008/1000,  IF(F1008&lt;Model!$B$36,  Model!$B$33-6.5*F1008/1000,  Model!$B$38)),     IF(F1008&lt;=2000,  Model!$B$20-Model!$B$35*F1008/1000,  IF(F1008&lt;Model!$B$36,  Model!$B$33-5.4*F1008/1000,   Model!$B$38)))</f>
        <v>-20</v>
      </c>
      <c r="K1008" s="15">
        <f t="shared" si="314"/>
        <v>253</v>
      </c>
      <c r="L1008" s="45">
        <f>IF(AB1007-AA1007*(B1008-B1007)&gt;0, L1007-Y1007*(B1008-B1007)*3600-AD1008*Model!$B$16, 0)</f>
        <v>0</v>
      </c>
      <c r="M1008" s="56">
        <f t="shared" si="297"/>
        <v>0</v>
      </c>
      <c r="N1008" s="56">
        <f>Model!$B$13*I1008*K1008/(Model!$B$13*I1008-L1008*287*K1008)</f>
        <v>253</v>
      </c>
      <c r="O1008" s="56">
        <f t="shared" si="298"/>
        <v>253</v>
      </c>
      <c r="P1008" s="56">
        <f t="shared" si="299"/>
        <v>-10</v>
      </c>
      <c r="Q1008" s="62">
        <f t="shared" si="315"/>
        <v>2.2579999999999999E-2</v>
      </c>
      <c r="R1008" s="33">
        <f t="shared" si="316"/>
        <v>1.152E-5</v>
      </c>
      <c r="S1008" s="45">
        <f>0.37*Model!$B$10*(Q1008^2*(N1008-K1008)*I1008/(R1008*O1008^2))^0.33333*(N1008-K1008)</f>
        <v>0</v>
      </c>
      <c r="T1008" s="50">
        <f>Model!$B$32+(90-Model!$B$6)*SIN(RADIANS(-15*(E1008+6)))</f>
        <v>-31.619472402513487</v>
      </c>
      <c r="U1008" s="45">
        <f t="shared" si="300"/>
        <v>0</v>
      </c>
      <c r="V1008" s="50">
        <f t="shared" si="301"/>
        <v>99999</v>
      </c>
      <c r="W1008" s="45">
        <f t="shared" si="302"/>
        <v>0</v>
      </c>
      <c r="X1008" s="45">
        <f>0.3*W1008*Model!$B$9</f>
        <v>0</v>
      </c>
      <c r="Y1008" s="33">
        <f>(S1008-X1008)/Model!$B$11</f>
        <v>0</v>
      </c>
      <c r="Z1008" s="45" t="e">
        <f t="shared" si="303"/>
        <v>#DIV/0!</v>
      </c>
      <c r="AA1008" s="56">
        <f>Y1008/Model!$B$12*3600</f>
        <v>0</v>
      </c>
      <c r="AB1008" s="50">
        <f t="shared" si="308"/>
        <v>0</v>
      </c>
      <c r="AC1008" s="50">
        <f t="shared" si="317"/>
        <v>1800</v>
      </c>
      <c r="AD1008" s="15">
        <f>IF(AE1008=0, Model!$B$19, 0 )</f>
        <v>0</v>
      </c>
      <c r="AE1008" s="50">
        <f>IF(AE1007+AB1007-AB1008&lt;Model!$B$19*Model!$B$18, AE1007+AB1007-AB1008,  0)</f>
        <v>443.63457370611354</v>
      </c>
      <c r="AF1008" s="15">
        <f t="shared" si="304"/>
        <v>1</v>
      </c>
      <c r="AG1008" s="50">
        <f t="shared" si="305"/>
        <v>0</v>
      </c>
    </row>
    <row r="1009" spans="2:33" x14ac:dyDescent="0.25">
      <c r="B1009" s="13">
        <f t="shared" si="306"/>
        <v>1</v>
      </c>
      <c r="C1009" s="13">
        <f>B1009+Model!$B$4</f>
        <v>3</v>
      </c>
      <c r="D1009" s="13">
        <f t="shared" si="307"/>
        <v>1</v>
      </c>
      <c r="E1009" s="13">
        <f t="shared" si="313"/>
        <v>3</v>
      </c>
      <c r="F1009" s="14">
        <f>IF(AB1009&gt;0, VLOOKUP(B1009,Model!$A$40:$B$60, 2), 0)</f>
        <v>0</v>
      </c>
      <c r="G1009" s="13">
        <f>IF(AB1009&gt;0, VLOOKUP(B1009,Model!$A$39:$C$58, 3), 0)</f>
        <v>0</v>
      </c>
      <c r="H1009" s="13">
        <f t="shared" si="296"/>
        <v>0</v>
      </c>
      <c r="I1009" s="46">
        <f>Model!$B$21*EXP((-0.029*9.81*F1009)/(8.31*(273+J1009)))</f>
        <v>104500</v>
      </c>
      <c r="J1009" s="13">
        <f>IF(Model!$B$31="Summer",  IF(F1009&lt;=2000,  Model!$B$20-Model!$B$35*F1009/1000,  IF(F1009&lt;Model!$B$36,  Model!$B$33-6.5*F1009/1000,  Model!$B$38)),     IF(F1009&lt;=2000,  Model!$B$20-Model!$B$35*F1009/1000,  IF(F1009&lt;Model!$B$36,  Model!$B$33-5.4*F1009/1000,   Model!$B$38)))</f>
        <v>-20</v>
      </c>
      <c r="K1009" s="13">
        <f t="shared" si="314"/>
        <v>253</v>
      </c>
      <c r="L1009" s="46">
        <f>IF(AB1008-AA1008*(B1009-B1008)&gt;0, L1008-Y1008*(B1009-B1008)*3600-AD1009*Model!$B$16, 0)</f>
        <v>0</v>
      </c>
      <c r="M1009" s="57">
        <f t="shared" si="297"/>
        <v>0</v>
      </c>
      <c r="N1009" s="57">
        <f>Model!$B$13*I1009*K1009/(Model!$B$13*I1009-L1009*287*K1009)</f>
        <v>253</v>
      </c>
      <c r="O1009" s="57">
        <f t="shared" si="298"/>
        <v>253</v>
      </c>
      <c r="P1009" s="57">
        <f t="shared" si="299"/>
        <v>-10</v>
      </c>
      <c r="Q1009" s="63">
        <f t="shared" si="315"/>
        <v>2.2579999999999999E-2</v>
      </c>
      <c r="R1009" s="17">
        <f t="shared" si="316"/>
        <v>1.152E-5</v>
      </c>
      <c r="S1009" s="46">
        <f>0.37*Model!$B$10*(Q1009^2*(N1009-K1009)*I1009/(R1009*O1009^2))^0.33333*(N1009-K1009)</f>
        <v>0</v>
      </c>
      <c r="T1009" s="51">
        <f>Model!$B$32+(90-Model!$B$6)*SIN(RADIANS(-15*(E1009+6)))</f>
        <v>-31.619472402513487</v>
      </c>
      <c r="U1009" s="46">
        <f t="shared" si="300"/>
        <v>0</v>
      </c>
      <c r="V1009" s="51">
        <f t="shared" si="301"/>
        <v>99999</v>
      </c>
      <c r="W1009" s="46">
        <f t="shared" si="302"/>
        <v>0</v>
      </c>
      <c r="X1009" s="46">
        <f>0.3*W1009*Model!$B$9</f>
        <v>0</v>
      </c>
      <c r="Y1009" s="17">
        <f>(S1009-X1009)/Model!$B$11</f>
        <v>0</v>
      </c>
      <c r="Z1009" s="46" t="e">
        <f t="shared" si="303"/>
        <v>#DIV/0!</v>
      </c>
      <c r="AA1009" s="57">
        <f>Y1009/Model!$B$12*3600</f>
        <v>0</v>
      </c>
      <c r="AB1009" s="51">
        <f t="shared" si="308"/>
        <v>0</v>
      </c>
      <c r="AC1009" s="51">
        <f t="shared" si="317"/>
        <v>1800</v>
      </c>
      <c r="AD1009" s="13">
        <f>IF(AE1009=0, Model!$B$19, 0 )</f>
        <v>0</v>
      </c>
      <c r="AE1009" s="51">
        <f>IF(AE1008+AB1008-AB1009&lt;Model!$B$19*Model!$B$18, AE1008+AB1008-AB1009,  0)</f>
        <v>443.63457370611354</v>
      </c>
      <c r="AF1009" s="13">
        <f t="shared" si="304"/>
        <v>1</v>
      </c>
      <c r="AG1009" s="50">
        <f t="shared" si="305"/>
        <v>0</v>
      </c>
    </row>
    <row r="1010" spans="2:33" x14ac:dyDescent="0.25">
      <c r="B1010" s="15">
        <f t="shared" si="306"/>
        <v>1</v>
      </c>
      <c r="C1010" s="15">
        <f>B1010+Model!$B$4</f>
        <v>3</v>
      </c>
      <c r="D1010" s="15">
        <f t="shared" si="307"/>
        <v>1</v>
      </c>
      <c r="E1010" s="15">
        <f t="shared" si="313"/>
        <v>3</v>
      </c>
      <c r="F1010" s="16">
        <f>IF(AB1010&gt;0, VLOOKUP(B1010,Model!$A$40:$B$60, 2), 0)</f>
        <v>0</v>
      </c>
      <c r="G1010" s="15">
        <f>IF(AB1010&gt;0, VLOOKUP(B1010,Model!$A$39:$C$58, 3), 0)</f>
        <v>0</v>
      </c>
      <c r="H1010" s="15">
        <f t="shared" si="296"/>
        <v>0</v>
      </c>
      <c r="I1010" s="45">
        <f>Model!$B$21*EXP((-0.029*9.81*F1010)/(8.31*(273+J1010)))</f>
        <v>104500</v>
      </c>
      <c r="J1010" s="15">
        <f>IF(Model!$B$31="Summer",  IF(F1010&lt;=2000,  Model!$B$20-Model!$B$35*F1010/1000,  IF(F1010&lt;Model!$B$36,  Model!$B$33-6.5*F1010/1000,  Model!$B$38)),     IF(F1010&lt;=2000,  Model!$B$20-Model!$B$35*F1010/1000,  IF(F1010&lt;Model!$B$36,  Model!$B$33-5.4*F1010/1000,   Model!$B$38)))</f>
        <v>-20</v>
      </c>
      <c r="K1010" s="15">
        <f t="shared" si="314"/>
        <v>253</v>
      </c>
      <c r="L1010" s="45">
        <f>IF(AB1009-AA1009*(B1010-B1009)&gt;0, L1009-Y1009*(B1010-B1009)*3600-AD1010*Model!$B$16, 0)</f>
        <v>0</v>
      </c>
      <c r="M1010" s="56">
        <f t="shared" si="297"/>
        <v>0</v>
      </c>
      <c r="N1010" s="56">
        <f>Model!$B$13*I1010*K1010/(Model!$B$13*I1010-L1010*287*K1010)</f>
        <v>253</v>
      </c>
      <c r="O1010" s="56">
        <f t="shared" si="298"/>
        <v>253</v>
      </c>
      <c r="P1010" s="56">
        <f t="shared" si="299"/>
        <v>-10</v>
      </c>
      <c r="Q1010" s="62">
        <f t="shared" si="315"/>
        <v>2.2579999999999999E-2</v>
      </c>
      <c r="R1010" s="33">
        <f t="shared" si="316"/>
        <v>1.152E-5</v>
      </c>
      <c r="S1010" s="45">
        <f>0.37*Model!$B$10*(Q1010^2*(N1010-K1010)*I1010/(R1010*O1010^2))^0.33333*(N1010-K1010)</f>
        <v>0</v>
      </c>
      <c r="T1010" s="50">
        <f>Model!$B$32+(90-Model!$B$6)*SIN(RADIANS(-15*(E1010+6)))</f>
        <v>-31.619472402513487</v>
      </c>
      <c r="U1010" s="45">
        <f t="shared" si="300"/>
        <v>0</v>
      </c>
      <c r="V1010" s="50">
        <f t="shared" si="301"/>
        <v>99999</v>
      </c>
      <c r="W1010" s="45">
        <f t="shared" si="302"/>
        <v>0</v>
      </c>
      <c r="X1010" s="45">
        <f>0.3*W1010*Model!$B$9</f>
        <v>0</v>
      </c>
      <c r="Y1010" s="33">
        <f>(S1010-X1010)/Model!$B$11</f>
        <v>0</v>
      </c>
      <c r="Z1010" s="45" t="e">
        <f t="shared" si="303"/>
        <v>#DIV/0!</v>
      </c>
      <c r="AA1010" s="56">
        <f>Y1010/Model!$B$12*3600</f>
        <v>0</v>
      </c>
      <c r="AB1010" s="50">
        <f t="shared" si="308"/>
        <v>0</v>
      </c>
      <c r="AC1010" s="50">
        <f t="shared" si="317"/>
        <v>1800</v>
      </c>
      <c r="AD1010" s="15">
        <f>IF(AE1010=0, Model!$B$19, 0 )</f>
        <v>0</v>
      </c>
      <c r="AE1010" s="50">
        <f>IF(AE1009+AB1009-AB1010&lt;Model!$B$19*Model!$B$18, AE1009+AB1009-AB1010,  0)</f>
        <v>443.63457370611354</v>
      </c>
      <c r="AF1010" s="15">
        <f t="shared" si="304"/>
        <v>1</v>
      </c>
      <c r="AG1010" s="50">
        <f t="shared" si="305"/>
        <v>0</v>
      </c>
    </row>
    <row r="1011" spans="2:33" x14ac:dyDescent="0.25">
      <c r="B1011" s="13">
        <f t="shared" si="306"/>
        <v>1</v>
      </c>
      <c r="C1011" s="13">
        <f>B1011+Model!$B$4</f>
        <v>3</v>
      </c>
      <c r="D1011" s="13">
        <f t="shared" si="307"/>
        <v>1</v>
      </c>
      <c r="E1011" s="13">
        <f t="shared" si="313"/>
        <v>3</v>
      </c>
      <c r="F1011" s="14">
        <f>IF(AB1011&gt;0, VLOOKUP(B1011,Model!$A$40:$B$60, 2), 0)</f>
        <v>0</v>
      </c>
      <c r="G1011" s="13">
        <f>IF(AB1011&gt;0, VLOOKUP(B1011,Model!$A$39:$C$58, 3), 0)</f>
        <v>0</v>
      </c>
      <c r="H1011" s="13">
        <f t="shared" si="296"/>
        <v>0</v>
      </c>
      <c r="I1011" s="46">
        <f>Model!$B$21*EXP((-0.029*9.81*F1011)/(8.31*(273+J1011)))</f>
        <v>104500</v>
      </c>
      <c r="J1011" s="13">
        <f>IF(Model!$B$31="Summer",  IF(F1011&lt;=2000,  Model!$B$20-Model!$B$35*F1011/1000,  IF(F1011&lt;Model!$B$36,  Model!$B$33-6.5*F1011/1000,  Model!$B$38)),     IF(F1011&lt;=2000,  Model!$B$20-Model!$B$35*F1011/1000,  IF(F1011&lt;Model!$B$36,  Model!$B$33-5.4*F1011/1000,   Model!$B$38)))</f>
        <v>-20</v>
      </c>
      <c r="K1011" s="13">
        <f t="shared" si="314"/>
        <v>253</v>
      </c>
      <c r="L1011" s="46">
        <f>IF(AB1010-AA1010*(B1011-B1010)&gt;0, L1010-Y1010*(B1011-B1010)*3600-AD1011*Model!$B$16, 0)</f>
        <v>0</v>
      </c>
      <c r="M1011" s="57">
        <f t="shared" si="297"/>
        <v>0</v>
      </c>
      <c r="N1011" s="57">
        <f>Model!$B$13*I1011*K1011/(Model!$B$13*I1011-L1011*287*K1011)</f>
        <v>253</v>
      </c>
      <c r="O1011" s="57">
        <f t="shared" si="298"/>
        <v>253</v>
      </c>
      <c r="P1011" s="57">
        <f t="shared" si="299"/>
        <v>-10</v>
      </c>
      <c r="Q1011" s="63">
        <f t="shared" si="315"/>
        <v>2.2579999999999999E-2</v>
      </c>
      <c r="R1011" s="17">
        <f t="shared" si="316"/>
        <v>1.152E-5</v>
      </c>
      <c r="S1011" s="46">
        <f>0.37*Model!$B$10*(Q1011^2*(N1011-K1011)*I1011/(R1011*O1011^2))^0.33333*(N1011-K1011)</f>
        <v>0</v>
      </c>
      <c r="T1011" s="51">
        <f>Model!$B$32+(90-Model!$B$6)*SIN(RADIANS(-15*(E1011+6)))</f>
        <v>-31.619472402513487</v>
      </c>
      <c r="U1011" s="46">
        <f t="shared" si="300"/>
        <v>0</v>
      </c>
      <c r="V1011" s="51">
        <f t="shared" si="301"/>
        <v>99999</v>
      </c>
      <c r="W1011" s="46">
        <f t="shared" si="302"/>
        <v>0</v>
      </c>
      <c r="X1011" s="46">
        <f>0.3*W1011*Model!$B$9</f>
        <v>0</v>
      </c>
      <c r="Y1011" s="17">
        <f>(S1011-X1011)/Model!$B$11</f>
        <v>0</v>
      </c>
      <c r="Z1011" s="46" t="e">
        <f t="shared" si="303"/>
        <v>#DIV/0!</v>
      </c>
      <c r="AA1011" s="57">
        <f>Y1011/Model!$B$12*3600</f>
        <v>0</v>
      </c>
      <c r="AB1011" s="51">
        <f t="shared" si="308"/>
        <v>0</v>
      </c>
      <c r="AC1011" s="51">
        <f t="shared" si="317"/>
        <v>1800</v>
      </c>
      <c r="AD1011" s="13">
        <f>IF(AE1011=0, Model!$B$19, 0 )</f>
        <v>0</v>
      </c>
      <c r="AE1011" s="51">
        <f>IF(AE1010+AB1010-AB1011&lt;Model!$B$19*Model!$B$18, AE1010+AB1010-AB1011,  0)</f>
        <v>443.63457370611354</v>
      </c>
      <c r="AF1011" s="13">
        <f t="shared" si="304"/>
        <v>1</v>
      </c>
      <c r="AG1011" s="50">
        <f t="shared" si="305"/>
        <v>0</v>
      </c>
    </row>
    <row r="1012" spans="2:33" x14ac:dyDescent="0.25">
      <c r="B1012" s="15">
        <f t="shared" si="306"/>
        <v>1</v>
      </c>
      <c r="C1012" s="15">
        <f>B1012+Model!$B$4</f>
        <v>3</v>
      </c>
      <c r="D1012" s="15">
        <f t="shared" si="307"/>
        <v>1</v>
      </c>
      <c r="E1012" s="15">
        <f t="shared" si="313"/>
        <v>3</v>
      </c>
      <c r="F1012" s="16">
        <f>IF(AB1012&gt;0, VLOOKUP(B1012,Model!$A$40:$B$60, 2), 0)</f>
        <v>0</v>
      </c>
      <c r="G1012" s="15">
        <f>IF(AB1012&gt;0, VLOOKUP(B1012,Model!$A$39:$C$58, 3), 0)</f>
        <v>0</v>
      </c>
      <c r="H1012" s="15">
        <f t="shared" si="296"/>
        <v>0</v>
      </c>
      <c r="I1012" s="45">
        <f>Model!$B$21*EXP((-0.029*9.81*F1012)/(8.31*(273+J1012)))</f>
        <v>104500</v>
      </c>
      <c r="J1012" s="15">
        <f>IF(Model!$B$31="Summer",  IF(F1012&lt;=2000,  Model!$B$20-Model!$B$35*F1012/1000,  IF(F1012&lt;Model!$B$36,  Model!$B$33-6.5*F1012/1000,  Model!$B$38)),     IF(F1012&lt;=2000,  Model!$B$20-Model!$B$35*F1012/1000,  IF(F1012&lt;Model!$B$36,  Model!$B$33-5.4*F1012/1000,   Model!$B$38)))</f>
        <v>-20</v>
      </c>
      <c r="K1012" s="15">
        <f t="shared" si="314"/>
        <v>253</v>
      </c>
      <c r="L1012" s="45">
        <f>IF(AB1011-AA1011*(B1012-B1011)&gt;0, L1011-Y1011*(B1012-B1011)*3600-AD1012*Model!$B$16, 0)</f>
        <v>0</v>
      </c>
      <c r="M1012" s="56">
        <f t="shared" si="297"/>
        <v>0</v>
      </c>
      <c r="N1012" s="56">
        <f>Model!$B$13*I1012*K1012/(Model!$B$13*I1012-L1012*287*K1012)</f>
        <v>253</v>
      </c>
      <c r="O1012" s="56">
        <f t="shared" si="298"/>
        <v>253</v>
      </c>
      <c r="P1012" s="56">
        <f t="shared" si="299"/>
        <v>-10</v>
      </c>
      <c r="Q1012" s="62">
        <f t="shared" si="315"/>
        <v>2.2579999999999999E-2</v>
      </c>
      <c r="R1012" s="33">
        <f t="shared" si="316"/>
        <v>1.152E-5</v>
      </c>
      <c r="S1012" s="45">
        <f>0.37*Model!$B$10*(Q1012^2*(N1012-K1012)*I1012/(R1012*O1012^2))^0.33333*(N1012-K1012)</f>
        <v>0</v>
      </c>
      <c r="T1012" s="50">
        <f>Model!$B$32+(90-Model!$B$6)*SIN(RADIANS(-15*(E1012+6)))</f>
        <v>-31.619472402513487</v>
      </c>
      <c r="U1012" s="45">
        <f t="shared" si="300"/>
        <v>0</v>
      </c>
      <c r="V1012" s="50">
        <f t="shared" si="301"/>
        <v>99999</v>
      </c>
      <c r="W1012" s="45">
        <f t="shared" si="302"/>
        <v>0</v>
      </c>
      <c r="X1012" s="45">
        <f>0.3*W1012*Model!$B$9</f>
        <v>0</v>
      </c>
      <c r="Y1012" s="33">
        <f>(S1012-X1012)/Model!$B$11</f>
        <v>0</v>
      </c>
      <c r="Z1012" s="45" t="e">
        <f t="shared" si="303"/>
        <v>#DIV/0!</v>
      </c>
      <c r="AA1012" s="56">
        <f>Y1012/Model!$B$12*3600</f>
        <v>0</v>
      </c>
      <c r="AB1012" s="50">
        <f t="shared" si="308"/>
        <v>0</v>
      </c>
      <c r="AC1012" s="50">
        <f t="shared" si="317"/>
        <v>1800</v>
      </c>
      <c r="AD1012" s="15">
        <f>IF(AE1012=0, Model!$B$19, 0 )</f>
        <v>0</v>
      </c>
      <c r="AE1012" s="50">
        <f>IF(AE1011+AB1011-AB1012&lt;Model!$B$19*Model!$B$18, AE1011+AB1011-AB1012,  0)</f>
        <v>443.63457370611354</v>
      </c>
      <c r="AF1012" s="15">
        <f t="shared" si="304"/>
        <v>1</v>
      </c>
      <c r="AG1012" s="50">
        <f t="shared" si="305"/>
        <v>0</v>
      </c>
    </row>
    <row r="1013" spans="2:33" x14ac:dyDescent="0.25">
      <c r="B1013" s="13">
        <f t="shared" si="306"/>
        <v>1</v>
      </c>
      <c r="C1013" s="13">
        <f>B1013+Model!$B$4</f>
        <v>3</v>
      </c>
      <c r="D1013" s="13">
        <f t="shared" si="307"/>
        <v>1</v>
      </c>
      <c r="E1013" s="13">
        <f t="shared" si="313"/>
        <v>3</v>
      </c>
      <c r="F1013" s="14">
        <f>IF(AB1013&gt;0, VLOOKUP(B1013,Model!$A$40:$B$60, 2), 0)</f>
        <v>0</v>
      </c>
      <c r="G1013" s="13">
        <f>IF(AB1013&gt;0, VLOOKUP(B1013,Model!$A$39:$C$58, 3), 0)</f>
        <v>0</v>
      </c>
      <c r="H1013" s="13">
        <f t="shared" si="296"/>
        <v>0</v>
      </c>
      <c r="I1013" s="46">
        <f>Model!$B$21*EXP((-0.029*9.81*F1013)/(8.31*(273+J1013)))</f>
        <v>104500</v>
      </c>
      <c r="J1013" s="13">
        <f>IF(Model!$B$31="Summer",  IF(F1013&lt;=2000,  Model!$B$20-Model!$B$35*F1013/1000,  IF(F1013&lt;Model!$B$36,  Model!$B$33-6.5*F1013/1000,  Model!$B$38)),     IF(F1013&lt;=2000,  Model!$B$20-Model!$B$35*F1013/1000,  IF(F1013&lt;Model!$B$36,  Model!$B$33-5.4*F1013/1000,   Model!$B$38)))</f>
        <v>-20</v>
      </c>
      <c r="K1013" s="13">
        <f t="shared" ref="K1013:K1040" si="318">273+J1013</f>
        <v>253</v>
      </c>
      <c r="L1013" s="46">
        <f>IF(AB1012-AA1012*(B1013-B1012)&gt;0, L1012-Y1012*(B1013-B1012)*3600-AD1013*Model!$B$16, 0)</f>
        <v>0</v>
      </c>
      <c r="M1013" s="57">
        <f t="shared" si="297"/>
        <v>0</v>
      </c>
      <c r="N1013" s="57">
        <f>Model!$B$13*I1013*K1013/(Model!$B$13*I1013-L1013*287*K1013)</f>
        <v>253</v>
      </c>
      <c r="O1013" s="57">
        <f t="shared" si="298"/>
        <v>253</v>
      </c>
      <c r="P1013" s="57">
        <f t="shared" si="299"/>
        <v>-10</v>
      </c>
      <c r="Q1013" s="63">
        <f t="shared" ref="Q1013:Q1040" si="319">(O1013-273)*7.1*0.00001+0.024</f>
        <v>2.2579999999999999E-2</v>
      </c>
      <c r="R1013" s="17">
        <f t="shared" ref="R1013:R1040" si="320">((O1013-273)*0.104+13.6)*0.000001</f>
        <v>1.152E-5</v>
      </c>
      <c r="S1013" s="46">
        <f>0.37*Model!$B$10*(Q1013^2*(N1013-K1013)*I1013/(R1013*O1013^2))^0.33333*(N1013-K1013)</f>
        <v>0</v>
      </c>
      <c r="T1013" s="51">
        <f>Model!$B$32+(90-Model!$B$6)*SIN(RADIANS(-15*(E1013+6)))</f>
        <v>-31.619472402513487</v>
      </c>
      <c r="U1013" s="46">
        <f t="shared" si="300"/>
        <v>0</v>
      </c>
      <c r="V1013" s="51">
        <f t="shared" si="301"/>
        <v>99999</v>
      </c>
      <c r="W1013" s="46">
        <f t="shared" si="302"/>
        <v>0</v>
      </c>
      <c r="X1013" s="46">
        <f>0.3*W1013*Model!$B$9</f>
        <v>0</v>
      </c>
      <c r="Y1013" s="17">
        <f>(S1013-X1013)/Model!$B$11</f>
        <v>0</v>
      </c>
      <c r="Z1013" s="46" t="e">
        <f t="shared" si="303"/>
        <v>#DIV/0!</v>
      </c>
      <c r="AA1013" s="57">
        <f>Y1013/Model!$B$12*3600</f>
        <v>0</v>
      </c>
      <c r="AB1013" s="51">
        <f t="shared" si="308"/>
        <v>0</v>
      </c>
      <c r="AC1013" s="51">
        <f t="shared" ref="AC1013:AC1040" si="321">AC1012+AB1012-AB1013</f>
        <v>1800</v>
      </c>
      <c r="AD1013" s="13">
        <f>IF(AE1013=0, Model!$B$19, 0 )</f>
        <v>0</v>
      </c>
      <c r="AE1013" s="51">
        <f>IF(AE1012+AB1012-AB1013&lt;Model!$B$19*Model!$B$18, AE1012+AB1012-AB1013,  0)</f>
        <v>443.63457370611354</v>
      </c>
      <c r="AF1013" s="13">
        <f t="shared" si="304"/>
        <v>1</v>
      </c>
      <c r="AG1013" s="50">
        <f t="shared" si="305"/>
        <v>0</v>
      </c>
    </row>
    <row r="1014" spans="2:33" x14ac:dyDescent="0.25">
      <c r="B1014" s="15">
        <f t="shared" si="306"/>
        <v>1</v>
      </c>
      <c r="C1014" s="15">
        <f>B1014+Model!$B$4</f>
        <v>3</v>
      </c>
      <c r="D1014" s="15">
        <f t="shared" si="307"/>
        <v>1</v>
      </c>
      <c r="E1014" s="15">
        <f t="shared" si="313"/>
        <v>3</v>
      </c>
      <c r="F1014" s="16">
        <f>IF(AB1014&gt;0, VLOOKUP(B1014,Model!$A$40:$B$60, 2), 0)</f>
        <v>0</v>
      </c>
      <c r="G1014" s="15">
        <f>IF(AB1014&gt;0, VLOOKUP(B1014,Model!$A$39:$C$58, 3), 0)</f>
        <v>0</v>
      </c>
      <c r="H1014" s="15">
        <f t="shared" si="296"/>
        <v>0</v>
      </c>
      <c r="I1014" s="45">
        <f>Model!$B$21*EXP((-0.029*9.81*F1014)/(8.31*(273+J1014)))</f>
        <v>104500</v>
      </c>
      <c r="J1014" s="15">
        <f>IF(Model!$B$31="Summer",  IF(F1014&lt;=2000,  Model!$B$20-Model!$B$35*F1014/1000,  IF(F1014&lt;Model!$B$36,  Model!$B$33-6.5*F1014/1000,  Model!$B$38)),     IF(F1014&lt;=2000,  Model!$B$20-Model!$B$35*F1014/1000,  IF(F1014&lt;Model!$B$36,  Model!$B$33-5.4*F1014/1000,   Model!$B$38)))</f>
        <v>-20</v>
      </c>
      <c r="K1014" s="15">
        <f t="shared" si="318"/>
        <v>253</v>
      </c>
      <c r="L1014" s="45">
        <f>IF(AB1013-AA1013*(B1014-B1013)&gt;0, L1013-Y1013*(B1014-B1013)*3600-AD1014*Model!$B$16, 0)</f>
        <v>0</v>
      </c>
      <c r="M1014" s="56">
        <f t="shared" si="297"/>
        <v>0</v>
      </c>
      <c r="N1014" s="56">
        <f>Model!$B$13*I1014*K1014/(Model!$B$13*I1014-L1014*287*K1014)</f>
        <v>253</v>
      </c>
      <c r="O1014" s="56">
        <f t="shared" si="298"/>
        <v>253</v>
      </c>
      <c r="P1014" s="56">
        <f t="shared" si="299"/>
        <v>-10</v>
      </c>
      <c r="Q1014" s="62">
        <f t="shared" si="319"/>
        <v>2.2579999999999999E-2</v>
      </c>
      <c r="R1014" s="33">
        <f t="shared" si="320"/>
        <v>1.152E-5</v>
      </c>
      <c r="S1014" s="45">
        <f>0.37*Model!$B$10*(Q1014^2*(N1014-K1014)*I1014/(R1014*O1014^2))^0.33333*(N1014-K1014)</f>
        <v>0</v>
      </c>
      <c r="T1014" s="50">
        <f>Model!$B$32+(90-Model!$B$6)*SIN(RADIANS(-15*(E1014+6)))</f>
        <v>-31.619472402513487</v>
      </c>
      <c r="U1014" s="45">
        <f t="shared" si="300"/>
        <v>0</v>
      </c>
      <c r="V1014" s="50">
        <f t="shared" si="301"/>
        <v>99999</v>
      </c>
      <c r="W1014" s="45">
        <f t="shared" si="302"/>
        <v>0</v>
      </c>
      <c r="X1014" s="45">
        <f>0.3*W1014*Model!$B$9</f>
        <v>0</v>
      </c>
      <c r="Y1014" s="33">
        <f>(S1014-X1014)/Model!$B$11</f>
        <v>0</v>
      </c>
      <c r="Z1014" s="45" t="e">
        <f t="shared" si="303"/>
        <v>#DIV/0!</v>
      </c>
      <c r="AA1014" s="56">
        <f>Y1014/Model!$B$12*3600</f>
        <v>0</v>
      </c>
      <c r="AB1014" s="50">
        <f t="shared" si="308"/>
        <v>0</v>
      </c>
      <c r="AC1014" s="50">
        <f t="shared" si="321"/>
        <v>1800</v>
      </c>
      <c r="AD1014" s="15">
        <f>IF(AE1014=0, Model!$B$19, 0 )</f>
        <v>0</v>
      </c>
      <c r="AE1014" s="50">
        <f>IF(AE1013+AB1013-AB1014&lt;Model!$B$19*Model!$B$18, AE1013+AB1013-AB1014,  0)</f>
        <v>443.63457370611354</v>
      </c>
      <c r="AF1014" s="15">
        <f t="shared" si="304"/>
        <v>1</v>
      </c>
      <c r="AG1014" s="50">
        <f t="shared" si="305"/>
        <v>0</v>
      </c>
    </row>
    <row r="1015" spans="2:33" x14ac:dyDescent="0.25">
      <c r="B1015" s="13">
        <f t="shared" si="306"/>
        <v>1</v>
      </c>
      <c r="C1015" s="13">
        <f>B1015+Model!$B$4</f>
        <v>3</v>
      </c>
      <c r="D1015" s="13">
        <f t="shared" si="307"/>
        <v>1</v>
      </c>
      <c r="E1015" s="13">
        <f t="shared" si="313"/>
        <v>3</v>
      </c>
      <c r="F1015" s="14">
        <f>IF(AB1015&gt;0, VLOOKUP(B1015,Model!$A$40:$B$60, 2), 0)</f>
        <v>0</v>
      </c>
      <c r="G1015" s="13">
        <f>IF(AB1015&gt;0, VLOOKUP(B1015,Model!$A$39:$C$58, 3), 0)</f>
        <v>0</v>
      </c>
      <c r="H1015" s="13">
        <f t="shared" si="296"/>
        <v>0</v>
      </c>
      <c r="I1015" s="46">
        <f>Model!$B$21*EXP((-0.029*9.81*F1015)/(8.31*(273+J1015)))</f>
        <v>104500</v>
      </c>
      <c r="J1015" s="13">
        <f>IF(Model!$B$31="Summer",  IF(F1015&lt;=2000,  Model!$B$20-Model!$B$35*F1015/1000,  IF(F1015&lt;Model!$B$36,  Model!$B$33-6.5*F1015/1000,  Model!$B$38)),     IF(F1015&lt;=2000,  Model!$B$20-Model!$B$35*F1015/1000,  IF(F1015&lt;Model!$B$36,  Model!$B$33-5.4*F1015/1000,   Model!$B$38)))</f>
        <v>-20</v>
      </c>
      <c r="K1015" s="13">
        <f t="shared" si="318"/>
        <v>253</v>
      </c>
      <c r="L1015" s="46">
        <f>IF(AB1014-AA1014*(B1015-B1014)&gt;0, L1014-Y1014*(B1015-B1014)*3600-AD1015*Model!$B$16, 0)</f>
        <v>0</v>
      </c>
      <c r="M1015" s="57">
        <f t="shared" si="297"/>
        <v>0</v>
      </c>
      <c r="N1015" s="57">
        <f>Model!$B$13*I1015*K1015/(Model!$B$13*I1015-L1015*287*K1015)</f>
        <v>253</v>
      </c>
      <c r="O1015" s="57">
        <f t="shared" si="298"/>
        <v>253</v>
      </c>
      <c r="P1015" s="57">
        <f t="shared" si="299"/>
        <v>-10</v>
      </c>
      <c r="Q1015" s="63">
        <f t="shared" si="319"/>
        <v>2.2579999999999999E-2</v>
      </c>
      <c r="R1015" s="17">
        <f t="shared" si="320"/>
        <v>1.152E-5</v>
      </c>
      <c r="S1015" s="46">
        <f>0.37*Model!$B$10*(Q1015^2*(N1015-K1015)*I1015/(R1015*O1015^2))^0.33333*(N1015-K1015)</f>
        <v>0</v>
      </c>
      <c r="T1015" s="51">
        <f>Model!$B$32+(90-Model!$B$6)*SIN(RADIANS(-15*(E1015+6)))</f>
        <v>-31.619472402513487</v>
      </c>
      <c r="U1015" s="46">
        <f t="shared" si="300"/>
        <v>0</v>
      </c>
      <c r="V1015" s="51">
        <f t="shared" si="301"/>
        <v>99999</v>
      </c>
      <c r="W1015" s="46">
        <f t="shared" si="302"/>
        <v>0</v>
      </c>
      <c r="X1015" s="46">
        <f>0.3*W1015*Model!$B$9</f>
        <v>0</v>
      </c>
      <c r="Y1015" s="17">
        <f>(S1015-X1015)/Model!$B$11</f>
        <v>0</v>
      </c>
      <c r="Z1015" s="46" t="e">
        <f t="shared" si="303"/>
        <v>#DIV/0!</v>
      </c>
      <c r="AA1015" s="57">
        <f>Y1015/Model!$B$12*3600</f>
        <v>0</v>
      </c>
      <c r="AB1015" s="51">
        <f t="shared" si="308"/>
        <v>0</v>
      </c>
      <c r="AC1015" s="51">
        <f t="shared" si="321"/>
        <v>1800</v>
      </c>
      <c r="AD1015" s="13">
        <f>IF(AE1015=0, Model!$B$19, 0 )</f>
        <v>0</v>
      </c>
      <c r="AE1015" s="51">
        <f>IF(AE1014+AB1014-AB1015&lt;Model!$B$19*Model!$B$18, AE1014+AB1014-AB1015,  0)</f>
        <v>443.63457370611354</v>
      </c>
      <c r="AF1015" s="13">
        <f t="shared" si="304"/>
        <v>1</v>
      </c>
      <c r="AG1015" s="50">
        <f t="shared" si="305"/>
        <v>0</v>
      </c>
    </row>
    <row r="1016" spans="2:33" x14ac:dyDescent="0.25">
      <c r="B1016" s="15">
        <f t="shared" si="306"/>
        <v>1</v>
      </c>
      <c r="C1016" s="15">
        <f>B1016+Model!$B$4</f>
        <v>3</v>
      </c>
      <c r="D1016" s="15">
        <f t="shared" si="307"/>
        <v>1</v>
      </c>
      <c r="E1016" s="15">
        <f t="shared" si="313"/>
        <v>3</v>
      </c>
      <c r="F1016" s="16">
        <f>IF(AB1016&gt;0, VLOOKUP(B1016,Model!$A$40:$B$60, 2), 0)</f>
        <v>0</v>
      </c>
      <c r="G1016" s="15">
        <f>IF(AB1016&gt;0, VLOOKUP(B1016,Model!$A$39:$C$58, 3), 0)</f>
        <v>0</v>
      </c>
      <c r="H1016" s="15">
        <f t="shared" si="296"/>
        <v>0</v>
      </c>
      <c r="I1016" s="45">
        <f>Model!$B$21*EXP((-0.029*9.81*F1016)/(8.31*(273+J1016)))</f>
        <v>104500</v>
      </c>
      <c r="J1016" s="15">
        <f>IF(Model!$B$31="Summer",  IF(F1016&lt;=2000,  Model!$B$20-Model!$B$35*F1016/1000,  IF(F1016&lt;Model!$B$36,  Model!$B$33-6.5*F1016/1000,  Model!$B$38)),     IF(F1016&lt;=2000,  Model!$B$20-Model!$B$35*F1016/1000,  IF(F1016&lt;Model!$B$36,  Model!$B$33-5.4*F1016/1000,   Model!$B$38)))</f>
        <v>-20</v>
      </c>
      <c r="K1016" s="15">
        <f t="shared" si="318"/>
        <v>253</v>
      </c>
      <c r="L1016" s="45">
        <f>IF(AB1015-AA1015*(B1016-B1015)&gt;0, L1015-Y1015*(B1016-B1015)*3600-AD1016*Model!$B$16, 0)</f>
        <v>0</v>
      </c>
      <c r="M1016" s="56">
        <f t="shared" si="297"/>
        <v>0</v>
      </c>
      <c r="N1016" s="56">
        <f>Model!$B$13*I1016*K1016/(Model!$B$13*I1016-L1016*287*K1016)</f>
        <v>253</v>
      </c>
      <c r="O1016" s="56">
        <f t="shared" si="298"/>
        <v>253</v>
      </c>
      <c r="P1016" s="56">
        <f t="shared" si="299"/>
        <v>-10</v>
      </c>
      <c r="Q1016" s="62">
        <f t="shared" si="319"/>
        <v>2.2579999999999999E-2</v>
      </c>
      <c r="R1016" s="33">
        <f t="shared" si="320"/>
        <v>1.152E-5</v>
      </c>
      <c r="S1016" s="45">
        <f>0.37*Model!$B$10*(Q1016^2*(N1016-K1016)*I1016/(R1016*O1016^2))^0.33333*(N1016-K1016)</f>
        <v>0</v>
      </c>
      <c r="T1016" s="50">
        <f>Model!$B$32+(90-Model!$B$6)*SIN(RADIANS(-15*(E1016+6)))</f>
        <v>-31.619472402513487</v>
      </c>
      <c r="U1016" s="45">
        <f t="shared" si="300"/>
        <v>0</v>
      </c>
      <c r="V1016" s="50">
        <f t="shared" si="301"/>
        <v>99999</v>
      </c>
      <c r="W1016" s="45">
        <f t="shared" si="302"/>
        <v>0</v>
      </c>
      <c r="X1016" s="45">
        <f>0.3*W1016*Model!$B$9</f>
        <v>0</v>
      </c>
      <c r="Y1016" s="33">
        <f>(S1016-X1016)/Model!$B$11</f>
        <v>0</v>
      </c>
      <c r="Z1016" s="45" t="e">
        <f t="shared" si="303"/>
        <v>#DIV/0!</v>
      </c>
      <c r="AA1016" s="56">
        <f>Y1016/Model!$B$12*3600</f>
        <v>0</v>
      </c>
      <c r="AB1016" s="50">
        <f t="shared" si="308"/>
        <v>0</v>
      </c>
      <c r="AC1016" s="50">
        <f t="shared" si="321"/>
        <v>1800</v>
      </c>
      <c r="AD1016" s="15">
        <f>IF(AE1016=0, Model!$B$19, 0 )</f>
        <v>0</v>
      </c>
      <c r="AE1016" s="50">
        <f>IF(AE1015+AB1015-AB1016&lt;Model!$B$19*Model!$B$18, AE1015+AB1015-AB1016,  0)</f>
        <v>443.63457370611354</v>
      </c>
      <c r="AF1016" s="15">
        <f t="shared" si="304"/>
        <v>1</v>
      </c>
      <c r="AG1016" s="50">
        <f t="shared" si="305"/>
        <v>0</v>
      </c>
    </row>
    <row r="1017" spans="2:33" x14ac:dyDescent="0.25">
      <c r="B1017" s="13">
        <f t="shared" si="306"/>
        <v>1</v>
      </c>
      <c r="C1017" s="13">
        <f>B1017+Model!$B$4</f>
        <v>3</v>
      </c>
      <c r="D1017" s="13">
        <f t="shared" si="307"/>
        <v>1</v>
      </c>
      <c r="E1017" s="13">
        <f t="shared" si="313"/>
        <v>3</v>
      </c>
      <c r="F1017" s="14">
        <f>IF(AB1017&gt;0, VLOOKUP(B1017,Model!$A$40:$B$60, 2), 0)</f>
        <v>0</v>
      </c>
      <c r="G1017" s="13">
        <f>IF(AB1017&gt;0, VLOOKUP(B1017,Model!$A$39:$C$58, 3), 0)</f>
        <v>0</v>
      </c>
      <c r="H1017" s="13">
        <f t="shared" si="296"/>
        <v>0</v>
      </c>
      <c r="I1017" s="46">
        <f>Model!$B$21*EXP((-0.029*9.81*F1017)/(8.31*(273+J1017)))</f>
        <v>104500</v>
      </c>
      <c r="J1017" s="13">
        <f>IF(Model!$B$31="Summer",  IF(F1017&lt;=2000,  Model!$B$20-Model!$B$35*F1017/1000,  IF(F1017&lt;Model!$B$36,  Model!$B$33-6.5*F1017/1000,  Model!$B$38)),     IF(F1017&lt;=2000,  Model!$B$20-Model!$B$35*F1017/1000,  IF(F1017&lt;Model!$B$36,  Model!$B$33-5.4*F1017/1000,   Model!$B$38)))</f>
        <v>-20</v>
      </c>
      <c r="K1017" s="13">
        <f t="shared" si="318"/>
        <v>253</v>
      </c>
      <c r="L1017" s="46">
        <f>IF(AB1016-AA1016*(B1017-B1016)&gt;0, L1016-Y1016*(B1017-B1016)*3600-AD1017*Model!$B$16, 0)</f>
        <v>0</v>
      </c>
      <c r="M1017" s="57">
        <f t="shared" si="297"/>
        <v>0</v>
      </c>
      <c r="N1017" s="57">
        <f>Model!$B$13*I1017*K1017/(Model!$B$13*I1017-L1017*287*K1017)</f>
        <v>253</v>
      </c>
      <c r="O1017" s="57">
        <f t="shared" si="298"/>
        <v>253</v>
      </c>
      <c r="P1017" s="57">
        <f t="shared" si="299"/>
        <v>-10</v>
      </c>
      <c r="Q1017" s="63">
        <f t="shared" si="319"/>
        <v>2.2579999999999999E-2</v>
      </c>
      <c r="R1017" s="17">
        <f t="shared" si="320"/>
        <v>1.152E-5</v>
      </c>
      <c r="S1017" s="46">
        <f>0.37*Model!$B$10*(Q1017^2*(N1017-K1017)*I1017/(R1017*O1017^2))^0.33333*(N1017-K1017)</f>
        <v>0</v>
      </c>
      <c r="T1017" s="51">
        <f>Model!$B$32+(90-Model!$B$6)*SIN(RADIANS(-15*(E1017+6)))</f>
        <v>-31.619472402513487</v>
      </c>
      <c r="U1017" s="46">
        <f t="shared" si="300"/>
        <v>0</v>
      </c>
      <c r="V1017" s="51">
        <f t="shared" si="301"/>
        <v>99999</v>
      </c>
      <c r="W1017" s="46">
        <f t="shared" si="302"/>
        <v>0</v>
      </c>
      <c r="X1017" s="46">
        <f>0.3*W1017*Model!$B$9</f>
        <v>0</v>
      </c>
      <c r="Y1017" s="17">
        <f>(S1017-X1017)/Model!$B$11</f>
        <v>0</v>
      </c>
      <c r="Z1017" s="46" t="e">
        <f t="shared" si="303"/>
        <v>#DIV/0!</v>
      </c>
      <c r="AA1017" s="57">
        <f>Y1017/Model!$B$12*3600</f>
        <v>0</v>
      </c>
      <c r="AB1017" s="51">
        <f t="shared" si="308"/>
        <v>0</v>
      </c>
      <c r="AC1017" s="51">
        <f t="shared" si="321"/>
        <v>1800</v>
      </c>
      <c r="AD1017" s="13">
        <f>IF(AE1017=0, Model!$B$19, 0 )</f>
        <v>0</v>
      </c>
      <c r="AE1017" s="51">
        <f>IF(AE1016+AB1016-AB1017&lt;Model!$B$19*Model!$B$18, AE1016+AB1016-AB1017,  0)</f>
        <v>443.63457370611354</v>
      </c>
      <c r="AF1017" s="13">
        <f t="shared" si="304"/>
        <v>1</v>
      </c>
      <c r="AG1017" s="50">
        <f t="shared" si="305"/>
        <v>0</v>
      </c>
    </row>
    <row r="1018" spans="2:33" x14ac:dyDescent="0.25">
      <c r="B1018" s="15">
        <f t="shared" si="306"/>
        <v>1</v>
      </c>
      <c r="C1018" s="15">
        <f>B1018+Model!$B$4</f>
        <v>3</v>
      </c>
      <c r="D1018" s="15">
        <f t="shared" si="307"/>
        <v>1</v>
      </c>
      <c r="E1018" s="15">
        <f t="shared" si="313"/>
        <v>3</v>
      </c>
      <c r="F1018" s="16">
        <f>IF(AB1018&gt;0, VLOOKUP(B1018,Model!$A$40:$B$60, 2), 0)</f>
        <v>0</v>
      </c>
      <c r="G1018" s="15">
        <f>IF(AB1018&gt;0, VLOOKUP(B1018,Model!$A$39:$C$58, 3), 0)</f>
        <v>0</v>
      </c>
      <c r="H1018" s="15">
        <f t="shared" si="296"/>
        <v>0</v>
      </c>
      <c r="I1018" s="45">
        <f>Model!$B$21*EXP((-0.029*9.81*F1018)/(8.31*(273+J1018)))</f>
        <v>104500</v>
      </c>
      <c r="J1018" s="15">
        <f>IF(Model!$B$31="Summer",  IF(F1018&lt;=2000,  Model!$B$20-Model!$B$35*F1018/1000,  IF(F1018&lt;Model!$B$36,  Model!$B$33-6.5*F1018/1000,  Model!$B$38)),     IF(F1018&lt;=2000,  Model!$B$20-Model!$B$35*F1018/1000,  IF(F1018&lt;Model!$B$36,  Model!$B$33-5.4*F1018/1000,   Model!$B$38)))</f>
        <v>-20</v>
      </c>
      <c r="K1018" s="15">
        <f t="shared" si="318"/>
        <v>253</v>
      </c>
      <c r="L1018" s="45">
        <f>IF(AB1017-AA1017*(B1018-B1017)&gt;0, L1017-Y1017*(B1018-B1017)*3600-AD1018*Model!$B$16, 0)</f>
        <v>0</v>
      </c>
      <c r="M1018" s="56">
        <f t="shared" si="297"/>
        <v>0</v>
      </c>
      <c r="N1018" s="56">
        <f>Model!$B$13*I1018*K1018/(Model!$B$13*I1018-L1018*287*K1018)</f>
        <v>253</v>
      </c>
      <c r="O1018" s="56">
        <f t="shared" si="298"/>
        <v>253</v>
      </c>
      <c r="P1018" s="56">
        <f t="shared" si="299"/>
        <v>-10</v>
      </c>
      <c r="Q1018" s="62">
        <f t="shared" si="319"/>
        <v>2.2579999999999999E-2</v>
      </c>
      <c r="R1018" s="33">
        <f t="shared" si="320"/>
        <v>1.152E-5</v>
      </c>
      <c r="S1018" s="45">
        <f>0.37*Model!$B$10*(Q1018^2*(N1018-K1018)*I1018/(R1018*O1018^2))^0.33333*(N1018-K1018)</f>
        <v>0</v>
      </c>
      <c r="T1018" s="50">
        <f>Model!$B$32+(90-Model!$B$6)*SIN(RADIANS(-15*(E1018+6)))</f>
        <v>-31.619472402513487</v>
      </c>
      <c r="U1018" s="45">
        <f t="shared" si="300"/>
        <v>0</v>
      </c>
      <c r="V1018" s="50">
        <f t="shared" si="301"/>
        <v>99999</v>
      </c>
      <c r="W1018" s="45">
        <f t="shared" si="302"/>
        <v>0</v>
      </c>
      <c r="X1018" s="45">
        <f>0.3*W1018*Model!$B$9</f>
        <v>0</v>
      </c>
      <c r="Y1018" s="33">
        <f>(S1018-X1018)/Model!$B$11</f>
        <v>0</v>
      </c>
      <c r="Z1018" s="45" t="e">
        <f t="shared" si="303"/>
        <v>#DIV/0!</v>
      </c>
      <c r="AA1018" s="56">
        <f>Y1018/Model!$B$12*3600</f>
        <v>0</v>
      </c>
      <c r="AB1018" s="50">
        <f t="shared" si="308"/>
        <v>0</v>
      </c>
      <c r="AC1018" s="50">
        <f t="shared" si="321"/>
        <v>1800</v>
      </c>
      <c r="AD1018" s="15">
        <f>IF(AE1018=0, Model!$B$19, 0 )</f>
        <v>0</v>
      </c>
      <c r="AE1018" s="50">
        <f>IF(AE1017+AB1017-AB1018&lt;Model!$B$19*Model!$B$18, AE1017+AB1017-AB1018,  0)</f>
        <v>443.63457370611354</v>
      </c>
      <c r="AF1018" s="15">
        <f t="shared" si="304"/>
        <v>1</v>
      </c>
      <c r="AG1018" s="50">
        <f t="shared" si="305"/>
        <v>0</v>
      </c>
    </row>
    <row r="1019" spans="2:33" x14ac:dyDescent="0.25">
      <c r="B1019" s="13">
        <f t="shared" si="306"/>
        <v>1</v>
      </c>
      <c r="C1019" s="13">
        <f>B1019+Model!$B$4</f>
        <v>3</v>
      </c>
      <c r="D1019" s="13">
        <f t="shared" si="307"/>
        <v>1</v>
      </c>
      <c r="E1019" s="13">
        <f t="shared" si="313"/>
        <v>3</v>
      </c>
      <c r="F1019" s="14">
        <f>IF(AB1019&gt;0, VLOOKUP(B1019,Model!$A$40:$B$60, 2), 0)</f>
        <v>0</v>
      </c>
      <c r="G1019" s="13">
        <f>IF(AB1019&gt;0, VLOOKUP(B1019,Model!$A$39:$C$58, 3), 0)</f>
        <v>0</v>
      </c>
      <c r="H1019" s="13">
        <f t="shared" si="296"/>
        <v>0</v>
      </c>
      <c r="I1019" s="46">
        <f>Model!$B$21*EXP((-0.029*9.81*F1019)/(8.31*(273+J1019)))</f>
        <v>104500</v>
      </c>
      <c r="J1019" s="13">
        <f>IF(Model!$B$31="Summer",  IF(F1019&lt;=2000,  Model!$B$20-Model!$B$35*F1019/1000,  IF(F1019&lt;Model!$B$36,  Model!$B$33-6.5*F1019/1000,  Model!$B$38)),     IF(F1019&lt;=2000,  Model!$B$20-Model!$B$35*F1019/1000,  IF(F1019&lt;Model!$B$36,  Model!$B$33-5.4*F1019/1000,   Model!$B$38)))</f>
        <v>-20</v>
      </c>
      <c r="K1019" s="13">
        <f t="shared" si="318"/>
        <v>253</v>
      </c>
      <c r="L1019" s="46">
        <f>IF(AB1018-AA1018*(B1019-B1018)&gt;0, L1018-Y1018*(B1019-B1018)*3600-AD1019*Model!$B$16, 0)</f>
        <v>0</v>
      </c>
      <c r="M1019" s="57">
        <f t="shared" si="297"/>
        <v>0</v>
      </c>
      <c r="N1019" s="57">
        <f>Model!$B$13*I1019*K1019/(Model!$B$13*I1019-L1019*287*K1019)</f>
        <v>253</v>
      </c>
      <c r="O1019" s="57">
        <f t="shared" si="298"/>
        <v>253</v>
      </c>
      <c r="P1019" s="57">
        <f t="shared" si="299"/>
        <v>-10</v>
      </c>
      <c r="Q1019" s="63">
        <f t="shared" si="319"/>
        <v>2.2579999999999999E-2</v>
      </c>
      <c r="R1019" s="17">
        <f t="shared" si="320"/>
        <v>1.152E-5</v>
      </c>
      <c r="S1019" s="46">
        <f>0.37*Model!$B$10*(Q1019^2*(N1019-K1019)*I1019/(R1019*O1019^2))^0.33333*(N1019-K1019)</f>
        <v>0</v>
      </c>
      <c r="T1019" s="51">
        <f>Model!$B$32+(90-Model!$B$6)*SIN(RADIANS(-15*(E1019+6)))</f>
        <v>-31.619472402513487</v>
      </c>
      <c r="U1019" s="46">
        <f t="shared" si="300"/>
        <v>0</v>
      </c>
      <c r="V1019" s="51">
        <f t="shared" si="301"/>
        <v>99999</v>
      </c>
      <c r="W1019" s="46">
        <f t="shared" si="302"/>
        <v>0</v>
      </c>
      <c r="X1019" s="46">
        <f>0.3*W1019*Model!$B$9</f>
        <v>0</v>
      </c>
      <c r="Y1019" s="17">
        <f>(S1019-X1019)/Model!$B$11</f>
        <v>0</v>
      </c>
      <c r="Z1019" s="46" t="e">
        <f t="shared" si="303"/>
        <v>#DIV/0!</v>
      </c>
      <c r="AA1019" s="57">
        <f>Y1019/Model!$B$12*3600</f>
        <v>0</v>
      </c>
      <c r="AB1019" s="51">
        <f t="shared" si="308"/>
        <v>0</v>
      </c>
      <c r="AC1019" s="51">
        <f t="shared" si="321"/>
        <v>1800</v>
      </c>
      <c r="AD1019" s="13">
        <f>IF(AE1019=0, Model!$B$19, 0 )</f>
        <v>0</v>
      </c>
      <c r="AE1019" s="51">
        <f>IF(AE1018+AB1018-AB1019&lt;Model!$B$19*Model!$B$18, AE1018+AB1018-AB1019,  0)</f>
        <v>443.63457370611354</v>
      </c>
      <c r="AF1019" s="13">
        <f t="shared" si="304"/>
        <v>1</v>
      </c>
      <c r="AG1019" s="50">
        <f t="shared" si="305"/>
        <v>0</v>
      </c>
    </row>
    <row r="1020" spans="2:33" x14ac:dyDescent="0.25">
      <c r="B1020" s="15">
        <f t="shared" si="306"/>
        <v>1</v>
      </c>
      <c r="C1020" s="15">
        <f>B1020+Model!$B$4</f>
        <v>3</v>
      </c>
      <c r="D1020" s="15">
        <f t="shared" si="307"/>
        <v>1</v>
      </c>
      <c r="E1020" s="15">
        <f t="shared" si="313"/>
        <v>3</v>
      </c>
      <c r="F1020" s="16">
        <f>IF(AB1020&gt;0, VLOOKUP(B1020,Model!$A$40:$B$60, 2), 0)</f>
        <v>0</v>
      </c>
      <c r="G1020" s="15">
        <f>IF(AB1020&gt;0, VLOOKUP(B1020,Model!$A$39:$C$58, 3), 0)</f>
        <v>0</v>
      </c>
      <c r="H1020" s="15">
        <f t="shared" si="296"/>
        <v>0</v>
      </c>
      <c r="I1020" s="45">
        <f>Model!$B$21*EXP((-0.029*9.81*F1020)/(8.31*(273+J1020)))</f>
        <v>104500</v>
      </c>
      <c r="J1020" s="15">
        <f>IF(Model!$B$31="Summer",  IF(F1020&lt;=2000,  Model!$B$20-Model!$B$35*F1020/1000,  IF(F1020&lt;Model!$B$36,  Model!$B$33-6.5*F1020/1000,  Model!$B$38)),     IF(F1020&lt;=2000,  Model!$B$20-Model!$B$35*F1020/1000,  IF(F1020&lt;Model!$B$36,  Model!$B$33-5.4*F1020/1000,   Model!$B$38)))</f>
        <v>-20</v>
      </c>
      <c r="K1020" s="15">
        <f t="shared" si="318"/>
        <v>253</v>
      </c>
      <c r="L1020" s="45">
        <f>IF(AB1019-AA1019*(B1020-B1019)&gt;0, L1019-Y1019*(B1020-B1019)*3600-AD1020*Model!$B$16, 0)</f>
        <v>0</v>
      </c>
      <c r="M1020" s="56">
        <f t="shared" si="297"/>
        <v>0</v>
      </c>
      <c r="N1020" s="56">
        <f>Model!$B$13*I1020*K1020/(Model!$B$13*I1020-L1020*287*K1020)</f>
        <v>253</v>
      </c>
      <c r="O1020" s="56">
        <f t="shared" si="298"/>
        <v>253</v>
      </c>
      <c r="P1020" s="56">
        <f t="shared" si="299"/>
        <v>-10</v>
      </c>
      <c r="Q1020" s="62">
        <f t="shared" si="319"/>
        <v>2.2579999999999999E-2</v>
      </c>
      <c r="R1020" s="33">
        <f t="shared" si="320"/>
        <v>1.152E-5</v>
      </c>
      <c r="S1020" s="45">
        <f>0.37*Model!$B$10*(Q1020^2*(N1020-K1020)*I1020/(R1020*O1020^2))^0.33333*(N1020-K1020)</f>
        <v>0</v>
      </c>
      <c r="T1020" s="50">
        <f>Model!$B$32+(90-Model!$B$6)*SIN(RADIANS(-15*(E1020+6)))</f>
        <v>-31.619472402513487</v>
      </c>
      <c r="U1020" s="45">
        <f t="shared" si="300"/>
        <v>0</v>
      </c>
      <c r="V1020" s="50">
        <f t="shared" si="301"/>
        <v>99999</v>
      </c>
      <c r="W1020" s="45">
        <f t="shared" si="302"/>
        <v>0</v>
      </c>
      <c r="X1020" s="45">
        <f>0.3*W1020*Model!$B$9</f>
        <v>0</v>
      </c>
      <c r="Y1020" s="33">
        <f>(S1020-X1020)/Model!$B$11</f>
        <v>0</v>
      </c>
      <c r="Z1020" s="45" t="e">
        <f t="shared" si="303"/>
        <v>#DIV/0!</v>
      </c>
      <c r="AA1020" s="56">
        <f>Y1020/Model!$B$12*3600</f>
        <v>0</v>
      </c>
      <c r="AB1020" s="50">
        <f t="shared" si="308"/>
        <v>0</v>
      </c>
      <c r="AC1020" s="50">
        <f t="shared" si="321"/>
        <v>1800</v>
      </c>
      <c r="AD1020" s="15">
        <f>IF(AE1020=0, Model!$B$19, 0 )</f>
        <v>0</v>
      </c>
      <c r="AE1020" s="50">
        <f>IF(AE1019+AB1019-AB1020&lt;Model!$B$19*Model!$B$18, AE1019+AB1019-AB1020,  0)</f>
        <v>443.63457370611354</v>
      </c>
      <c r="AF1020" s="15">
        <f t="shared" si="304"/>
        <v>1</v>
      </c>
      <c r="AG1020" s="50">
        <f t="shared" si="305"/>
        <v>0</v>
      </c>
    </row>
    <row r="1021" spans="2:33" x14ac:dyDescent="0.25">
      <c r="B1021" s="13">
        <f t="shared" si="306"/>
        <v>1</v>
      </c>
      <c r="C1021" s="13">
        <f>B1021+Model!$B$4</f>
        <v>3</v>
      </c>
      <c r="D1021" s="13">
        <f t="shared" si="307"/>
        <v>1</v>
      </c>
      <c r="E1021" s="13">
        <f t="shared" si="313"/>
        <v>3</v>
      </c>
      <c r="F1021" s="14">
        <f>IF(AB1021&gt;0, VLOOKUP(B1021,Model!$A$40:$B$60, 2), 0)</f>
        <v>0</v>
      </c>
      <c r="G1021" s="13">
        <f>IF(AB1021&gt;0, VLOOKUP(B1021,Model!$A$39:$C$58, 3), 0)</f>
        <v>0</v>
      </c>
      <c r="H1021" s="13">
        <f t="shared" si="296"/>
        <v>0</v>
      </c>
      <c r="I1021" s="46">
        <f>Model!$B$21*EXP((-0.029*9.81*F1021)/(8.31*(273+J1021)))</f>
        <v>104500</v>
      </c>
      <c r="J1021" s="13">
        <f>IF(Model!$B$31="Summer",  IF(F1021&lt;=2000,  Model!$B$20-Model!$B$35*F1021/1000,  IF(F1021&lt;Model!$B$36,  Model!$B$33-6.5*F1021/1000,  Model!$B$38)),     IF(F1021&lt;=2000,  Model!$B$20-Model!$B$35*F1021/1000,  IF(F1021&lt;Model!$B$36,  Model!$B$33-5.4*F1021/1000,   Model!$B$38)))</f>
        <v>-20</v>
      </c>
      <c r="K1021" s="13">
        <f t="shared" si="318"/>
        <v>253</v>
      </c>
      <c r="L1021" s="46">
        <f>IF(AB1020-AA1020*(B1021-B1020)&gt;0, L1020-Y1020*(B1021-B1020)*3600-AD1021*Model!$B$16, 0)</f>
        <v>0</v>
      </c>
      <c r="M1021" s="57">
        <f t="shared" si="297"/>
        <v>0</v>
      </c>
      <c r="N1021" s="57">
        <f>Model!$B$13*I1021*K1021/(Model!$B$13*I1021-L1021*287*K1021)</f>
        <v>253</v>
      </c>
      <c r="O1021" s="57">
        <f t="shared" si="298"/>
        <v>253</v>
      </c>
      <c r="P1021" s="57">
        <f t="shared" si="299"/>
        <v>-10</v>
      </c>
      <c r="Q1021" s="63">
        <f t="shared" si="319"/>
        <v>2.2579999999999999E-2</v>
      </c>
      <c r="R1021" s="17">
        <f t="shared" si="320"/>
        <v>1.152E-5</v>
      </c>
      <c r="S1021" s="46">
        <f>0.37*Model!$B$10*(Q1021^2*(N1021-K1021)*I1021/(R1021*O1021^2))^0.33333*(N1021-K1021)</f>
        <v>0</v>
      </c>
      <c r="T1021" s="51">
        <f>Model!$B$32+(90-Model!$B$6)*SIN(RADIANS(-15*(E1021+6)))</f>
        <v>-31.619472402513487</v>
      </c>
      <c r="U1021" s="46">
        <f t="shared" si="300"/>
        <v>0</v>
      </c>
      <c r="V1021" s="51">
        <f t="shared" si="301"/>
        <v>99999</v>
      </c>
      <c r="W1021" s="46">
        <f t="shared" si="302"/>
        <v>0</v>
      </c>
      <c r="X1021" s="46">
        <f>0.3*W1021*Model!$B$9</f>
        <v>0</v>
      </c>
      <c r="Y1021" s="17">
        <f>(S1021-X1021)/Model!$B$11</f>
        <v>0</v>
      </c>
      <c r="Z1021" s="46" t="e">
        <f t="shared" si="303"/>
        <v>#DIV/0!</v>
      </c>
      <c r="AA1021" s="57">
        <f>Y1021/Model!$B$12*3600</f>
        <v>0</v>
      </c>
      <c r="AB1021" s="51">
        <f t="shared" si="308"/>
        <v>0</v>
      </c>
      <c r="AC1021" s="51">
        <f t="shared" si="321"/>
        <v>1800</v>
      </c>
      <c r="AD1021" s="13">
        <f>IF(AE1021=0, Model!$B$19, 0 )</f>
        <v>0</v>
      </c>
      <c r="AE1021" s="51">
        <f>IF(AE1020+AB1020-AB1021&lt;Model!$B$19*Model!$B$18, AE1020+AB1020-AB1021,  0)</f>
        <v>443.63457370611354</v>
      </c>
      <c r="AF1021" s="13">
        <f t="shared" si="304"/>
        <v>1</v>
      </c>
      <c r="AG1021" s="50">
        <f t="shared" si="305"/>
        <v>0</v>
      </c>
    </row>
    <row r="1022" spans="2:33" x14ac:dyDescent="0.25">
      <c r="B1022" s="15">
        <f t="shared" si="306"/>
        <v>1</v>
      </c>
      <c r="C1022" s="15">
        <f>B1022+Model!$B$4</f>
        <v>3</v>
      </c>
      <c r="D1022" s="15">
        <f t="shared" si="307"/>
        <v>1</v>
      </c>
      <c r="E1022" s="15">
        <f t="shared" si="313"/>
        <v>3</v>
      </c>
      <c r="F1022" s="16">
        <f>IF(AB1022&gt;0, VLOOKUP(B1022,Model!$A$40:$B$60, 2), 0)</f>
        <v>0</v>
      </c>
      <c r="G1022" s="15">
        <f>IF(AB1022&gt;0, VLOOKUP(B1022,Model!$A$39:$C$58, 3), 0)</f>
        <v>0</v>
      </c>
      <c r="H1022" s="15">
        <f t="shared" si="296"/>
        <v>0</v>
      </c>
      <c r="I1022" s="45">
        <f>Model!$B$21*EXP((-0.029*9.81*F1022)/(8.31*(273+J1022)))</f>
        <v>104500</v>
      </c>
      <c r="J1022" s="15">
        <f>IF(Model!$B$31="Summer",  IF(F1022&lt;=2000,  Model!$B$20-Model!$B$35*F1022/1000,  IF(F1022&lt;Model!$B$36,  Model!$B$33-6.5*F1022/1000,  Model!$B$38)),     IF(F1022&lt;=2000,  Model!$B$20-Model!$B$35*F1022/1000,  IF(F1022&lt;Model!$B$36,  Model!$B$33-5.4*F1022/1000,   Model!$B$38)))</f>
        <v>-20</v>
      </c>
      <c r="K1022" s="15">
        <f t="shared" si="318"/>
        <v>253</v>
      </c>
      <c r="L1022" s="45">
        <f>IF(AB1021-AA1021*(B1022-B1021)&gt;0, L1021-Y1021*(B1022-B1021)*3600-AD1022*Model!$B$16, 0)</f>
        <v>0</v>
      </c>
      <c r="M1022" s="56">
        <f t="shared" si="297"/>
        <v>0</v>
      </c>
      <c r="N1022" s="56">
        <f>Model!$B$13*I1022*K1022/(Model!$B$13*I1022-L1022*287*K1022)</f>
        <v>253</v>
      </c>
      <c r="O1022" s="56">
        <f t="shared" si="298"/>
        <v>253</v>
      </c>
      <c r="P1022" s="56">
        <f t="shared" si="299"/>
        <v>-10</v>
      </c>
      <c r="Q1022" s="62">
        <f t="shared" si="319"/>
        <v>2.2579999999999999E-2</v>
      </c>
      <c r="R1022" s="33">
        <f t="shared" si="320"/>
        <v>1.152E-5</v>
      </c>
      <c r="S1022" s="45">
        <f>0.37*Model!$B$10*(Q1022^2*(N1022-K1022)*I1022/(R1022*O1022^2))^0.33333*(N1022-K1022)</f>
        <v>0</v>
      </c>
      <c r="T1022" s="50">
        <f>Model!$B$32+(90-Model!$B$6)*SIN(RADIANS(-15*(E1022+6)))</f>
        <v>-31.619472402513487</v>
      </c>
      <c r="U1022" s="45">
        <f t="shared" si="300"/>
        <v>0</v>
      </c>
      <c r="V1022" s="50">
        <f t="shared" si="301"/>
        <v>99999</v>
      </c>
      <c r="W1022" s="45">
        <f t="shared" si="302"/>
        <v>0</v>
      </c>
      <c r="X1022" s="45">
        <f>0.3*W1022*Model!$B$9</f>
        <v>0</v>
      </c>
      <c r="Y1022" s="33">
        <f>(S1022-X1022)/Model!$B$11</f>
        <v>0</v>
      </c>
      <c r="Z1022" s="45" t="e">
        <f t="shared" si="303"/>
        <v>#DIV/0!</v>
      </c>
      <c r="AA1022" s="56">
        <f>Y1022/Model!$B$12*3600</f>
        <v>0</v>
      </c>
      <c r="AB1022" s="50">
        <f t="shared" si="308"/>
        <v>0</v>
      </c>
      <c r="AC1022" s="50">
        <f t="shared" si="321"/>
        <v>1800</v>
      </c>
      <c r="AD1022" s="15">
        <f>IF(AE1022=0, Model!$B$19, 0 )</f>
        <v>0</v>
      </c>
      <c r="AE1022" s="50">
        <f>IF(AE1021+AB1021-AB1022&lt;Model!$B$19*Model!$B$18, AE1021+AB1021-AB1022,  0)</f>
        <v>443.63457370611354</v>
      </c>
      <c r="AF1022" s="15">
        <f t="shared" si="304"/>
        <v>1</v>
      </c>
      <c r="AG1022" s="50">
        <f t="shared" si="305"/>
        <v>0</v>
      </c>
    </row>
    <row r="1023" spans="2:33" x14ac:dyDescent="0.25">
      <c r="B1023" s="13">
        <f t="shared" si="306"/>
        <v>1</v>
      </c>
      <c r="C1023" s="13">
        <f>B1023+Model!$B$4</f>
        <v>3</v>
      </c>
      <c r="D1023" s="13">
        <f t="shared" si="307"/>
        <v>1</v>
      </c>
      <c r="E1023" s="13">
        <f t="shared" si="313"/>
        <v>3</v>
      </c>
      <c r="F1023" s="14">
        <f>IF(AB1023&gt;0, VLOOKUP(B1023,Model!$A$40:$B$60, 2), 0)</f>
        <v>0</v>
      </c>
      <c r="G1023" s="13">
        <f>IF(AB1023&gt;0, VLOOKUP(B1023,Model!$A$39:$C$58, 3), 0)</f>
        <v>0</v>
      </c>
      <c r="H1023" s="13">
        <f t="shared" si="296"/>
        <v>0</v>
      </c>
      <c r="I1023" s="46">
        <f>Model!$B$21*EXP((-0.029*9.81*F1023)/(8.31*(273+J1023)))</f>
        <v>104500</v>
      </c>
      <c r="J1023" s="13">
        <f>IF(Model!$B$31="Summer",  IF(F1023&lt;=2000,  Model!$B$20-Model!$B$35*F1023/1000,  IF(F1023&lt;Model!$B$36,  Model!$B$33-6.5*F1023/1000,  Model!$B$38)),     IF(F1023&lt;=2000,  Model!$B$20-Model!$B$35*F1023/1000,  IF(F1023&lt;Model!$B$36,  Model!$B$33-5.4*F1023/1000,   Model!$B$38)))</f>
        <v>-20</v>
      </c>
      <c r="K1023" s="13">
        <f t="shared" si="318"/>
        <v>253</v>
      </c>
      <c r="L1023" s="46">
        <f>IF(AB1022-AA1022*(B1023-B1022)&gt;0, L1022-Y1022*(B1023-B1022)*3600-AD1023*Model!$B$16, 0)</f>
        <v>0</v>
      </c>
      <c r="M1023" s="57">
        <f t="shared" si="297"/>
        <v>0</v>
      </c>
      <c r="N1023" s="57">
        <f>Model!$B$13*I1023*K1023/(Model!$B$13*I1023-L1023*287*K1023)</f>
        <v>253</v>
      </c>
      <c r="O1023" s="57">
        <f t="shared" si="298"/>
        <v>253</v>
      </c>
      <c r="P1023" s="57">
        <f t="shared" si="299"/>
        <v>-10</v>
      </c>
      <c r="Q1023" s="63">
        <f t="shared" si="319"/>
        <v>2.2579999999999999E-2</v>
      </c>
      <c r="R1023" s="17">
        <f t="shared" si="320"/>
        <v>1.152E-5</v>
      </c>
      <c r="S1023" s="46">
        <f>0.37*Model!$B$10*(Q1023^2*(N1023-K1023)*I1023/(R1023*O1023^2))^0.33333*(N1023-K1023)</f>
        <v>0</v>
      </c>
      <c r="T1023" s="51">
        <f>Model!$B$32+(90-Model!$B$6)*SIN(RADIANS(-15*(E1023+6)))</f>
        <v>-31.619472402513487</v>
      </c>
      <c r="U1023" s="46">
        <f t="shared" si="300"/>
        <v>0</v>
      </c>
      <c r="V1023" s="51">
        <f t="shared" si="301"/>
        <v>99999</v>
      </c>
      <c r="W1023" s="46">
        <f t="shared" si="302"/>
        <v>0</v>
      </c>
      <c r="X1023" s="46">
        <f>0.3*W1023*Model!$B$9</f>
        <v>0</v>
      </c>
      <c r="Y1023" s="17">
        <f>(S1023-X1023)/Model!$B$11</f>
        <v>0</v>
      </c>
      <c r="Z1023" s="46" t="e">
        <f t="shared" si="303"/>
        <v>#DIV/0!</v>
      </c>
      <c r="AA1023" s="57">
        <f>Y1023/Model!$B$12*3600</f>
        <v>0</v>
      </c>
      <c r="AB1023" s="51">
        <f t="shared" si="308"/>
        <v>0</v>
      </c>
      <c r="AC1023" s="51">
        <f t="shared" si="321"/>
        <v>1800</v>
      </c>
      <c r="AD1023" s="13">
        <f>IF(AE1023=0, Model!$B$19, 0 )</f>
        <v>0</v>
      </c>
      <c r="AE1023" s="51">
        <f>IF(AE1022+AB1022-AB1023&lt;Model!$B$19*Model!$B$18, AE1022+AB1022-AB1023,  0)</f>
        <v>443.63457370611354</v>
      </c>
      <c r="AF1023" s="13">
        <f t="shared" si="304"/>
        <v>1</v>
      </c>
      <c r="AG1023" s="50">
        <f t="shared" si="305"/>
        <v>0</v>
      </c>
    </row>
    <row r="1024" spans="2:33" x14ac:dyDescent="0.25">
      <c r="B1024" s="15">
        <f t="shared" si="306"/>
        <v>1</v>
      </c>
      <c r="C1024" s="15">
        <f>B1024+Model!$B$4</f>
        <v>3</v>
      </c>
      <c r="D1024" s="15">
        <f t="shared" si="307"/>
        <v>1</v>
      </c>
      <c r="E1024" s="15">
        <f t="shared" si="313"/>
        <v>3</v>
      </c>
      <c r="F1024" s="16">
        <f>IF(AB1024&gt;0, VLOOKUP(B1024,Model!$A$40:$B$60, 2), 0)</f>
        <v>0</v>
      </c>
      <c r="G1024" s="15">
        <f>IF(AB1024&gt;0, VLOOKUP(B1024,Model!$A$39:$C$58, 3), 0)</f>
        <v>0</v>
      </c>
      <c r="H1024" s="15">
        <f t="shared" si="296"/>
        <v>0</v>
      </c>
      <c r="I1024" s="45">
        <f>Model!$B$21*EXP((-0.029*9.81*F1024)/(8.31*(273+J1024)))</f>
        <v>104500</v>
      </c>
      <c r="J1024" s="15">
        <f>IF(Model!$B$31="Summer",  IF(F1024&lt;=2000,  Model!$B$20-Model!$B$35*F1024/1000,  IF(F1024&lt;Model!$B$36,  Model!$B$33-6.5*F1024/1000,  Model!$B$38)),     IF(F1024&lt;=2000,  Model!$B$20-Model!$B$35*F1024/1000,  IF(F1024&lt;Model!$B$36,  Model!$B$33-5.4*F1024/1000,   Model!$B$38)))</f>
        <v>-20</v>
      </c>
      <c r="K1024" s="15">
        <f t="shared" si="318"/>
        <v>253</v>
      </c>
      <c r="L1024" s="45">
        <f>IF(AB1023-AA1023*(B1024-B1023)&gt;0, L1023-Y1023*(B1024-B1023)*3600-AD1024*Model!$B$16, 0)</f>
        <v>0</v>
      </c>
      <c r="M1024" s="56">
        <f t="shared" si="297"/>
        <v>0</v>
      </c>
      <c r="N1024" s="56">
        <f>Model!$B$13*I1024*K1024/(Model!$B$13*I1024-L1024*287*K1024)</f>
        <v>253</v>
      </c>
      <c r="O1024" s="56">
        <f t="shared" si="298"/>
        <v>253</v>
      </c>
      <c r="P1024" s="56">
        <f t="shared" si="299"/>
        <v>-10</v>
      </c>
      <c r="Q1024" s="62">
        <f t="shared" si="319"/>
        <v>2.2579999999999999E-2</v>
      </c>
      <c r="R1024" s="33">
        <f t="shared" si="320"/>
        <v>1.152E-5</v>
      </c>
      <c r="S1024" s="45">
        <f>0.37*Model!$B$10*(Q1024^2*(N1024-K1024)*I1024/(R1024*O1024^2))^0.33333*(N1024-K1024)</f>
        <v>0</v>
      </c>
      <c r="T1024" s="50">
        <f>Model!$B$32+(90-Model!$B$6)*SIN(RADIANS(-15*(E1024+6)))</f>
        <v>-31.619472402513487</v>
      </c>
      <c r="U1024" s="45">
        <f t="shared" si="300"/>
        <v>0</v>
      </c>
      <c r="V1024" s="50">
        <f t="shared" si="301"/>
        <v>99999</v>
      </c>
      <c r="W1024" s="45">
        <f t="shared" si="302"/>
        <v>0</v>
      </c>
      <c r="X1024" s="45">
        <f>0.3*W1024*Model!$B$9</f>
        <v>0</v>
      </c>
      <c r="Y1024" s="33">
        <f>(S1024-X1024)/Model!$B$11</f>
        <v>0</v>
      </c>
      <c r="Z1024" s="45" t="e">
        <f t="shared" si="303"/>
        <v>#DIV/0!</v>
      </c>
      <c r="AA1024" s="56">
        <f>Y1024/Model!$B$12*3600</f>
        <v>0</v>
      </c>
      <c r="AB1024" s="50">
        <f t="shared" si="308"/>
        <v>0</v>
      </c>
      <c r="AC1024" s="50">
        <f t="shared" si="321"/>
        <v>1800</v>
      </c>
      <c r="AD1024" s="15">
        <f>IF(AE1024=0, Model!$B$19, 0 )</f>
        <v>0</v>
      </c>
      <c r="AE1024" s="50">
        <f>IF(AE1023+AB1023-AB1024&lt;Model!$B$19*Model!$B$18, AE1023+AB1023-AB1024,  0)</f>
        <v>443.63457370611354</v>
      </c>
      <c r="AF1024" s="15">
        <f t="shared" si="304"/>
        <v>1</v>
      </c>
      <c r="AG1024" s="50">
        <f t="shared" si="305"/>
        <v>0</v>
      </c>
    </row>
    <row r="1025" spans="2:33" x14ac:dyDescent="0.25">
      <c r="B1025" s="13">
        <f t="shared" si="306"/>
        <v>1</v>
      </c>
      <c r="C1025" s="13">
        <f>B1025+Model!$B$4</f>
        <v>3</v>
      </c>
      <c r="D1025" s="13">
        <f t="shared" si="307"/>
        <v>1</v>
      </c>
      <c r="E1025" s="13">
        <f t="shared" si="313"/>
        <v>3</v>
      </c>
      <c r="F1025" s="14">
        <f>IF(AB1025&gt;0, VLOOKUP(B1025,Model!$A$40:$B$60, 2), 0)</f>
        <v>0</v>
      </c>
      <c r="G1025" s="13">
        <f>IF(AB1025&gt;0, VLOOKUP(B1025,Model!$A$39:$C$58, 3), 0)</f>
        <v>0</v>
      </c>
      <c r="H1025" s="13">
        <f t="shared" si="296"/>
        <v>0</v>
      </c>
      <c r="I1025" s="46">
        <f>Model!$B$21*EXP((-0.029*9.81*F1025)/(8.31*(273+J1025)))</f>
        <v>104500</v>
      </c>
      <c r="J1025" s="13">
        <f>IF(Model!$B$31="Summer",  IF(F1025&lt;=2000,  Model!$B$20-Model!$B$35*F1025/1000,  IF(F1025&lt;Model!$B$36,  Model!$B$33-6.5*F1025/1000,  Model!$B$38)),     IF(F1025&lt;=2000,  Model!$B$20-Model!$B$35*F1025/1000,  IF(F1025&lt;Model!$B$36,  Model!$B$33-5.4*F1025/1000,   Model!$B$38)))</f>
        <v>-20</v>
      </c>
      <c r="K1025" s="13">
        <f t="shared" si="318"/>
        <v>253</v>
      </c>
      <c r="L1025" s="46">
        <f>IF(AB1024-AA1024*(B1025-B1024)&gt;0, L1024-Y1024*(B1025-B1024)*3600-AD1025*Model!$B$16, 0)</f>
        <v>0</v>
      </c>
      <c r="M1025" s="57">
        <f t="shared" si="297"/>
        <v>0</v>
      </c>
      <c r="N1025" s="57">
        <f>Model!$B$13*I1025*K1025/(Model!$B$13*I1025-L1025*287*K1025)</f>
        <v>253</v>
      </c>
      <c r="O1025" s="57">
        <f t="shared" si="298"/>
        <v>253</v>
      </c>
      <c r="P1025" s="57">
        <f t="shared" si="299"/>
        <v>-10</v>
      </c>
      <c r="Q1025" s="63">
        <f t="shared" si="319"/>
        <v>2.2579999999999999E-2</v>
      </c>
      <c r="R1025" s="17">
        <f t="shared" si="320"/>
        <v>1.152E-5</v>
      </c>
      <c r="S1025" s="46">
        <f>0.37*Model!$B$10*(Q1025^2*(N1025-K1025)*I1025/(R1025*O1025^2))^0.33333*(N1025-K1025)</f>
        <v>0</v>
      </c>
      <c r="T1025" s="51">
        <f>Model!$B$32+(90-Model!$B$6)*SIN(RADIANS(-15*(E1025+6)))</f>
        <v>-31.619472402513487</v>
      </c>
      <c r="U1025" s="46">
        <f t="shared" si="300"/>
        <v>0</v>
      </c>
      <c r="V1025" s="51">
        <f t="shared" si="301"/>
        <v>99999</v>
      </c>
      <c r="W1025" s="46">
        <f t="shared" si="302"/>
        <v>0</v>
      </c>
      <c r="X1025" s="46">
        <f>0.3*W1025*Model!$B$9</f>
        <v>0</v>
      </c>
      <c r="Y1025" s="17">
        <f>(S1025-X1025)/Model!$B$11</f>
        <v>0</v>
      </c>
      <c r="Z1025" s="46" t="e">
        <f t="shared" si="303"/>
        <v>#DIV/0!</v>
      </c>
      <c r="AA1025" s="57">
        <f>Y1025/Model!$B$12*3600</f>
        <v>0</v>
      </c>
      <c r="AB1025" s="51">
        <f t="shared" si="308"/>
        <v>0</v>
      </c>
      <c r="AC1025" s="51">
        <f t="shared" si="321"/>
        <v>1800</v>
      </c>
      <c r="AD1025" s="13">
        <f>IF(AE1025=0, Model!$B$19, 0 )</f>
        <v>0</v>
      </c>
      <c r="AE1025" s="51">
        <f>IF(AE1024+AB1024-AB1025&lt;Model!$B$19*Model!$B$18, AE1024+AB1024-AB1025,  0)</f>
        <v>443.63457370611354</v>
      </c>
      <c r="AF1025" s="13">
        <f t="shared" si="304"/>
        <v>1</v>
      </c>
      <c r="AG1025" s="50">
        <f t="shared" si="305"/>
        <v>0</v>
      </c>
    </row>
    <row r="1026" spans="2:33" x14ac:dyDescent="0.25">
      <c r="B1026" s="15">
        <f t="shared" si="306"/>
        <v>1</v>
      </c>
      <c r="C1026" s="15">
        <f>B1026+Model!$B$4</f>
        <v>3</v>
      </c>
      <c r="D1026" s="15">
        <f t="shared" si="307"/>
        <v>1</v>
      </c>
      <c r="E1026" s="15">
        <f t="shared" si="313"/>
        <v>3</v>
      </c>
      <c r="F1026" s="16">
        <f>IF(AB1026&gt;0, VLOOKUP(B1026,Model!$A$40:$B$60, 2), 0)</f>
        <v>0</v>
      </c>
      <c r="G1026" s="15">
        <f>IF(AB1026&gt;0, VLOOKUP(B1026,Model!$A$39:$C$58, 3), 0)</f>
        <v>0</v>
      </c>
      <c r="H1026" s="15">
        <f t="shared" ref="H1026:H1089" si="322">IF(B1026=1, 0, G1026*97)</f>
        <v>0</v>
      </c>
      <c r="I1026" s="45">
        <f>Model!$B$21*EXP((-0.029*9.81*F1026)/(8.31*(273+J1026)))</f>
        <v>104500</v>
      </c>
      <c r="J1026" s="15">
        <f>IF(Model!$B$31="Summer",  IF(F1026&lt;=2000,  Model!$B$20-Model!$B$35*F1026/1000,  IF(F1026&lt;Model!$B$36,  Model!$B$33-6.5*F1026/1000,  Model!$B$38)),     IF(F1026&lt;=2000,  Model!$B$20-Model!$B$35*F1026/1000,  IF(F1026&lt;Model!$B$36,  Model!$B$33-5.4*F1026/1000,   Model!$B$38)))</f>
        <v>-20</v>
      </c>
      <c r="K1026" s="15">
        <f t="shared" si="318"/>
        <v>253</v>
      </c>
      <c r="L1026" s="45">
        <f>IF(AB1025-AA1025*(B1026-B1025)&gt;0, L1025-Y1025*(B1026-B1025)*3600-AD1026*Model!$B$16, 0)</f>
        <v>0</v>
      </c>
      <c r="M1026" s="56">
        <f t="shared" ref="M1026:M1089" si="323">IF(AB1026=0, 0, N1026-273)</f>
        <v>0</v>
      </c>
      <c r="N1026" s="56">
        <f>Model!$B$13*I1026*K1026/(Model!$B$13*I1026-L1026*287*K1026)</f>
        <v>253</v>
      </c>
      <c r="O1026" s="56">
        <f t="shared" ref="O1026:O1089" si="324">(K1026+N1026)/2</f>
        <v>253</v>
      </c>
      <c r="P1026" s="56">
        <f t="shared" ref="P1026:P1089" si="325">(J1026+M1026)/2+W1025/150</f>
        <v>-10</v>
      </c>
      <c r="Q1026" s="62">
        <f t="shared" si="319"/>
        <v>2.2579999999999999E-2</v>
      </c>
      <c r="R1026" s="33">
        <f t="shared" si="320"/>
        <v>1.152E-5</v>
      </c>
      <c r="S1026" s="45">
        <f>0.37*Model!$B$10*(Q1026^2*(N1026-K1026)*I1026/(R1026*O1026^2))^0.33333*(N1026-K1026)</f>
        <v>0</v>
      </c>
      <c r="T1026" s="50">
        <f>Model!$B$32+(90-Model!$B$6)*SIN(RADIANS(-15*(E1026+6)))</f>
        <v>-31.619472402513487</v>
      </c>
      <c r="U1026" s="45">
        <f t="shared" ref="U1026:U1089" si="326">IF(OR(T1026&lt;0, AB1026=0),  0, T1026)</f>
        <v>0</v>
      </c>
      <c r="V1026" s="50">
        <f t="shared" ref="V1026:V1089" si="327">IF(T1026&lt;0,99999,1/SIN(RADIANS(T1026)))</f>
        <v>99999</v>
      </c>
      <c r="W1026" s="45">
        <f t="shared" ref="W1026:W1089" si="328">IF(G1026=0,0, 1353*((1+F1026/7100)*0.7^V1026^0.678)+F1026/7100)</f>
        <v>0</v>
      </c>
      <c r="X1026" s="45">
        <f>0.3*W1026*Model!$B$9</f>
        <v>0</v>
      </c>
      <c r="Y1026" s="33">
        <f>(S1026-X1026)/Model!$B$11</f>
        <v>0</v>
      </c>
      <c r="Z1026" s="45" t="e">
        <f t="shared" ref="Z1026:Z1089" si="329">100*X1026/S1026</f>
        <v>#DIV/0!</v>
      </c>
      <c r="AA1026" s="56">
        <f>Y1026/Model!$B$12*3600</f>
        <v>0</v>
      </c>
      <c r="AB1026" s="50">
        <f t="shared" si="308"/>
        <v>0</v>
      </c>
      <c r="AC1026" s="50">
        <f t="shared" si="321"/>
        <v>1800</v>
      </c>
      <c r="AD1026" s="15">
        <f>IF(AE1026=0, Model!$B$19, 0 )</f>
        <v>0</v>
      </c>
      <c r="AE1026" s="50">
        <f>IF(AE1025+AB1025-AB1026&lt;Model!$B$19*Model!$B$18, AE1025+AB1025-AB1026,  0)</f>
        <v>443.63457370611354</v>
      </c>
      <c r="AF1026" s="15">
        <f t="shared" ref="AF1026:AF1089" si="330">B1026</f>
        <v>1</v>
      </c>
      <c r="AG1026" s="50">
        <f t="shared" ref="AG1026:AG1089" si="331">IF(OR(P1026&gt;0, AB1026&lt;=0),0, IF(P1026&lt;-2,0.99,ABS(P1026/2)))</f>
        <v>0</v>
      </c>
    </row>
    <row r="1027" spans="2:33" x14ac:dyDescent="0.25">
      <c r="B1027" s="13">
        <f t="shared" ref="B1027:B1090" si="332">IF(AB1026&gt;0, B1026+0.05, 1)</f>
        <v>1</v>
      </c>
      <c r="C1027" s="13">
        <f>B1027+Model!$B$4</f>
        <v>3</v>
      </c>
      <c r="D1027" s="13">
        <f t="shared" ref="D1027:D1090" si="333">INT(C1027/24+1)</f>
        <v>1</v>
      </c>
      <c r="E1027" s="13">
        <f t="shared" si="313"/>
        <v>3</v>
      </c>
      <c r="F1027" s="14">
        <f>IF(AB1027&gt;0, VLOOKUP(B1027,Model!$A$40:$B$60, 2), 0)</f>
        <v>0</v>
      </c>
      <c r="G1027" s="13">
        <f>IF(AB1027&gt;0, VLOOKUP(B1027,Model!$A$39:$C$58, 3), 0)</f>
        <v>0</v>
      </c>
      <c r="H1027" s="13">
        <f t="shared" si="322"/>
        <v>0</v>
      </c>
      <c r="I1027" s="46">
        <f>Model!$B$21*EXP((-0.029*9.81*F1027)/(8.31*(273+J1027)))</f>
        <v>104500</v>
      </c>
      <c r="J1027" s="13">
        <f>IF(Model!$B$31="Summer",  IF(F1027&lt;=2000,  Model!$B$20-Model!$B$35*F1027/1000,  IF(F1027&lt;Model!$B$36,  Model!$B$33-6.5*F1027/1000,  Model!$B$38)),     IF(F1027&lt;=2000,  Model!$B$20-Model!$B$35*F1027/1000,  IF(F1027&lt;Model!$B$36,  Model!$B$33-5.4*F1027/1000,   Model!$B$38)))</f>
        <v>-20</v>
      </c>
      <c r="K1027" s="13">
        <f t="shared" si="318"/>
        <v>253</v>
      </c>
      <c r="L1027" s="46">
        <f>IF(AB1026-AA1026*(B1027-B1026)&gt;0, L1026-Y1026*(B1027-B1026)*3600-AD1027*Model!$B$16, 0)</f>
        <v>0</v>
      </c>
      <c r="M1027" s="57">
        <f t="shared" si="323"/>
        <v>0</v>
      </c>
      <c r="N1027" s="57">
        <f>Model!$B$13*I1027*K1027/(Model!$B$13*I1027-L1027*287*K1027)</f>
        <v>253</v>
      </c>
      <c r="O1027" s="57">
        <f t="shared" si="324"/>
        <v>253</v>
      </c>
      <c r="P1027" s="57">
        <f t="shared" si="325"/>
        <v>-10</v>
      </c>
      <c r="Q1027" s="63">
        <f t="shared" si="319"/>
        <v>2.2579999999999999E-2</v>
      </c>
      <c r="R1027" s="17">
        <f t="shared" si="320"/>
        <v>1.152E-5</v>
      </c>
      <c r="S1027" s="46">
        <f>0.37*Model!$B$10*(Q1027^2*(N1027-K1027)*I1027/(R1027*O1027^2))^0.33333*(N1027-K1027)</f>
        <v>0</v>
      </c>
      <c r="T1027" s="51">
        <f>Model!$B$32+(90-Model!$B$6)*SIN(RADIANS(-15*(E1027+6)))</f>
        <v>-31.619472402513487</v>
      </c>
      <c r="U1027" s="46">
        <f t="shared" si="326"/>
        <v>0</v>
      </c>
      <c r="V1027" s="51">
        <f t="shared" si="327"/>
        <v>99999</v>
      </c>
      <c r="W1027" s="46">
        <f t="shared" si="328"/>
        <v>0</v>
      </c>
      <c r="X1027" s="46">
        <f>0.3*W1027*Model!$B$9</f>
        <v>0</v>
      </c>
      <c r="Y1027" s="17">
        <f>(S1027-X1027)/Model!$B$11</f>
        <v>0</v>
      </c>
      <c r="Z1027" s="46" t="e">
        <f t="shared" si="329"/>
        <v>#DIV/0!</v>
      </c>
      <c r="AA1027" s="57">
        <f>Y1027/Model!$B$12*3600</f>
        <v>0</v>
      </c>
      <c r="AB1027" s="51">
        <f t="shared" ref="AB1027:AB1090" si="334">IF(AB1026-AA1026*(B1027-B1026)&gt;0, AB1026-AA1026*(B1027-B1026), 0)</f>
        <v>0</v>
      </c>
      <c r="AC1027" s="51">
        <f t="shared" si="321"/>
        <v>1800</v>
      </c>
      <c r="AD1027" s="13">
        <f>IF(AE1027=0, Model!$B$19, 0 )</f>
        <v>0</v>
      </c>
      <c r="AE1027" s="51">
        <f>IF(AE1026+AB1026-AB1027&lt;Model!$B$19*Model!$B$18, AE1026+AB1026-AB1027,  0)</f>
        <v>443.63457370611354</v>
      </c>
      <c r="AF1027" s="13">
        <f t="shared" si="330"/>
        <v>1</v>
      </c>
      <c r="AG1027" s="50">
        <f t="shared" si="331"/>
        <v>0</v>
      </c>
    </row>
    <row r="1028" spans="2:33" x14ac:dyDescent="0.25">
      <c r="B1028" s="15">
        <f t="shared" si="332"/>
        <v>1</v>
      </c>
      <c r="C1028" s="15">
        <f>B1028+Model!$B$4</f>
        <v>3</v>
      </c>
      <c r="D1028" s="15">
        <f t="shared" si="333"/>
        <v>1</v>
      </c>
      <c r="E1028" s="15">
        <f t="shared" si="313"/>
        <v>3</v>
      </c>
      <c r="F1028" s="16">
        <f>IF(AB1028&gt;0, VLOOKUP(B1028,Model!$A$40:$B$60, 2), 0)</f>
        <v>0</v>
      </c>
      <c r="G1028" s="15">
        <f>IF(AB1028&gt;0, VLOOKUP(B1028,Model!$A$39:$C$58, 3), 0)</f>
        <v>0</v>
      </c>
      <c r="H1028" s="15">
        <f t="shared" si="322"/>
        <v>0</v>
      </c>
      <c r="I1028" s="45">
        <f>Model!$B$21*EXP((-0.029*9.81*F1028)/(8.31*(273+J1028)))</f>
        <v>104500</v>
      </c>
      <c r="J1028" s="15">
        <f>IF(Model!$B$31="Summer",  IF(F1028&lt;=2000,  Model!$B$20-Model!$B$35*F1028/1000,  IF(F1028&lt;Model!$B$36,  Model!$B$33-6.5*F1028/1000,  Model!$B$38)),     IF(F1028&lt;=2000,  Model!$B$20-Model!$B$35*F1028/1000,  IF(F1028&lt;Model!$B$36,  Model!$B$33-5.4*F1028/1000,   Model!$B$38)))</f>
        <v>-20</v>
      </c>
      <c r="K1028" s="15">
        <f t="shared" si="318"/>
        <v>253</v>
      </c>
      <c r="L1028" s="45">
        <f>IF(AB1027-AA1027*(B1028-B1027)&gt;0, L1027-Y1027*(B1028-B1027)*3600-AD1028*Model!$B$16, 0)</f>
        <v>0</v>
      </c>
      <c r="M1028" s="56">
        <f t="shared" si="323"/>
        <v>0</v>
      </c>
      <c r="N1028" s="56">
        <f>Model!$B$13*I1028*K1028/(Model!$B$13*I1028-L1028*287*K1028)</f>
        <v>253</v>
      </c>
      <c r="O1028" s="56">
        <f t="shared" si="324"/>
        <v>253</v>
      </c>
      <c r="P1028" s="56">
        <f t="shared" si="325"/>
        <v>-10</v>
      </c>
      <c r="Q1028" s="62">
        <f t="shared" si="319"/>
        <v>2.2579999999999999E-2</v>
      </c>
      <c r="R1028" s="33">
        <f t="shared" si="320"/>
        <v>1.152E-5</v>
      </c>
      <c r="S1028" s="45">
        <f>0.37*Model!$B$10*(Q1028^2*(N1028-K1028)*I1028/(R1028*O1028^2))^0.33333*(N1028-K1028)</f>
        <v>0</v>
      </c>
      <c r="T1028" s="50">
        <f>Model!$B$32+(90-Model!$B$6)*SIN(RADIANS(-15*(E1028+6)))</f>
        <v>-31.619472402513487</v>
      </c>
      <c r="U1028" s="45">
        <f t="shared" si="326"/>
        <v>0</v>
      </c>
      <c r="V1028" s="50">
        <f t="shared" si="327"/>
        <v>99999</v>
      </c>
      <c r="W1028" s="45">
        <f t="shared" si="328"/>
        <v>0</v>
      </c>
      <c r="X1028" s="45">
        <f>0.3*W1028*Model!$B$9</f>
        <v>0</v>
      </c>
      <c r="Y1028" s="33">
        <f>(S1028-X1028)/Model!$B$11</f>
        <v>0</v>
      </c>
      <c r="Z1028" s="45" t="e">
        <f t="shared" si="329"/>
        <v>#DIV/0!</v>
      </c>
      <c r="AA1028" s="56">
        <f>Y1028/Model!$B$12*3600</f>
        <v>0</v>
      </c>
      <c r="AB1028" s="50">
        <f t="shared" si="334"/>
        <v>0</v>
      </c>
      <c r="AC1028" s="50">
        <f t="shared" si="321"/>
        <v>1800</v>
      </c>
      <c r="AD1028" s="15">
        <f>IF(AE1028=0, Model!$B$19, 0 )</f>
        <v>0</v>
      </c>
      <c r="AE1028" s="50">
        <f>IF(AE1027+AB1027-AB1028&lt;Model!$B$19*Model!$B$18, AE1027+AB1027-AB1028,  0)</f>
        <v>443.63457370611354</v>
      </c>
      <c r="AF1028" s="15">
        <f t="shared" si="330"/>
        <v>1</v>
      </c>
      <c r="AG1028" s="50">
        <f t="shared" si="331"/>
        <v>0</v>
      </c>
    </row>
    <row r="1029" spans="2:33" x14ac:dyDescent="0.25">
      <c r="B1029" s="13">
        <f t="shared" si="332"/>
        <v>1</v>
      </c>
      <c r="C1029" s="13">
        <f>B1029+Model!$B$4</f>
        <v>3</v>
      </c>
      <c r="D1029" s="13">
        <f t="shared" si="333"/>
        <v>1</v>
      </c>
      <c r="E1029" s="13">
        <f t="shared" si="313"/>
        <v>3</v>
      </c>
      <c r="F1029" s="14">
        <f>IF(AB1029&gt;0, VLOOKUP(B1029,Model!$A$40:$B$60, 2), 0)</f>
        <v>0</v>
      </c>
      <c r="G1029" s="13">
        <f>IF(AB1029&gt;0, VLOOKUP(B1029,Model!$A$39:$C$58, 3), 0)</f>
        <v>0</v>
      </c>
      <c r="H1029" s="13">
        <f t="shared" si="322"/>
        <v>0</v>
      </c>
      <c r="I1029" s="46">
        <f>Model!$B$21*EXP((-0.029*9.81*F1029)/(8.31*(273+J1029)))</f>
        <v>104500</v>
      </c>
      <c r="J1029" s="13">
        <f>IF(Model!$B$31="Summer",  IF(F1029&lt;=2000,  Model!$B$20-Model!$B$35*F1029/1000,  IF(F1029&lt;Model!$B$36,  Model!$B$33-6.5*F1029/1000,  Model!$B$38)),     IF(F1029&lt;=2000,  Model!$B$20-Model!$B$35*F1029/1000,  IF(F1029&lt;Model!$B$36,  Model!$B$33-5.4*F1029/1000,   Model!$B$38)))</f>
        <v>-20</v>
      </c>
      <c r="K1029" s="13">
        <f t="shared" si="318"/>
        <v>253</v>
      </c>
      <c r="L1029" s="46">
        <f>IF(AB1028-AA1028*(B1029-B1028)&gt;0, L1028-Y1028*(B1029-B1028)*3600-AD1029*Model!$B$16, 0)</f>
        <v>0</v>
      </c>
      <c r="M1029" s="57">
        <f t="shared" si="323"/>
        <v>0</v>
      </c>
      <c r="N1029" s="57">
        <f>Model!$B$13*I1029*K1029/(Model!$B$13*I1029-L1029*287*K1029)</f>
        <v>253</v>
      </c>
      <c r="O1029" s="57">
        <f t="shared" si="324"/>
        <v>253</v>
      </c>
      <c r="P1029" s="57">
        <f t="shared" si="325"/>
        <v>-10</v>
      </c>
      <c r="Q1029" s="63">
        <f t="shared" si="319"/>
        <v>2.2579999999999999E-2</v>
      </c>
      <c r="R1029" s="17">
        <f t="shared" si="320"/>
        <v>1.152E-5</v>
      </c>
      <c r="S1029" s="46">
        <f>0.37*Model!$B$10*(Q1029^2*(N1029-K1029)*I1029/(R1029*O1029^2))^0.33333*(N1029-K1029)</f>
        <v>0</v>
      </c>
      <c r="T1029" s="51">
        <f>Model!$B$32+(90-Model!$B$6)*SIN(RADIANS(-15*(E1029+6)))</f>
        <v>-31.619472402513487</v>
      </c>
      <c r="U1029" s="46">
        <f t="shared" si="326"/>
        <v>0</v>
      </c>
      <c r="V1029" s="51">
        <f t="shared" si="327"/>
        <v>99999</v>
      </c>
      <c r="W1029" s="46">
        <f t="shared" si="328"/>
        <v>0</v>
      </c>
      <c r="X1029" s="46">
        <f>0.3*W1029*Model!$B$9</f>
        <v>0</v>
      </c>
      <c r="Y1029" s="17">
        <f>(S1029-X1029)/Model!$B$11</f>
        <v>0</v>
      </c>
      <c r="Z1029" s="46" t="e">
        <f t="shared" si="329"/>
        <v>#DIV/0!</v>
      </c>
      <c r="AA1029" s="57">
        <f>Y1029/Model!$B$12*3600</f>
        <v>0</v>
      </c>
      <c r="AB1029" s="51">
        <f t="shared" si="334"/>
        <v>0</v>
      </c>
      <c r="AC1029" s="51">
        <f t="shared" si="321"/>
        <v>1800</v>
      </c>
      <c r="AD1029" s="13">
        <f>IF(AE1029=0, Model!$B$19, 0 )</f>
        <v>0</v>
      </c>
      <c r="AE1029" s="51">
        <f>IF(AE1028+AB1028-AB1029&lt;Model!$B$19*Model!$B$18, AE1028+AB1028-AB1029,  0)</f>
        <v>443.63457370611354</v>
      </c>
      <c r="AF1029" s="13">
        <f t="shared" si="330"/>
        <v>1</v>
      </c>
      <c r="AG1029" s="50">
        <f t="shared" si="331"/>
        <v>0</v>
      </c>
    </row>
    <row r="1030" spans="2:33" x14ac:dyDescent="0.25">
      <c r="B1030" s="15">
        <f t="shared" si="332"/>
        <v>1</v>
      </c>
      <c r="C1030" s="15">
        <f>B1030+Model!$B$4</f>
        <v>3</v>
      </c>
      <c r="D1030" s="15">
        <f t="shared" si="333"/>
        <v>1</v>
      </c>
      <c r="E1030" s="15">
        <f t="shared" si="313"/>
        <v>3</v>
      </c>
      <c r="F1030" s="16">
        <f>IF(AB1030&gt;0, VLOOKUP(B1030,Model!$A$40:$B$60, 2), 0)</f>
        <v>0</v>
      </c>
      <c r="G1030" s="15">
        <f>IF(AB1030&gt;0, VLOOKUP(B1030,Model!$A$39:$C$58, 3), 0)</f>
        <v>0</v>
      </c>
      <c r="H1030" s="15">
        <f t="shared" si="322"/>
        <v>0</v>
      </c>
      <c r="I1030" s="45">
        <f>Model!$B$21*EXP((-0.029*9.81*F1030)/(8.31*(273+J1030)))</f>
        <v>104500</v>
      </c>
      <c r="J1030" s="15">
        <f>IF(Model!$B$31="Summer",  IF(F1030&lt;=2000,  Model!$B$20-Model!$B$35*F1030/1000,  IF(F1030&lt;Model!$B$36,  Model!$B$33-6.5*F1030/1000,  Model!$B$38)),     IF(F1030&lt;=2000,  Model!$B$20-Model!$B$35*F1030/1000,  IF(F1030&lt;Model!$B$36,  Model!$B$33-5.4*F1030/1000,   Model!$B$38)))</f>
        <v>-20</v>
      </c>
      <c r="K1030" s="15">
        <f t="shared" si="318"/>
        <v>253</v>
      </c>
      <c r="L1030" s="45">
        <f>IF(AB1029-AA1029*(B1030-B1029)&gt;0, L1029-Y1029*(B1030-B1029)*3600-AD1030*Model!$B$16, 0)</f>
        <v>0</v>
      </c>
      <c r="M1030" s="56">
        <f t="shared" si="323"/>
        <v>0</v>
      </c>
      <c r="N1030" s="56">
        <f>Model!$B$13*I1030*K1030/(Model!$B$13*I1030-L1030*287*K1030)</f>
        <v>253</v>
      </c>
      <c r="O1030" s="56">
        <f t="shared" si="324"/>
        <v>253</v>
      </c>
      <c r="P1030" s="56">
        <f t="shared" si="325"/>
        <v>-10</v>
      </c>
      <c r="Q1030" s="62">
        <f t="shared" si="319"/>
        <v>2.2579999999999999E-2</v>
      </c>
      <c r="R1030" s="33">
        <f t="shared" si="320"/>
        <v>1.152E-5</v>
      </c>
      <c r="S1030" s="45">
        <f>0.37*Model!$B$10*(Q1030^2*(N1030-K1030)*I1030/(R1030*O1030^2))^0.33333*(N1030-K1030)</f>
        <v>0</v>
      </c>
      <c r="T1030" s="50">
        <f>Model!$B$32+(90-Model!$B$6)*SIN(RADIANS(-15*(E1030+6)))</f>
        <v>-31.619472402513487</v>
      </c>
      <c r="U1030" s="45">
        <f t="shared" si="326"/>
        <v>0</v>
      </c>
      <c r="V1030" s="50">
        <f t="shared" si="327"/>
        <v>99999</v>
      </c>
      <c r="W1030" s="45">
        <f t="shared" si="328"/>
        <v>0</v>
      </c>
      <c r="X1030" s="45">
        <f>0.3*W1030*Model!$B$9</f>
        <v>0</v>
      </c>
      <c r="Y1030" s="33">
        <f>(S1030-X1030)/Model!$B$11</f>
        <v>0</v>
      </c>
      <c r="Z1030" s="45" t="e">
        <f t="shared" si="329"/>
        <v>#DIV/0!</v>
      </c>
      <c r="AA1030" s="56">
        <f>Y1030/Model!$B$12*3600</f>
        <v>0</v>
      </c>
      <c r="AB1030" s="50">
        <f t="shared" si="334"/>
        <v>0</v>
      </c>
      <c r="AC1030" s="50">
        <f t="shared" si="321"/>
        <v>1800</v>
      </c>
      <c r="AD1030" s="15">
        <f>IF(AE1030=0, Model!$B$19, 0 )</f>
        <v>0</v>
      </c>
      <c r="AE1030" s="50">
        <f>IF(AE1029+AB1029-AB1030&lt;Model!$B$19*Model!$B$18, AE1029+AB1029-AB1030,  0)</f>
        <v>443.63457370611354</v>
      </c>
      <c r="AF1030" s="15">
        <f t="shared" si="330"/>
        <v>1</v>
      </c>
      <c r="AG1030" s="50">
        <f t="shared" si="331"/>
        <v>0</v>
      </c>
    </row>
    <row r="1031" spans="2:33" x14ac:dyDescent="0.25">
      <c r="B1031" s="13">
        <f t="shared" si="332"/>
        <v>1</v>
      </c>
      <c r="C1031" s="13">
        <f>B1031+Model!$B$4</f>
        <v>3</v>
      </c>
      <c r="D1031" s="13">
        <f t="shared" si="333"/>
        <v>1</v>
      </c>
      <c r="E1031" s="13">
        <f t="shared" si="313"/>
        <v>3</v>
      </c>
      <c r="F1031" s="14">
        <f>IF(AB1031&gt;0, VLOOKUP(B1031,Model!$A$40:$B$60, 2), 0)</f>
        <v>0</v>
      </c>
      <c r="G1031" s="13">
        <f>IF(AB1031&gt;0, VLOOKUP(B1031,Model!$A$39:$C$58, 3), 0)</f>
        <v>0</v>
      </c>
      <c r="H1031" s="13">
        <f t="shared" si="322"/>
        <v>0</v>
      </c>
      <c r="I1031" s="46">
        <f>Model!$B$21*EXP((-0.029*9.81*F1031)/(8.31*(273+J1031)))</f>
        <v>104500</v>
      </c>
      <c r="J1031" s="13">
        <f>IF(Model!$B$31="Summer",  IF(F1031&lt;=2000,  Model!$B$20-Model!$B$35*F1031/1000,  IF(F1031&lt;Model!$B$36,  Model!$B$33-6.5*F1031/1000,  Model!$B$38)),     IF(F1031&lt;=2000,  Model!$B$20-Model!$B$35*F1031/1000,  IF(F1031&lt;Model!$B$36,  Model!$B$33-5.4*F1031/1000,   Model!$B$38)))</f>
        <v>-20</v>
      </c>
      <c r="K1031" s="13">
        <f t="shared" si="318"/>
        <v>253</v>
      </c>
      <c r="L1031" s="46">
        <f>IF(AB1030-AA1030*(B1031-B1030)&gt;0, L1030-Y1030*(B1031-B1030)*3600-AD1031*Model!$B$16, 0)</f>
        <v>0</v>
      </c>
      <c r="M1031" s="57">
        <f t="shared" si="323"/>
        <v>0</v>
      </c>
      <c r="N1031" s="57">
        <f>Model!$B$13*I1031*K1031/(Model!$B$13*I1031-L1031*287*K1031)</f>
        <v>253</v>
      </c>
      <c r="O1031" s="57">
        <f t="shared" si="324"/>
        <v>253</v>
      </c>
      <c r="P1031" s="57">
        <f t="shared" si="325"/>
        <v>-10</v>
      </c>
      <c r="Q1031" s="63">
        <f t="shared" si="319"/>
        <v>2.2579999999999999E-2</v>
      </c>
      <c r="R1031" s="17">
        <f t="shared" si="320"/>
        <v>1.152E-5</v>
      </c>
      <c r="S1031" s="46">
        <f>0.37*Model!$B$10*(Q1031^2*(N1031-K1031)*I1031/(R1031*O1031^2))^0.33333*(N1031-K1031)</f>
        <v>0</v>
      </c>
      <c r="T1031" s="51">
        <f>Model!$B$32+(90-Model!$B$6)*SIN(RADIANS(-15*(E1031+6)))</f>
        <v>-31.619472402513487</v>
      </c>
      <c r="U1031" s="46">
        <f t="shared" si="326"/>
        <v>0</v>
      </c>
      <c r="V1031" s="51">
        <f t="shared" si="327"/>
        <v>99999</v>
      </c>
      <c r="W1031" s="46">
        <f t="shared" si="328"/>
        <v>0</v>
      </c>
      <c r="X1031" s="46">
        <f>0.3*W1031*Model!$B$9</f>
        <v>0</v>
      </c>
      <c r="Y1031" s="17">
        <f>(S1031-X1031)/Model!$B$11</f>
        <v>0</v>
      </c>
      <c r="Z1031" s="46" t="e">
        <f t="shared" si="329"/>
        <v>#DIV/0!</v>
      </c>
      <c r="AA1031" s="57">
        <f>Y1031/Model!$B$12*3600</f>
        <v>0</v>
      </c>
      <c r="AB1031" s="51">
        <f t="shared" si="334"/>
        <v>0</v>
      </c>
      <c r="AC1031" s="51">
        <f t="shared" si="321"/>
        <v>1800</v>
      </c>
      <c r="AD1031" s="13">
        <f>IF(AE1031=0, Model!$B$19, 0 )</f>
        <v>0</v>
      </c>
      <c r="AE1031" s="51">
        <f>IF(AE1030+AB1030-AB1031&lt;Model!$B$19*Model!$B$18, AE1030+AB1030-AB1031,  0)</f>
        <v>443.63457370611354</v>
      </c>
      <c r="AF1031" s="13">
        <f t="shared" si="330"/>
        <v>1</v>
      </c>
      <c r="AG1031" s="50">
        <f t="shared" si="331"/>
        <v>0</v>
      </c>
    </row>
    <row r="1032" spans="2:33" x14ac:dyDescent="0.25">
      <c r="B1032" s="15">
        <f t="shared" si="332"/>
        <v>1</v>
      </c>
      <c r="C1032" s="15">
        <f>B1032+Model!$B$4</f>
        <v>3</v>
      </c>
      <c r="D1032" s="15">
        <f t="shared" si="333"/>
        <v>1</v>
      </c>
      <c r="E1032" s="15">
        <f t="shared" si="313"/>
        <v>3</v>
      </c>
      <c r="F1032" s="16">
        <f>IF(AB1032&gt;0, VLOOKUP(B1032,Model!$A$40:$B$60, 2), 0)</f>
        <v>0</v>
      </c>
      <c r="G1032" s="15">
        <f>IF(AB1032&gt;0, VLOOKUP(B1032,Model!$A$39:$C$58, 3), 0)</f>
        <v>0</v>
      </c>
      <c r="H1032" s="15">
        <f t="shared" si="322"/>
        <v>0</v>
      </c>
      <c r="I1032" s="45">
        <f>Model!$B$21*EXP((-0.029*9.81*F1032)/(8.31*(273+J1032)))</f>
        <v>104500</v>
      </c>
      <c r="J1032" s="15">
        <f>IF(Model!$B$31="Summer",  IF(F1032&lt;=2000,  Model!$B$20-Model!$B$35*F1032/1000,  IF(F1032&lt;Model!$B$36,  Model!$B$33-6.5*F1032/1000,  Model!$B$38)),     IF(F1032&lt;=2000,  Model!$B$20-Model!$B$35*F1032/1000,  IF(F1032&lt;Model!$B$36,  Model!$B$33-5.4*F1032/1000,   Model!$B$38)))</f>
        <v>-20</v>
      </c>
      <c r="K1032" s="15">
        <f t="shared" si="318"/>
        <v>253</v>
      </c>
      <c r="L1032" s="45">
        <f>IF(AB1031-AA1031*(B1032-B1031)&gt;0, L1031-Y1031*(B1032-B1031)*3600-AD1032*Model!$B$16, 0)</f>
        <v>0</v>
      </c>
      <c r="M1032" s="56">
        <f t="shared" si="323"/>
        <v>0</v>
      </c>
      <c r="N1032" s="56">
        <f>Model!$B$13*I1032*K1032/(Model!$B$13*I1032-L1032*287*K1032)</f>
        <v>253</v>
      </c>
      <c r="O1032" s="56">
        <f t="shared" si="324"/>
        <v>253</v>
      </c>
      <c r="P1032" s="56">
        <f t="shared" si="325"/>
        <v>-10</v>
      </c>
      <c r="Q1032" s="62">
        <f t="shared" si="319"/>
        <v>2.2579999999999999E-2</v>
      </c>
      <c r="R1032" s="33">
        <f t="shared" si="320"/>
        <v>1.152E-5</v>
      </c>
      <c r="S1032" s="45">
        <f>0.37*Model!$B$10*(Q1032^2*(N1032-K1032)*I1032/(R1032*O1032^2))^0.33333*(N1032-K1032)</f>
        <v>0</v>
      </c>
      <c r="T1032" s="50">
        <f>Model!$B$32+(90-Model!$B$6)*SIN(RADIANS(-15*(E1032+6)))</f>
        <v>-31.619472402513487</v>
      </c>
      <c r="U1032" s="45">
        <f t="shared" si="326"/>
        <v>0</v>
      </c>
      <c r="V1032" s="50">
        <f t="shared" si="327"/>
        <v>99999</v>
      </c>
      <c r="W1032" s="45">
        <f t="shared" si="328"/>
        <v>0</v>
      </c>
      <c r="X1032" s="45">
        <f>0.3*W1032*Model!$B$9</f>
        <v>0</v>
      </c>
      <c r="Y1032" s="33">
        <f>(S1032-X1032)/Model!$B$11</f>
        <v>0</v>
      </c>
      <c r="Z1032" s="45" t="e">
        <f t="shared" si="329"/>
        <v>#DIV/0!</v>
      </c>
      <c r="AA1032" s="56">
        <f>Y1032/Model!$B$12*3600</f>
        <v>0</v>
      </c>
      <c r="AB1032" s="50">
        <f t="shared" si="334"/>
        <v>0</v>
      </c>
      <c r="AC1032" s="50">
        <f t="shared" si="321"/>
        <v>1800</v>
      </c>
      <c r="AD1032" s="15">
        <f>IF(AE1032=0, Model!$B$19, 0 )</f>
        <v>0</v>
      </c>
      <c r="AE1032" s="50">
        <f>IF(AE1031+AB1031-AB1032&lt;Model!$B$19*Model!$B$18, AE1031+AB1031-AB1032,  0)</f>
        <v>443.63457370611354</v>
      </c>
      <c r="AF1032" s="15">
        <f t="shared" si="330"/>
        <v>1</v>
      </c>
      <c r="AG1032" s="50">
        <f t="shared" si="331"/>
        <v>0</v>
      </c>
    </row>
    <row r="1033" spans="2:33" x14ac:dyDescent="0.25">
      <c r="B1033" s="13">
        <f t="shared" si="332"/>
        <v>1</v>
      </c>
      <c r="C1033" s="13">
        <f>B1033+Model!$B$4</f>
        <v>3</v>
      </c>
      <c r="D1033" s="13">
        <f t="shared" si="333"/>
        <v>1</v>
      </c>
      <c r="E1033" s="13">
        <f t="shared" si="313"/>
        <v>3</v>
      </c>
      <c r="F1033" s="14">
        <f>IF(AB1033&gt;0, VLOOKUP(B1033,Model!$A$40:$B$60, 2), 0)</f>
        <v>0</v>
      </c>
      <c r="G1033" s="13">
        <f>IF(AB1033&gt;0, VLOOKUP(B1033,Model!$A$39:$C$58, 3), 0)</f>
        <v>0</v>
      </c>
      <c r="H1033" s="13">
        <f t="shared" si="322"/>
        <v>0</v>
      </c>
      <c r="I1033" s="46">
        <f>Model!$B$21*EXP((-0.029*9.81*F1033)/(8.31*(273+J1033)))</f>
        <v>104500</v>
      </c>
      <c r="J1033" s="13">
        <f>IF(Model!$B$31="Summer",  IF(F1033&lt;=2000,  Model!$B$20-Model!$B$35*F1033/1000,  IF(F1033&lt;Model!$B$36,  Model!$B$33-6.5*F1033/1000,  Model!$B$38)),     IF(F1033&lt;=2000,  Model!$B$20-Model!$B$35*F1033/1000,  IF(F1033&lt;Model!$B$36,  Model!$B$33-5.4*F1033/1000,   Model!$B$38)))</f>
        <v>-20</v>
      </c>
      <c r="K1033" s="13">
        <f t="shared" si="318"/>
        <v>253</v>
      </c>
      <c r="L1033" s="46">
        <f>IF(AB1032-AA1032*(B1033-B1032)&gt;0, L1032-Y1032*(B1033-B1032)*3600-AD1033*Model!$B$16, 0)</f>
        <v>0</v>
      </c>
      <c r="M1033" s="57">
        <f t="shared" si="323"/>
        <v>0</v>
      </c>
      <c r="N1033" s="57">
        <f>Model!$B$13*I1033*K1033/(Model!$B$13*I1033-L1033*287*K1033)</f>
        <v>253</v>
      </c>
      <c r="O1033" s="57">
        <f t="shared" si="324"/>
        <v>253</v>
      </c>
      <c r="P1033" s="57">
        <f t="shared" si="325"/>
        <v>-10</v>
      </c>
      <c r="Q1033" s="63">
        <f t="shared" si="319"/>
        <v>2.2579999999999999E-2</v>
      </c>
      <c r="R1033" s="17">
        <f t="shared" si="320"/>
        <v>1.152E-5</v>
      </c>
      <c r="S1033" s="46">
        <f>0.37*Model!$B$10*(Q1033^2*(N1033-K1033)*I1033/(R1033*O1033^2))^0.33333*(N1033-K1033)</f>
        <v>0</v>
      </c>
      <c r="T1033" s="51">
        <f>Model!$B$32+(90-Model!$B$6)*SIN(RADIANS(-15*(E1033+6)))</f>
        <v>-31.619472402513487</v>
      </c>
      <c r="U1033" s="46">
        <f t="shared" si="326"/>
        <v>0</v>
      </c>
      <c r="V1033" s="51">
        <f t="shared" si="327"/>
        <v>99999</v>
      </c>
      <c r="W1033" s="46">
        <f t="shared" si="328"/>
        <v>0</v>
      </c>
      <c r="X1033" s="46">
        <f>0.3*W1033*Model!$B$9</f>
        <v>0</v>
      </c>
      <c r="Y1033" s="17">
        <f>(S1033-X1033)/Model!$B$11</f>
        <v>0</v>
      </c>
      <c r="Z1033" s="46" t="e">
        <f t="shared" si="329"/>
        <v>#DIV/0!</v>
      </c>
      <c r="AA1033" s="57">
        <f>Y1033/Model!$B$12*3600</f>
        <v>0</v>
      </c>
      <c r="AB1033" s="51">
        <f t="shared" si="334"/>
        <v>0</v>
      </c>
      <c r="AC1033" s="51">
        <f t="shared" si="321"/>
        <v>1800</v>
      </c>
      <c r="AD1033" s="13">
        <f>IF(AE1033=0, Model!$B$19, 0 )</f>
        <v>0</v>
      </c>
      <c r="AE1033" s="51">
        <f>IF(AE1032+AB1032-AB1033&lt;Model!$B$19*Model!$B$18, AE1032+AB1032-AB1033,  0)</f>
        <v>443.63457370611354</v>
      </c>
      <c r="AF1033" s="13">
        <f t="shared" si="330"/>
        <v>1</v>
      </c>
      <c r="AG1033" s="50">
        <f t="shared" si="331"/>
        <v>0</v>
      </c>
    </row>
    <row r="1034" spans="2:33" x14ac:dyDescent="0.25">
      <c r="B1034" s="15">
        <f t="shared" si="332"/>
        <v>1</v>
      </c>
      <c r="C1034" s="15">
        <f>B1034+Model!$B$4</f>
        <v>3</v>
      </c>
      <c r="D1034" s="15">
        <f t="shared" si="333"/>
        <v>1</v>
      </c>
      <c r="E1034" s="15">
        <f t="shared" si="313"/>
        <v>3</v>
      </c>
      <c r="F1034" s="16">
        <f>IF(AB1034&gt;0, VLOOKUP(B1034,Model!$A$40:$B$60, 2), 0)</f>
        <v>0</v>
      </c>
      <c r="G1034" s="15">
        <f>IF(AB1034&gt;0, VLOOKUP(B1034,Model!$A$39:$C$58, 3), 0)</f>
        <v>0</v>
      </c>
      <c r="H1034" s="15">
        <f t="shared" si="322"/>
        <v>0</v>
      </c>
      <c r="I1034" s="45">
        <f>Model!$B$21*EXP((-0.029*9.81*F1034)/(8.31*(273+J1034)))</f>
        <v>104500</v>
      </c>
      <c r="J1034" s="15">
        <f>IF(Model!$B$31="Summer",  IF(F1034&lt;=2000,  Model!$B$20-Model!$B$35*F1034/1000,  IF(F1034&lt;Model!$B$36,  Model!$B$33-6.5*F1034/1000,  Model!$B$38)),     IF(F1034&lt;=2000,  Model!$B$20-Model!$B$35*F1034/1000,  IF(F1034&lt;Model!$B$36,  Model!$B$33-5.4*F1034/1000,   Model!$B$38)))</f>
        <v>-20</v>
      </c>
      <c r="K1034" s="15">
        <f t="shared" si="318"/>
        <v>253</v>
      </c>
      <c r="L1034" s="45">
        <f>IF(AB1033-AA1033*(B1034-B1033)&gt;0, L1033-Y1033*(B1034-B1033)*3600-AD1034*Model!$B$16, 0)</f>
        <v>0</v>
      </c>
      <c r="M1034" s="56">
        <f t="shared" si="323"/>
        <v>0</v>
      </c>
      <c r="N1034" s="56">
        <f>Model!$B$13*I1034*K1034/(Model!$B$13*I1034-L1034*287*K1034)</f>
        <v>253</v>
      </c>
      <c r="O1034" s="56">
        <f t="shared" si="324"/>
        <v>253</v>
      </c>
      <c r="P1034" s="56">
        <f t="shared" si="325"/>
        <v>-10</v>
      </c>
      <c r="Q1034" s="62">
        <f t="shared" si="319"/>
        <v>2.2579999999999999E-2</v>
      </c>
      <c r="R1034" s="33">
        <f t="shared" si="320"/>
        <v>1.152E-5</v>
      </c>
      <c r="S1034" s="45">
        <f>0.37*Model!$B$10*(Q1034^2*(N1034-K1034)*I1034/(R1034*O1034^2))^0.33333*(N1034-K1034)</f>
        <v>0</v>
      </c>
      <c r="T1034" s="50">
        <f>Model!$B$32+(90-Model!$B$6)*SIN(RADIANS(-15*(E1034+6)))</f>
        <v>-31.619472402513487</v>
      </c>
      <c r="U1034" s="45">
        <f t="shared" si="326"/>
        <v>0</v>
      </c>
      <c r="V1034" s="50">
        <f t="shared" si="327"/>
        <v>99999</v>
      </c>
      <c r="W1034" s="45">
        <f t="shared" si="328"/>
        <v>0</v>
      </c>
      <c r="X1034" s="45">
        <f>0.3*W1034*Model!$B$9</f>
        <v>0</v>
      </c>
      <c r="Y1034" s="33">
        <f>(S1034-X1034)/Model!$B$11</f>
        <v>0</v>
      </c>
      <c r="Z1034" s="45" t="e">
        <f t="shared" si="329"/>
        <v>#DIV/0!</v>
      </c>
      <c r="AA1034" s="56">
        <f>Y1034/Model!$B$12*3600</f>
        <v>0</v>
      </c>
      <c r="AB1034" s="50">
        <f t="shared" si="334"/>
        <v>0</v>
      </c>
      <c r="AC1034" s="50">
        <f t="shared" si="321"/>
        <v>1800</v>
      </c>
      <c r="AD1034" s="15">
        <f>IF(AE1034=0, Model!$B$19, 0 )</f>
        <v>0</v>
      </c>
      <c r="AE1034" s="50">
        <f>IF(AE1033+AB1033-AB1034&lt;Model!$B$19*Model!$B$18, AE1033+AB1033-AB1034,  0)</f>
        <v>443.63457370611354</v>
      </c>
      <c r="AF1034" s="15">
        <f t="shared" si="330"/>
        <v>1</v>
      </c>
      <c r="AG1034" s="50">
        <f t="shared" si="331"/>
        <v>0</v>
      </c>
    </row>
    <row r="1035" spans="2:33" x14ac:dyDescent="0.25">
      <c r="B1035" s="13">
        <f t="shared" si="332"/>
        <v>1</v>
      </c>
      <c r="C1035" s="13">
        <f>B1035+Model!$B$4</f>
        <v>3</v>
      </c>
      <c r="D1035" s="13">
        <f t="shared" si="333"/>
        <v>1</v>
      </c>
      <c r="E1035" s="13">
        <f t="shared" si="313"/>
        <v>3</v>
      </c>
      <c r="F1035" s="14">
        <f>IF(AB1035&gt;0, VLOOKUP(B1035,Model!$A$40:$B$60, 2), 0)</f>
        <v>0</v>
      </c>
      <c r="G1035" s="13">
        <f>IF(AB1035&gt;0, VLOOKUP(B1035,Model!$A$39:$C$58, 3), 0)</f>
        <v>0</v>
      </c>
      <c r="H1035" s="13">
        <f t="shared" si="322"/>
        <v>0</v>
      </c>
      <c r="I1035" s="46">
        <f>Model!$B$21*EXP((-0.029*9.81*F1035)/(8.31*(273+J1035)))</f>
        <v>104500</v>
      </c>
      <c r="J1035" s="13">
        <f>IF(Model!$B$31="Summer",  IF(F1035&lt;=2000,  Model!$B$20-Model!$B$35*F1035/1000,  IF(F1035&lt;Model!$B$36,  Model!$B$33-6.5*F1035/1000,  Model!$B$38)),     IF(F1035&lt;=2000,  Model!$B$20-Model!$B$35*F1035/1000,  IF(F1035&lt;Model!$B$36,  Model!$B$33-5.4*F1035/1000,   Model!$B$38)))</f>
        <v>-20</v>
      </c>
      <c r="K1035" s="13">
        <f t="shared" si="318"/>
        <v>253</v>
      </c>
      <c r="L1035" s="46">
        <f>IF(AB1034-AA1034*(B1035-B1034)&gt;0, L1034-Y1034*(B1035-B1034)*3600-AD1035*Model!$B$16, 0)</f>
        <v>0</v>
      </c>
      <c r="M1035" s="57">
        <f t="shared" si="323"/>
        <v>0</v>
      </c>
      <c r="N1035" s="57">
        <f>Model!$B$13*I1035*K1035/(Model!$B$13*I1035-L1035*287*K1035)</f>
        <v>253</v>
      </c>
      <c r="O1035" s="57">
        <f t="shared" si="324"/>
        <v>253</v>
      </c>
      <c r="P1035" s="57">
        <f t="shared" si="325"/>
        <v>-10</v>
      </c>
      <c r="Q1035" s="63">
        <f t="shared" si="319"/>
        <v>2.2579999999999999E-2</v>
      </c>
      <c r="R1035" s="17">
        <f t="shared" si="320"/>
        <v>1.152E-5</v>
      </c>
      <c r="S1035" s="46">
        <f>0.37*Model!$B$10*(Q1035^2*(N1035-K1035)*I1035/(R1035*O1035^2))^0.33333*(N1035-K1035)</f>
        <v>0</v>
      </c>
      <c r="T1035" s="51">
        <f>Model!$B$32+(90-Model!$B$6)*SIN(RADIANS(-15*(E1035+6)))</f>
        <v>-31.619472402513487</v>
      </c>
      <c r="U1035" s="46">
        <f t="shared" si="326"/>
        <v>0</v>
      </c>
      <c r="V1035" s="51">
        <f t="shared" si="327"/>
        <v>99999</v>
      </c>
      <c r="W1035" s="46">
        <f t="shared" si="328"/>
        <v>0</v>
      </c>
      <c r="X1035" s="46">
        <f>0.3*W1035*Model!$B$9</f>
        <v>0</v>
      </c>
      <c r="Y1035" s="17">
        <f>(S1035-X1035)/Model!$B$11</f>
        <v>0</v>
      </c>
      <c r="Z1035" s="46" t="e">
        <f t="shared" si="329"/>
        <v>#DIV/0!</v>
      </c>
      <c r="AA1035" s="57">
        <f>Y1035/Model!$B$12*3600</f>
        <v>0</v>
      </c>
      <c r="AB1035" s="51">
        <f t="shared" si="334"/>
        <v>0</v>
      </c>
      <c r="AC1035" s="51">
        <f t="shared" si="321"/>
        <v>1800</v>
      </c>
      <c r="AD1035" s="13">
        <f>IF(AE1035=0, Model!$B$19, 0 )</f>
        <v>0</v>
      </c>
      <c r="AE1035" s="51">
        <f>IF(AE1034+AB1034-AB1035&lt;Model!$B$19*Model!$B$18, AE1034+AB1034-AB1035,  0)</f>
        <v>443.63457370611354</v>
      </c>
      <c r="AF1035" s="13">
        <f t="shared" si="330"/>
        <v>1</v>
      </c>
      <c r="AG1035" s="50">
        <f t="shared" si="331"/>
        <v>0</v>
      </c>
    </row>
    <row r="1036" spans="2:33" x14ac:dyDescent="0.25">
      <c r="B1036" s="15">
        <f t="shared" si="332"/>
        <v>1</v>
      </c>
      <c r="C1036" s="15">
        <f>B1036+Model!$B$4</f>
        <v>3</v>
      </c>
      <c r="D1036" s="15">
        <f t="shared" si="333"/>
        <v>1</v>
      </c>
      <c r="E1036" s="15">
        <f t="shared" si="313"/>
        <v>3</v>
      </c>
      <c r="F1036" s="16">
        <f>IF(AB1036&gt;0, VLOOKUP(B1036,Model!$A$40:$B$60, 2), 0)</f>
        <v>0</v>
      </c>
      <c r="G1036" s="15">
        <f>IF(AB1036&gt;0, VLOOKUP(B1036,Model!$A$39:$C$58, 3), 0)</f>
        <v>0</v>
      </c>
      <c r="H1036" s="15">
        <f t="shared" si="322"/>
        <v>0</v>
      </c>
      <c r="I1036" s="45">
        <f>Model!$B$21*EXP((-0.029*9.81*F1036)/(8.31*(273+J1036)))</f>
        <v>104500</v>
      </c>
      <c r="J1036" s="15">
        <f>IF(Model!$B$31="Summer",  IF(F1036&lt;=2000,  Model!$B$20-Model!$B$35*F1036/1000,  IF(F1036&lt;Model!$B$36,  Model!$B$33-6.5*F1036/1000,  Model!$B$38)),     IF(F1036&lt;=2000,  Model!$B$20-Model!$B$35*F1036/1000,  IF(F1036&lt;Model!$B$36,  Model!$B$33-5.4*F1036/1000,   Model!$B$38)))</f>
        <v>-20</v>
      </c>
      <c r="K1036" s="15">
        <f t="shared" si="318"/>
        <v>253</v>
      </c>
      <c r="L1036" s="45">
        <f>IF(AB1035-AA1035*(B1036-B1035)&gt;0, L1035-Y1035*(B1036-B1035)*3600-AD1036*Model!$B$16, 0)</f>
        <v>0</v>
      </c>
      <c r="M1036" s="56">
        <f t="shared" si="323"/>
        <v>0</v>
      </c>
      <c r="N1036" s="56">
        <f>Model!$B$13*I1036*K1036/(Model!$B$13*I1036-L1036*287*K1036)</f>
        <v>253</v>
      </c>
      <c r="O1036" s="56">
        <f t="shared" si="324"/>
        <v>253</v>
      </c>
      <c r="P1036" s="56">
        <f t="shared" si="325"/>
        <v>-10</v>
      </c>
      <c r="Q1036" s="62">
        <f t="shared" si="319"/>
        <v>2.2579999999999999E-2</v>
      </c>
      <c r="R1036" s="33">
        <f t="shared" si="320"/>
        <v>1.152E-5</v>
      </c>
      <c r="S1036" s="45">
        <f>0.37*Model!$B$10*(Q1036^2*(N1036-K1036)*I1036/(R1036*O1036^2))^0.33333*(N1036-K1036)</f>
        <v>0</v>
      </c>
      <c r="T1036" s="50">
        <f>Model!$B$32+(90-Model!$B$6)*SIN(RADIANS(-15*(E1036+6)))</f>
        <v>-31.619472402513487</v>
      </c>
      <c r="U1036" s="45">
        <f t="shared" si="326"/>
        <v>0</v>
      </c>
      <c r="V1036" s="50">
        <f t="shared" si="327"/>
        <v>99999</v>
      </c>
      <c r="W1036" s="45">
        <f t="shared" si="328"/>
        <v>0</v>
      </c>
      <c r="X1036" s="45">
        <f>0.3*W1036*Model!$B$9</f>
        <v>0</v>
      </c>
      <c r="Y1036" s="33">
        <f>(S1036-X1036)/Model!$B$11</f>
        <v>0</v>
      </c>
      <c r="Z1036" s="45" t="e">
        <f t="shared" si="329"/>
        <v>#DIV/0!</v>
      </c>
      <c r="AA1036" s="56">
        <f>Y1036/Model!$B$12*3600</f>
        <v>0</v>
      </c>
      <c r="AB1036" s="50">
        <f t="shared" si="334"/>
        <v>0</v>
      </c>
      <c r="AC1036" s="50">
        <f t="shared" si="321"/>
        <v>1800</v>
      </c>
      <c r="AD1036" s="15">
        <f>IF(AE1036=0, Model!$B$19, 0 )</f>
        <v>0</v>
      </c>
      <c r="AE1036" s="50">
        <f>IF(AE1035+AB1035-AB1036&lt;Model!$B$19*Model!$B$18, AE1035+AB1035-AB1036,  0)</f>
        <v>443.63457370611354</v>
      </c>
      <c r="AF1036" s="15">
        <f t="shared" si="330"/>
        <v>1</v>
      </c>
      <c r="AG1036" s="50">
        <f t="shared" si="331"/>
        <v>0</v>
      </c>
    </row>
    <row r="1037" spans="2:33" x14ac:dyDescent="0.25">
      <c r="B1037" s="13">
        <f t="shared" si="332"/>
        <v>1</v>
      </c>
      <c r="C1037" s="13">
        <f>B1037+Model!$B$4</f>
        <v>3</v>
      </c>
      <c r="D1037" s="13">
        <f t="shared" si="333"/>
        <v>1</v>
      </c>
      <c r="E1037" s="13">
        <f t="shared" si="313"/>
        <v>3</v>
      </c>
      <c r="F1037" s="14">
        <f>IF(AB1037&gt;0, VLOOKUP(B1037,Model!$A$40:$B$60, 2), 0)</f>
        <v>0</v>
      </c>
      <c r="G1037" s="13">
        <f>IF(AB1037&gt;0, VLOOKUP(B1037,Model!$A$39:$C$58, 3), 0)</f>
        <v>0</v>
      </c>
      <c r="H1037" s="13">
        <f t="shared" si="322"/>
        <v>0</v>
      </c>
      <c r="I1037" s="46">
        <f>Model!$B$21*EXP((-0.029*9.81*F1037)/(8.31*(273+J1037)))</f>
        <v>104500</v>
      </c>
      <c r="J1037" s="13">
        <f>IF(Model!$B$31="Summer",  IF(F1037&lt;=2000,  Model!$B$20-Model!$B$35*F1037/1000,  IF(F1037&lt;Model!$B$36,  Model!$B$33-6.5*F1037/1000,  Model!$B$38)),     IF(F1037&lt;=2000,  Model!$B$20-Model!$B$35*F1037/1000,  IF(F1037&lt;Model!$B$36,  Model!$B$33-5.4*F1037/1000,   Model!$B$38)))</f>
        <v>-20</v>
      </c>
      <c r="K1037" s="13">
        <f t="shared" si="318"/>
        <v>253</v>
      </c>
      <c r="L1037" s="46">
        <f>IF(AB1036-AA1036*(B1037-B1036)&gt;0, L1036-Y1036*(B1037-B1036)*3600-AD1037*Model!$B$16, 0)</f>
        <v>0</v>
      </c>
      <c r="M1037" s="57">
        <f t="shared" si="323"/>
        <v>0</v>
      </c>
      <c r="N1037" s="57">
        <f>Model!$B$13*I1037*K1037/(Model!$B$13*I1037-L1037*287*K1037)</f>
        <v>253</v>
      </c>
      <c r="O1037" s="57">
        <f t="shared" si="324"/>
        <v>253</v>
      </c>
      <c r="P1037" s="57">
        <f t="shared" si="325"/>
        <v>-10</v>
      </c>
      <c r="Q1037" s="63">
        <f t="shared" si="319"/>
        <v>2.2579999999999999E-2</v>
      </c>
      <c r="R1037" s="17">
        <f t="shared" si="320"/>
        <v>1.152E-5</v>
      </c>
      <c r="S1037" s="46">
        <f>0.37*Model!$B$10*(Q1037^2*(N1037-K1037)*I1037/(R1037*O1037^2))^0.33333*(N1037-K1037)</f>
        <v>0</v>
      </c>
      <c r="T1037" s="51">
        <f>Model!$B$32+(90-Model!$B$6)*SIN(RADIANS(-15*(E1037+6)))</f>
        <v>-31.619472402513487</v>
      </c>
      <c r="U1037" s="46">
        <f t="shared" si="326"/>
        <v>0</v>
      </c>
      <c r="V1037" s="51">
        <f t="shared" si="327"/>
        <v>99999</v>
      </c>
      <c r="W1037" s="46">
        <f t="shared" si="328"/>
        <v>0</v>
      </c>
      <c r="X1037" s="46">
        <f>0.3*W1037*Model!$B$9</f>
        <v>0</v>
      </c>
      <c r="Y1037" s="17">
        <f>(S1037-X1037)/Model!$B$11</f>
        <v>0</v>
      </c>
      <c r="Z1037" s="46" t="e">
        <f t="shared" si="329"/>
        <v>#DIV/0!</v>
      </c>
      <c r="AA1037" s="57">
        <f>Y1037/Model!$B$12*3600</f>
        <v>0</v>
      </c>
      <c r="AB1037" s="51">
        <f t="shared" si="334"/>
        <v>0</v>
      </c>
      <c r="AC1037" s="51">
        <f t="shared" si="321"/>
        <v>1800</v>
      </c>
      <c r="AD1037" s="13">
        <f>IF(AE1037=0, Model!$B$19, 0 )</f>
        <v>0</v>
      </c>
      <c r="AE1037" s="51">
        <f>IF(AE1036+AB1036-AB1037&lt;Model!$B$19*Model!$B$18, AE1036+AB1036-AB1037,  0)</f>
        <v>443.63457370611354</v>
      </c>
      <c r="AF1037" s="13">
        <f t="shared" si="330"/>
        <v>1</v>
      </c>
      <c r="AG1037" s="50">
        <f t="shared" si="331"/>
        <v>0</v>
      </c>
    </row>
    <row r="1038" spans="2:33" x14ac:dyDescent="0.25">
      <c r="B1038" s="15">
        <f t="shared" si="332"/>
        <v>1</v>
      </c>
      <c r="C1038" s="15">
        <f>B1038+Model!$B$4</f>
        <v>3</v>
      </c>
      <c r="D1038" s="15">
        <f t="shared" si="333"/>
        <v>1</v>
      </c>
      <c r="E1038" s="15">
        <f t="shared" si="313"/>
        <v>3</v>
      </c>
      <c r="F1038" s="16">
        <f>IF(AB1038&gt;0, VLOOKUP(B1038,Model!$A$40:$B$60, 2), 0)</f>
        <v>0</v>
      </c>
      <c r="G1038" s="15">
        <f>IF(AB1038&gt;0, VLOOKUP(B1038,Model!$A$39:$C$58, 3), 0)</f>
        <v>0</v>
      </c>
      <c r="H1038" s="15">
        <f t="shared" si="322"/>
        <v>0</v>
      </c>
      <c r="I1038" s="45">
        <f>Model!$B$21*EXP((-0.029*9.81*F1038)/(8.31*(273+J1038)))</f>
        <v>104500</v>
      </c>
      <c r="J1038" s="15">
        <f>IF(Model!$B$31="Summer",  IF(F1038&lt;=2000,  Model!$B$20-Model!$B$35*F1038/1000,  IF(F1038&lt;Model!$B$36,  Model!$B$33-6.5*F1038/1000,  Model!$B$38)),     IF(F1038&lt;=2000,  Model!$B$20-Model!$B$35*F1038/1000,  IF(F1038&lt;Model!$B$36,  Model!$B$33-5.4*F1038/1000,   Model!$B$38)))</f>
        <v>-20</v>
      </c>
      <c r="K1038" s="15">
        <f t="shared" si="318"/>
        <v>253</v>
      </c>
      <c r="L1038" s="45">
        <f>IF(AB1037-AA1037*(B1038-B1037)&gt;0, L1037-Y1037*(B1038-B1037)*3600-AD1038*Model!$B$16, 0)</f>
        <v>0</v>
      </c>
      <c r="M1038" s="56">
        <f t="shared" si="323"/>
        <v>0</v>
      </c>
      <c r="N1038" s="56">
        <f>Model!$B$13*I1038*K1038/(Model!$B$13*I1038-L1038*287*K1038)</f>
        <v>253</v>
      </c>
      <c r="O1038" s="56">
        <f t="shared" si="324"/>
        <v>253</v>
      </c>
      <c r="P1038" s="56">
        <f t="shared" si="325"/>
        <v>-10</v>
      </c>
      <c r="Q1038" s="62">
        <f t="shared" si="319"/>
        <v>2.2579999999999999E-2</v>
      </c>
      <c r="R1038" s="33">
        <f t="shared" si="320"/>
        <v>1.152E-5</v>
      </c>
      <c r="S1038" s="45">
        <f>0.37*Model!$B$10*(Q1038^2*(N1038-K1038)*I1038/(R1038*O1038^2))^0.33333*(N1038-K1038)</f>
        <v>0</v>
      </c>
      <c r="T1038" s="50">
        <f>Model!$B$32+(90-Model!$B$6)*SIN(RADIANS(-15*(E1038+6)))</f>
        <v>-31.619472402513487</v>
      </c>
      <c r="U1038" s="45">
        <f t="shared" si="326"/>
        <v>0</v>
      </c>
      <c r="V1038" s="50">
        <f t="shared" si="327"/>
        <v>99999</v>
      </c>
      <c r="W1038" s="45">
        <f t="shared" si="328"/>
        <v>0</v>
      </c>
      <c r="X1038" s="45">
        <f>0.3*W1038*Model!$B$9</f>
        <v>0</v>
      </c>
      <c r="Y1038" s="33">
        <f>(S1038-X1038)/Model!$B$11</f>
        <v>0</v>
      </c>
      <c r="Z1038" s="45" t="e">
        <f t="shared" si="329"/>
        <v>#DIV/0!</v>
      </c>
      <c r="AA1038" s="56">
        <f>Y1038/Model!$B$12*3600</f>
        <v>0</v>
      </c>
      <c r="AB1038" s="50">
        <f t="shared" si="334"/>
        <v>0</v>
      </c>
      <c r="AC1038" s="50">
        <f t="shared" si="321"/>
        <v>1800</v>
      </c>
      <c r="AD1038" s="15">
        <f>IF(AE1038=0, Model!$B$19, 0 )</f>
        <v>0</v>
      </c>
      <c r="AE1038" s="50">
        <f>IF(AE1037+AB1037-AB1038&lt;Model!$B$19*Model!$B$18, AE1037+AB1037-AB1038,  0)</f>
        <v>443.63457370611354</v>
      </c>
      <c r="AF1038" s="15">
        <f t="shared" si="330"/>
        <v>1</v>
      </c>
      <c r="AG1038" s="50">
        <f t="shared" si="331"/>
        <v>0</v>
      </c>
    </row>
    <row r="1039" spans="2:33" x14ac:dyDescent="0.25">
      <c r="B1039" s="13">
        <f t="shared" si="332"/>
        <v>1</v>
      </c>
      <c r="C1039" s="13">
        <f>B1039+Model!$B$4</f>
        <v>3</v>
      </c>
      <c r="D1039" s="13">
        <f t="shared" si="333"/>
        <v>1</v>
      </c>
      <c r="E1039" s="13">
        <f t="shared" si="313"/>
        <v>3</v>
      </c>
      <c r="F1039" s="14">
        <f>IF(AB1039&gt;0, VLOOKUP(B1039,Model!$A$40:$B$60, 2), 0)</f>
        <v>0</v>
      </c>
      <c r="G1039" s="13">
        <f>IF(AB1039&gt;0, VLOOKUP(B1039,Model!$A$39:$C$58, 3), 0)</f>
        <v>0</v>
      </c>
      <c r="H1039" s="13">
        <f t="shared" si="322"/>
        <v>0</v>
      </c>
      <c r="I1039" s="46">
        <f>Model!$B$21*EXP((-0.029*9.81*F1039)/(8.31*(273+J1039)))</f>
        <v>104500</v>
      </c>
      <c r="J1039" s="13">
        <f>IF(Model!$B$31="Summer",  IF(F1039&lt;=2000,  Model!$B$20-Model!$B$35*F1039/1000,  IF(F1039&lt;Model!$B$36,  Model!$B$33-6.5*F1039/1000,  Model!$B$38)),     IF(F1039&lt;=2000,  Model!$B$20-Model!$B$35*F1039/1000,  IF(F1039&lt;Model!$B$36,  Model!$B$33-5.4*F1039/1000,   Model!$B$38)))</f>
        <v>-20</v>
      </c>
      <c r="K1039" s="13">
        <f t="shared" si="318"/>
        <v>253</v>
      </c>
      <c r="L1039" s="46">
        <f>IF(AB1038-AA1038*(B1039-B1038)&gt;0, L1038-Y1038*(B1039-B1038)*3600-AD1039*Model!$B$16, 0)</f>
        <v>0</v>
      </c>
      <c r="M1039" s="57">
        <f t="shared" si="323"/>
        <v>0</v>
      </c>
      <c r="N1039" s="57">
        <f>Model!$B$13*I1039*K1039/(Model!$B$13*I1039-L1039*287*K1039)</f>
        <v>253</v>
      </c>
      <c r="O1039" s="57">
        <f t="shared" si="324"/>
        <v>253</v>
      </c>
      <c r="P1039" s="57">
        <f t="shared" si="325"/>
        <v>-10</v>
      </c>
      <c r="Q1039" s="63">
        <f t="shared" si="319"/>
        <v>2.2579999999999999E-2</v>
      </c>
      <c r="R1039" s="17">
        <f t="shared" si="320"/>
        <v>1.152E-5</v>
      </c>
      <c r="S1039" s="46">
        <f>0.37*Model!$B$10*(Q1039^2*(N1039-K1039)*I1039/(R1039*O1039^2))^0.33333*(N1039-K1039)</f>
        <v>0</v>
      </c>
      <c r="T1039" s="51">
        <f>Model!$B$32+(90-Model!$B$6)*SIN(RADIANS(-15*(E1039+6)))</f>
        <v>-31.619472402513487</v>
      </c>
      <c r="U1039" s="46">
        <f t="shared" si="326"/>
        <v>0</v>
      </c>
      <c r="V1039" s="51">
        <f t="shared" si="327"/>
        <v>99999</v>
      </c>
      <c r="W1039" s="46">
        <f t="shared" si="328"/>
        <v>0</v>
      </c>
      <c r="X1039" s="46">
        <f>0.3*W1039*Model!$B$9</f>
        <v>0</v>
      </c>
      <c r="Y1039" s="17">
        <f>(S1039-X1039)/Model!$B$11</f>
        <v>0</v>
      </c>
      <c r="Z1039" s="46" t="e">
        <f t="shared" si="329"/>
        <v>#DIV/0!</v>
      </c>
      <c r="AA1039" s="57">
        <f>Y1039/Model!$B$12*3600</f>
        <v>0</v>
      </c>
      <c r="AB1039" s="51">
        <f t="shared" si="334"/>
        <v>0</v>
      </c>
      <c r="AC1039" s="51">
        <f t="shared" si="321"/>
        <v>1800</v>
      </c>
      <c r="AD1039" s="13">
        <f>IF(AE1039=0, Model!$B$19, 0 )</f>
        <v>0</v>
      </c>
      <c r="AE1039" s="51">
        <f>IF(AE1038+AB1038-AB1039&lt;Model!$B$19*Model!$B$18, AE1038+AB1038-AB1039,  0)</f>
        <v>443.63457370611354</v>
      </c>
      <c r="AF1039" s="13">
        <f t="shared" si="330"/>
        <v>1</v>
      </c>
      <c r="AG1039" s="50">
        <f t="shared" si="331"/>
        <v>0</v>
      </c>
    </row>
    <row r="1040" spans="2:33" x14ac:dyDescent="0.25">
      <c r="B1040" s="15">
        <f t="shared" si="332"/>
        <v>1</v>
      </c>
      <c r="C1040" s="15">
        <f>B1040+Model!$B$4</f>
        <v>3</v>
      </c>
      <c r="D1040" s="15">
        <f t="shared" si="333"/>
        <v>1</v>
      </c>
      <c r="E1040" s="15">
        <f t="shared" si="313"/>
        <v>3</v>
      </c>
      <c r="F1040" s="16">
        <f>IF(AB1040&gt;0, VLOOKUP(B1040,Model!$A$40:$B$60, 2), 0)</f>
        <v>0</v>
      </c>
      <c r="G1040" s="15">
        <f>IF(AB1040&gt;0, VLOOKUP(B1040,Model!$A$39:$C$58, 3), 0)</f>
        <v>0</v>
      </c>
      <c r="H1040" s="15">
        <f t="shared" si="322"/>
        <v>0</v>
      </c>
      <c r="I1040" s="45">
        <f>Model!$B$21*EXP((-0.029*9.81*F1040)/(8.31*(273+J1040)))</f>
        <v>104500</v>
      </c>
      <c r="J1040" s="15">
        <f>IF(Model!$B$31="Summer",  IF(F1040&lt;=2000,  Model!$B$20-Model!$B$35*F1040/1000,  IF(F1040&lt;Model!$B$36,  Model!$B$33-6.5*F1040/1000,  Model!$B$38)),     IF(F1040&lt;=2000,  Model!$B$20-Model!$B$35*F1040/1000,  IF(F1040&lt;Model!$B$36,  Model!$B$33-5.4*F1040/1000,   Model!$B$38)))</f>
        <v>-20</v>
      </c>
      <c r="K1040" s="15">
        <f t="shared" si="318"/>
        <v>253</v>
      </c>
      <c r="L1040" s="45">
        <f>IF(AB1039-AA1039*(B1040-B1039)&gt;0, L1039-Y1039*(B1040-B1039)*3600-AD1040*Model!$B$16, 0)</f>
        <v>0</v>
      </c>
      <c r="M1040" s="56">
        <f t="shared" si="323"/>
        <v>0</v>
      </c>
      <c r="N1040" s="56">
        <f>Model!$B$13*I1040*K1040/(Model!$B$13*I1040-L1040*287*K1040)</f>
        <v>253</v>
      </c>
      <c r="O1040" s="56">
        <f t="shared" si="324"/>
        <v>253</v>
      </c>
      <c r="P1040" s="56">
        <f t="shared" si="325"/>
        <v>-10</v>
      </c>
      <c r="Q1040" s="62">
        <f t="shared" si="319"/>
        <v>2.2579999999999999E-2</v>
      </c>
      <c r="R1040" s="33">
        <f t="shared" si="320"/>
        <v>1.152E-5</v>
      </c>
      <c r="S1040" s="45">
        <f>0.37*Model!$B$10*(Q1040^2*(N1040-K1040)*I1040/(R1040*O1040^2))^0.33333*(N1040-K1040)</f>
        <v>0</v>
      </c>
      <c r="T1040" s="50">
        <f>Model!$B$32+(90-Model!$B$6)*SIN(RADIANS(-15*(E1040+6)))</f>
        <v>-31.619472402513487</v>
      </c>
      <c r="U1040" s="45">
        <f t="shared" si="326"/>
        <v>0</v>
      </c>
      <c r="V1040" s="50">
        <f t="shared" si="327"/>
        <v>99999</v>
      </c>
      <c r="W1040" s="45">
        <f t="shared" si="328"/>
        <v>0</v>
      </c>
      <c r="X1040" s="45">
        <f>0.3*W1040*Model!$B$9</f>
        <v>0</v>
      </c>
      <c r="Y1040" s="33">
        <f>(S1040-X1040)/Model!$B$11</f>
        <v>0</v>
      </c>
      <c r="Z1040" s="45" t="e">
        <f t="shared" si="329"/>
        <v>#DIV/0!</v>
      </c>
      <c r="AA1040" s="56">
        <f>Y1040/Model!$B$12*3600</f>
        <v>0</v>
      </c>
      <c r="AB1040" s="50">
        <f t="shared" si="334"/>
        <v>0</v>
      </c>
      <c r="AC1040" s="50">
        <f t="shared" si="321"/>
        <v>1800</v>
      </c>
      <c r="AD1040" s="15">
        <f>IF(AE1040=0, Model!$B$19, 0 )</f>
        <v>0</v>
      </c>
      <c r="AE1040" s="50">
        <f>IF(AE1039+AB1039-AB1040&lt;Model!$B$19*Model!$B$18, AE1039+AB1039-AB1040,  0)</f>
        <v>443.63457370611354</v>
      </c>
      <c r="AF1040" s="15">
        <f t="shared" si="330"/>
        <v>1</v>
      </c>
      <c r="AG1040" s="50">
        <f t="shared" si="331"/>
        <v>0</v>
      </c>
    </row>
    <row r="1041" spans="2:33" x14ac:dyDescent="0.25">
      <c r="B1041" s="13">
        <f t="shared" si="332"/>
        <v>1</v>
      </c>
      <c r="C1041" s="13">
        <f>B1041+Model!$B$4</f>
        <v>3</v>
      </c>
      <c r="D1041" s="13">
        <f t="shared" si="333"/>
        <v>1</v>
      </c>
      <c r="E1041" s="13">
        <f t="shared" si="313"/>
        <v>3</v>
      </c>
      <c r="F1041" s="14">
        <f>IF(AB1041&gt;0, VLOOKUP(B1041,Model!$A$40:$B$60, 2), 0)</f>
        <v>0</v>
      </c>
      <c r="G1041" s="13">
        <f>IF(AB1041&gt;0, VLOOKUP(B1041,Model!$A$39:$C$58, 3), 0)</f>
        <v>0</v>
      </c>
      <c r="H1041" s="13">
        <f t="shared" si="322"/>
        <v>0</v>
      </c>
      <c r="I1041" s="46">
        <f>Model!$B$21*EXP((-0.029*9.81*F1041)/(8.31*(273+J1041)))</f>
        <v>104500</v>
      </c>
      <c r="J1041" s="13">
        <f>IF(Model!$B$31="Summer",  IF(F1041&lt;=2000,  Model!$B$20-Model!$B$35*F1041/1000,  IF(F1041&lt;Model!$B$36,  Model!$B$33-6.5*F1041/1000,  Model!$B$38)),     IF(F1041&lt;=2000,  Model!$B$20-Model!$B$35*F1041/1000,  IF(F1041&lt;Model!$B$36,  Model!$B$33-5.4*F1041/1000,   Model!$B$38)))</f>
        <v>-20</v>
      </c>
      <c r="K1041" s="13">
        <f t="shared" ref="K1041:K1080" si="335">273+J1041</f>
        <v>253</v>
      </c>
      <c r="L1041" s="46">
        <f>IF(AB1040-AA1040*(B1041-B1040)&gt;0, L1040-Y1040*(B1041-B1040)*3600-AD1041*Model!$B$16, 0)</f>
        <v>0</v>
      </c>
      <c r="M1041" s="57">
        <f t="shared" si="323"/>
        <v>0</v>
      </c>
      <c r="N1041" s="57">
        <f>Model!$B$13*I1041*K1041/(Model!$B$13*I1041-L1041*287*K1041)</f>
        <v>253</v>
      </c>
      <c r="O1041" s="57">
        <f t="shared" si="324"/>
        <v>253</v>
      </c>
      <c r="P1041" s="57">
        <f t="shared" si="325"/>
        <v>-10</v>
      </c>
      <c r="Q1041" s="63">
        <f t="shared" ref="Q1041:Q1080" si="336">(O1041-273)*7.1*0.00001+0.024</f>
        <v>2.2579999999999999E-2</v>
      </c>
      <c r="R1041" s="17">
        <f t="shared" ref="R1041:R1080" si="337">((O1041-273)*0.104+13.6)*0.000001</f>
        <v>1.152E-5</v>
      </c>
      <c r="S1041" s="46">
        <f>0.37*Model!$B$10*(Q1041^2*(N1041-K1041)*I1041/(R1041*O1041^2))^0.33333*(N1041-K1041)</f>
        <v>0</v>
      </c>
      <c r="T1041" s="51">
        <f>Model!$B$32+(90-Model!$B$6)*SIN(RADIANS(-15*(E1041+6)))</f>
        <v>-31.619472402513487</v>
      </c>
      <c r="U1041" s="46">
        <f t="shared" si="326"/>
        <v>0</v>
      </c>
      <c r="V1041" s="51">
        <f t="shared" si="327"/>
        <v>99999</v>
      </c>
      <c r="W1041" s="46">
        <f t="shared" si="328"/>
        <v>0</v>
      </c>
      <c r="X1041" s="46">
        <f>0.3*W1041*Model!$B$9</f>
        <v>0</v>
      </c>
      <c r="Y1041" s="17">
        <f>(S1041-X1041)/Model!$B$11</f>
        <v>0</v>
      </c>
      <c r="Z1041" s="46" t="e">
        <f t="shared" si="329"/>
        <v>#DIV/0!</v>
      </c>
      <c r="AA1041" s="57">
        <f>Y1041/Model!$B$12*3600</f>
        <v>0</v>
      </c>
      <c r="AB1041" s="51">
        <f t="shared" si="334"/>
        <v>0</v>
      </c>
      <c r="AC1041" s="51">
        <f t="shared" ref="AC1041:AC1080" si="338">AC1040+AB1040-AB1041</f>
        <v>1800</v>
      </c>
      <c r="AD1041" s="13">
        <f>IF(AE1041=0, Model!$B$19, 0 )</f>
        <v>0</v>
      </c>
      <c r="AE1041" s="51">
        <f>IF(AE1040+AB1040-AB1041&lt;Model!$B$19*Model!$B$18, AE1040+AB1040-AB1041,  0)</f>
        <v>443.63457370611354</v>
      </c>
      <c r="AF1041" s="13">
        <f t="shared" si="330"/>
        <v>1</v>
      </c>
      <c r="AG1041" s="50">
        <f t="shared" si="331"/>
        <v>0</v>
      </c>
    </row>
    <row r="1042" spans="2:33" x14ac:dyDescent="0.25">
      <c r="B1042" s="15">
        <f t="shared" si="332"/>
        <v>1</v>
      </c>
      <c r="C1042" s="15">
        <f>B1042+Model!$B$4</f>
        <v>3</v>
      </c>
      <c r="D1042" s="15">
        <f t="shared" si="333"/>
        <v>1</v>
      </c>
      <c r="E1042" s="15">
        <f t="shared" si="313"/>
        <v>3</v>
      </c>
      <c r="F1042" s="16">
        <f>IF(AB1042&gt;0, VLOOKUP(B1042,Model!$A$40:$B$60, 2), 0)</f>
        <v>0</v>
      </c>
      <c r="G1042" s="15">
        <f>IF(AB1042&gt;0, VLOOKUP(B1042,Model!$A$39:$C$58, 3), 0)</f>
        <v>0</v>
      </c>
      <c r="H1042" s="15">
        <f t="shared" si="322"/>
        <v>0</v>
      </c>
      <c r="I1042" s="45">
        <f>Model!$B$21*EXP((-0.029*9.81*F1042)/(8.31*(273+J1042)))</f>
        <v>104500</v>
      </c>
      <c r="J1042" s="15">
        <f>IF(Model!$B$31="Summer",  IF(F1042&lt;=2000,  Model!$B$20-Model!$B$35*F1042/1000,  IF(F1042&lt;Model!$B$36,  Model!$B$33-6.5*F1042/1000,  Model!$B$38)),     IF(F1042&lt;=2000,  Model!$B$20-Model!$B$35*F1042/1000,  IF(F1042&lt;Model!$B$36,  Model!$B$33-5.4*F1042/1000,   Model!$B$38)))</f>
        <v>-20</v>
      </c>
      <c r="K1042" s="15">
        <f t="shared" si="335"/>
        <v>253</v>
      </c>
      <c r="L1042" s="45">
        <f>IF(AB1041-AA1041*(B1042-B1041)&gt;0, L1041-Y1041*(B1042-B1041)*3600-AD1042*Model!$B$16, 0)</f>
        <v>0</v>
      </c>
      <c r="M1042" s="56">
        <f t="shared" si="323"/>
        <v>0</v>
      </c>
      <c r="N1042" s="56">
        <f>Model!$B$13*I1042*K1042/(Model!$B$13*I1042-L1042*287*K1042)</f>
        <v>253</v>
      </c>
      <c r="O1042" s="56">
        <f t="shared" si="324"/>
        <v>253</v>
      </c>
      <c r="P1042" s="56">
        <f t="shared" si="325"/>
        <v>-10</v>
      </c>
      <c r="Q1042" s="62">
        <f t="shared" si="336"/>
        <v>2.2579999999999999E-2</v>
      </c>
      <c r="R1042" s="33">
        <f t="shared" si="337"/>
        <v>1.152E-5</v>
      </c>
      <c r="S1042" s="45">
        <f>0.37*Model!$B$10*(Q1042^2*(N1042-K1042)*I1042/(R1042*O1042^2))^0.33333*(N1042-K1042)</f>
        <v>0</v>
      </c>
      <c r="T1042" s="50">
        <f>Model!$B$32+(90-Model!$B$6)*SIN(RADIANS(-15*(E1042+6)))</f>
        <v>-31.619472402513487</v>
      </c>
      <c r="U1042" s="45">
        <f t="shared" si="326"/>
        <v>0</v>
      </c>
      <c r="V1042" s="50">
        <f t="shared" si="327"/>
        <v>99999</v>
      </c>
      <c r="W1042" s="45">
        <f t="shared" si="328"/>
        <v>0</v>
      </c>
      <c r="X1042" s="45">
        <f>0.3*W1042*Model!$B$9</f>
        <v>0</v>
      </c>
      <c r="Y1042" s="33">
        <f>(S1042-X1042)/Model!$B$11</f>
        <v>0</v>
      </c>
      <c r="Z1042" s="45" t="e">
        <f t="shared" si="329"/>
        <v>#DIV/0!</v>
      </c>
      <c r="AA1042" s="56">
        <f>Y1042/Model!$B$12*3600</f>
        <v>0</v>
      </c>
      <c r="AB1042" s="50">
        <f t="shared" si="334"/>
        <v>0</v>
      </c>
      <c r="AC1042" s="50">
        <f t="shared" si="338"/>
        <v>1800</v>
      </c>
      <c r="AD1042" s="15">
        <f>IF(AE1042=0, Model!$B$19, 0 )</f>
        <v>0</v>
      </c>
      <c r="AE1042" s="50">
        <f>IF(AE1041+AB1041-AB1042&lt;Model!$B$19*Model!$B$18, AE1041+AB1041-AB1042,  0)</f>
        <v>443.63457370611354</v>
      </c>
      <c r="AF1042" s="15">
        <f t="shared" si="330"/>
        <v>1</v>
      </c>
      <c r="AG1042" s="50">
        <f t="shared" si="331"/>
        <v>0</v>
      </c>
    </row>
    <row r="1043" spans="2:33" x14ac:dyDescent="0.25">
      <c r="B1043" s="13">
        <f t="shared" si="332"/>
        <v>1</v>
      </c>
      <c r="C1043" s="13">
        <f>B1043+Model!$B$4</f>
        <v>3</v>
      </c>
      <c r="D1043" s="13">
        <f t="shared" si="333"/>
        <v>1</v>
      </c>
      <c r="E1043" s="13">
        <f t="shared" si="313"/>
        <v>3</v>
      </c>
      <c r="F1043" s="14">
        <f>IF(AB1043&gt;0, VLOOKUP(B1043,Model!$A$40:$B$60, 2), 0)</f>
        <v>0</v>
      </c>
      <c r="G1043" s="13">
        <f>IF(AB1043&gt;0, VLOOKUP(B1043,Model!$A$39:$C$58, 3), 0)</f>
        <v>0</v>
      </c>
      <c r="H1043" s="13">
        <f t="shared" si="322"/>
        <v>0</v>
      </c>
      <c r="I1043" s="46">
        <f>Model!$B$21*EXP((-0.029*9.81*F1043)/(8.31*(273+J1043)))</f>
        <v>104500</v>
      </c>
      <c r="J1043" s="13">
        <f>IF(Model!$B$31="Summer",  IF(F1043&lt;=2000,  Model!$B$20-Model!$B$35*F1043/1000,  IF(F1043&lt;Model!$B$36,  Model!$B$33-6.5*F1043/1000,  Model!$B$38)),     IF(F1043&lt;=2000,  Model!$B$20-Model!$B$35*F1043/1000,  IF(F1043&lt;Model!$B$36,  Model!$B$33-5.4*F1043/1000,   Model!$B$38)))</f>
        <v>-20</v>
      </c>
      <c r="K1043" s="13">
        <f t="shared" si="335"/>
        <v>253</v>
      </c>
      <c r="L1043" s="46">
        <f>IF(AB1042-AA1042*(B1043-B1042)&gt;0, L1042-Y1042*(B1043-B1042)*3600-AD1043*Model!$B$16, 0)</f>
        <v>0</v>
      </c>
      <c r="M1043" s="57">
        <f t="shared" si="323"/>
        <v>0</v>
      </c>
      <c r="N1043" s="57">
        <f>Model!$B$13*I1043*K1043/(Model!$B$13*I1043-L1043*287*K1043)</f>
        <v>253</v>
      </c>
      <c r="O1043" s="57">
        <f t="shared" si="324"/>
        <v>253</v>
      </c>
      <c r="P1043" s="57">
        <f t="shared" si="325"/>
        <v>-10</v>
      </c>
      <c r="Q1043" s="63">
        <f t="shared" si="336"/>
        <v>2.2579999999999999E-2</v>
      </c>
      <c r="R1043" s="17">
        <f t="shared" si="337"/>
        <v>1.152E-5</v>
      </c>
      <c r="S1043" s="46">
        <f>0.37*Model!$B$10*(Q1043^2*(N1043-K1043)*I1043/(R1043*O1043^2))^0.33333*(N1043-K1043)</f>
        <v>0</v>
      </c>
      <c r="T1043" s="51">
        <f>Model!$B$32+(90-Model!$B$6)*SIN(RADIANS(-15*(E1043+6)))</f>
        <v>-31.619472402513487</v>
      </c>
      <c r="U1043" s="46">
        <f t="shared" si="326"/>
        <v>0</v>
      </c>
      <c r="V1043" s="51">
        <f t="shared" si="327"/>
        <v>99999</v>
      </c>
      <c r="W1043" s="46">
        <f t="shared" si="328"/>
        <v>0</v>
      </c>
      <c r="X1043" s="46">
        <f>0.3*W1043*Model!$B$9</f>
        <v>0</v>
      </c>
      <c r="Y1043" s="17">
        <f>(S1043-X1043)/Model!$B$11</f>
        <v>0</v>
      </c>
      <c r="Z1043" s="46" t="e">
        <f t="shared" si="329"/>
        <v>#DIV/0!</v>
      </c>
      <c r="AA1043" s="57">
        <f>Y1043/Model!$B$12*3600</f>
        <v>0</v>
      </c>
      <c r="AB1043" s="51">
        <f t="shared" si="334"/>
        <v>0</v>
      </c>
      <c r="AC1043" s="51">
        <f t="shared" si="338"/>
        <v>1800</v>
      </c>
      <c r="AD1043" s="13">
        <f>IF(AE1043=0, Model!$B$19, 0 )</f>
        <v>0</v>
      </c>
      <c r="AE1043" s="51">
        <f>IF(AE1042+AB1042-AB1043&lt;Model!$B$19*Model!$B$18, AE1042+AB1042-AB1043,  0)</f>
        <v>443.63457370611354</v>
      </c>
      <c r="AF1043" s="13">
        <f t="shared" si="330"/>
        <v>1</v>
      </c>
      <c r="AG1043" s="50">
        <f t="shared" si="331"/>
        <v>0</v>
      </c>
    </row>
    <row r="1044" spans="2:33" x14ac:dyDescent="0.25">
      <c r="B1044" s="15">
        <f t="shared" si="332"/>
        <v>1</v>
      </c>
      <c r="C1044" s="15">
        <f>B1044+Model!$B$4</f>
        <v>3</v>
      </c>
      <c r="D1044" s="15">
        <f t="shared" si="333"/>
        <v>1</v>
      </c>
      <c r="E1044" s="15">
        <f t="shared" si="313"/>
        <v>3</v>
      </c>
      <c r="F1044" s="16">
        <f>IF(AB1044&gt;0, VLOOKUP(B1044,Model!$A$40:$B$60, 2), 0)</f>
        <v>0</v>
      </c>
      <c r="G1044" s="15">
        <f>IF(AB1044&gt;0, VLOOKUP(B1044,Model!$A$39:$C$58, 3), 0)</f>
        <v>0</v>
      </c>
      <c r="H1044" s="15">
        <f t="shared" si="322"/>
        <v>0</v>
      </c>
      <c r="I1044" s="45">
        <f>Model!$B$21*EXP((-0.029*9.81*F1044)/(8.31*(273+J1044)))</f>
        <v>104500</v>
      </c>
      <c r="J1044" s="15">
        <f>IF(Model!$B$31="Summer",  IF(F1044&lt;=2000,  Model!$B$20-Model!$B$35*F1044/1000,  IF(F1044&lt;Model!$B$36,  Model!$B$33-6.5*F1044/1000,  Model!$B$38)),     IF(F1044&lt;=2000,  Model!$B$20-Model!$B$35*F1044/1000,  IF(F1044&lt;Model!$B$36,  Model!$B$33-5.4*F1044/1000,   Model!$B$38)))</f>
        <v>-20</v>
      </c>
      <c r="K1044" s="15">
        <f t="shared" si="335"/>
        <v>253</v>
      </c>
      <c r="L1044" s="45">
        <f>IF(AB1043-AA1043*(B1044-B1043)&gt;0, L1043-Y1043*(B1044-B1043)*3600-AD1044*Model!$B$16, 0)</f>
        <v>0</v>
      </c>
      <c r="M1044" s="56">
        <f t="shared" si="323"/>
        <v>0</v>
      </c>
      <c r="N1044" s="56">
        <f>Model!$B$13*I1044*K1044/(Model!$B$13*I1044-L1044*287*K1044)</f>
        <v>253</v>
      </c>
      <c r="O1044" s="56">
        <f t="shared" si="324"/>
        <v>253</v>
      </c>
      <c r="P1044" s="56">
        <f t="shared" si="325"/>
        <v>-10</v>
      </c>
      <c r="Q1044" s="62">
        <f t="shared" si="336"/>
        <v>2.2579999999999999E-2</v>
      </c>
      <c r="R1044" s="33">
        <f t="shared" si="337"/>
        <v>1.152E-5</v>
      </c>
      <c r="S1044" s="45">
        <f>0.37*Model!$B$10*(Q1044^2*(N1044-K1044)*I1044/(R1044*O1044^2))^0.33333*(N1044-K1044)</f>
        <v>0</v>
      </c>
      <c r="T1044" s="50">
        <f>Model!$B$32+(90-Model!$B$6)*SIN(RADIANS(-15*(E1044+6)))</f>
        <v>-31.619472402513487</v>
      </c>
      <c r="U1044" s="45">
        <f t="shared" si="326"/>
        <v>0</v>
      </c>
      <c r="V1044" s="50">
        <f t="shared" si="327"/>
        <v>99999</v>
      </c>
      <c r="W1044" s="45">
        <f t="shared" si="328"/>
        <v>0</v>
      </c>
      <c r="X1044" s="45">
        <f>0.3*W1044*Model!$B$9</f>
        <v>0</v>
      </c>
      <c r="Y1044" s="33">
        <f>(S1044-X1044)/Model!$B$11</f>
        <v>0</v>
      </c>
      <c r="Z1044" s="45" t="e">
        <f t="shared" si="329"/>
        <v>#DIV/0!</v>
      </c>
      <c r="AA1044" s="56">
        <f>Y1044/Model!$B$12*3600</f>
        <v>0</v>
      </c>
      <c r="AB1044" s="50">
        <f t="shared" si="334"/>
        <v>0</v>
      </c>
      <c r="AC1044" s="50">
        <f t="shared" si="338"/>
        <v>1800</v>
      </c>
      <c r="AD1044" s="15">
        <f>IF(AE1044=0, Model!$B$19, 0 )</f>
        <v>0</v>
      </c>
      <c r="AE1044" s="50">
        <f>IF(AE1043+AB1043-AB1044&lt;Model!$B$19*Model!$B$18, AE1043+AB1043-AB1044,  0)</f>
        <v>443.63457370611354</v>
      </c>
      <c r="AF1044" s="15">
        <f t="shared" si="330"/>
        <v>1</v>
      </c>
      <c r="AG1044" s="50">
        <f t="shared" si="331"/>
        <v>0</v>
      </c>
    </row>
    <row r="1045" spans="2:33" x14ac:dyDescent="0.25">
      <c r="B1045" s="13">
        <f t="shared" si="332"/>
        <v>1</v>
      </c>
      <c r="C1045" s="13">
        <f>B1045+Model!$B$4</f>
        <v>3</v>
      </c>
      <c r="D1045" s="13">
        <f t="shared" si="333"/>
        <v>1</v>
      </c>
      <c r="E1045" s="13">
        <f t="shared" si="313"/>
        <v>3</v>
      </c>
      <c r="F1045" s="14">
        <f>IF(AB1045&gt;0, VLOOKUP(B1045,Model!$A$40:$B$60, 2), 0)</f>
        <v>0</v>
      </c>
      <c r="G1045" s="13">
        <f>IF(AB1045&gt;0, VLOOKUP(B1045,Model!$A$39:$C$58, 3), 0)</f>
        <v>0</v>
      </c>
      <c r="H1045" s="13">
        <f t="shared" si="322"/>
        <v>0</v>
      </c>
      <c r="I1045" s="46">
        <f>Model!$B$21*EXP((-0.029*9.81*F1045)/(8.31*(273+J1045)))</f>
        <v>104500</v>
      </c>
      <c r="J1045" s="13">
        <f>IF(Model!$B$31="Summer",  IF(F1045&lt;=2000,  Model!$B$20-Model!$B$35*F1045/1000,  IF(F1045&lt;Model!$B$36,  Model!$B$33-6.5*F1045/1000,  Model!$B$38)),     IF(F1045&lt;=2000,  Model!$B$20-Model!$B$35*F1045/1000,  IF(F1045&lt;Model!$B$36,  Model!$B$33-5.4*F1045/1000,   Model!$B$38)))</f>
        <v>-20</v>
      </c>
      <c r="K1045" s="13">
        <f t="shared" si="335"/>
        <v>253</v>
      </c>
      <c r="L1045" s="46">
        <f>IF(AB1044-AA1044*(B1045-B1044)&gt;0, L1044-Y1044*(B1045-B1044)*3600-AD1045*Model!$B$16, 0)</f>
        <v>0</v>
      </c>
      <c r="M1045" s="57">
        <f t="shared" si="323"/>
        <v>0</v>
      </c>
      <c r="N1045" s="57">
        <f>Model!$B$13*I1045*K1045/(Model!$B$13*I1045-L1045*287*K1045)</f>
        <v>253</v>
      </c>
      <c r="O1045" s="57">
        <f t="shared" si="324"/>
        <v>253</v>
      </c>
      <c r="P1045" s="57">
        <f t="shared" si="325"/>
        <v>-10</v>
      </c>
      <c r="Q1045" s="63">
        <f t="shared" si="336"/>
        <v>2.2579999999999999E-2</v>
      </c>
      <c r="R1045" s="17">
        <f t="shared" si="337"/>
        <v>1.152E-5</v>
      </c>
      <c r="S1045" s="46">
        <f>0.37*Model!$B$10*(Q1045^2*(N1045-K1045)*I1045/(R1045*O1045^2))^0.33333*(N1045-K1045)</f>
        <v>0</v>
      </c>
      <c r="T1045" s="51">
        <f>Model!$B$32+(90-Model!$B$6)*SIN(RADIANS(-15*(E1045+6)))</f>
        <v>-31.619472402513487</v>
      </c>
      <c r="U1045" s="46">
        <f t="shared" si="326"/>
        <v>0</v>
      </c>
      <c r="V1045" s="51">
        <f t="shared" si="327"/>
        <v>99999</v>
      </c>
      <c r="W1045" s="46">
        <f t="shared" si="328"/>
        <v>0</v>
      </c>
      <c r="X1045" s="46">
        <f>0.3*W1045*Model!$B$9</f>
        <v>0</v>
      </c>
      <c r="Y1045" s="17">
        <f>(S1045-X1045)/Model!$B$11</f>
        <v>0</v>
      </c>
      <c r="Z1045" s="46" t="e">
        <f t="shared" si="329"/>
        <v>#DIV/0!</v>
      </c>
      <c r="AA1045" s="57">
        <f>Y1045/Model!$B$12*3600</f>
        <v>0</v>
      </c>
      <c r="AB1045" s="51">
        <f t="shared" si="334"/>
        <v>0</v>
      </c>
      <c r="AC1045" s="51">
        <f t="shared" si="338"/>
        <v>1800</v>
      </c>
      <c r="AD1045" s="13">
        <f>IF(AE1045=0, Model!$B$19, 0 )</f>
        <v>0</v>
      </c>
      <c r="AE1045" s="51">
        <f>IF(AE1044+AB1044-AB1045&lt;Model!$B$19*Model!$B$18, AE1044+AB1044-AB1045,  0)</f>
        <v>443.63457370611354</v>
      </c>
      <c r="AF1045" s="13">
        <f t="shared" si="330"/>
        <v>1</v>
      </c>
      <c r="AG1045" s="50">
        <f t="shared" si="331"/>
        <v>0</v>
      </c>
    </row>
    <row r="1046" spans="2:33" x14ac:dyDescent="0.25">
      <c r="B1046" s="15">
        <f t="shared" si="332"/>
        <v>1</v>
      </c>
      <c r="C1046" s="15">
        <f>B1046+Model!$B$4</f>
        <v>3</v>
      </c>
      <c r="D1046" s="15">
        <f t="shared" si="333"/>
        <v>1</v>
      </c>
      <c r="E1046" s="15">
        <f t="shared" si="313"/>
        <v>3</v>
      </c>
      <c r="F1046" s="16">
        <f>IF(AB1046&gt;0, VLOOKUP(B1046,Model!$A$40:$B$60, 2), 0)</f>
        <v>0</v>
      </c>
      <c r="G1046" s="15">
        <f>IF(AB1046&gt;0, VLOOKUP(B1046,Model!$A$39:$C$58, 3), 0)</f>
        <v>0</v>
      </c>
      <c r="H1046" s="15">
        <f t="shared" si="322"/>
        <v>0</v>
      </c>
      <c r="I1046" s="45">
        <f>Model!$B$21*EXP((-0.029*9.81*F1046)/(8.31*(273+J1046)))</f>
        <v>104500</v>
      </c>
      <c r="J1046" s="15">
        <f>IF(Model!$B$31="Summer",  IF(F1046&lt;=2000,  Model!$B$20-Model!$B$35*F1046/1000,  IF(F1046&lt;Model!$B$36,  Model!$B$33-6.5*F1046/1000,  Model!$B$38)),     IF(F1046&lt;=2000,  Model!$B$20-Model!$B$35*F1046/1000,  IF(F1046&lt;Model!$B$36,  Model!$B$33-5.4*F1046/1000,   Model!$B$38)))</f>
        <v>-20</v>
      </c>
      <c r="K1046" s="15">
        <f t="shared" si="335"/>
        <v>253</v>
      </c>
      <c r="L1046" s="45">
        <f>IF(AB1045-AA1045*(B1046-B1045)&gt;0, L1045-Y1045*(B1046-B1045)*3600-AD1046*Model!$B$16, 0)</f>
        <v>0</v>
      </c>
      <c r="M1046" s="56">
        <f t="shared" si="323"/>
        <v>0</v>
      </c>
      <c r="N1046" s="56">
        <f>Model!$B$13*I1046*K1046/(Model!$B$13*I1046-L1046*287*K1046)</f>
        <v>253</v>
      </c>
      <c r="O1046" s="56">
        <f t="shared" si="324"/>
        <v>253</v>
      </c>
      <c r="P1046" s="56">
        <f t="shared" si="325"/>
        <v>-10</v>
      </c>
      <c r="Q1046" s="62">
        <f t="shared" si="336"/>
        <v>2.2579999999999999E-2</v>
      </c>
      <c r="R1046" s="33">
        <f t="shared" si="337"/>
        <v>1.152E-5</v>
      </c>
      <c r="S1046" s="45">
        <f>0.37*Model!$B$10*(Q1046^2*(N1046-K1046)*I1046/(R1046*O1046^2))^0.33333*(N1046-K1046)</f>
        <v>0</v>
      </c>
      <c r="T1046" s="50">
        <f>Model!$B$32+(90-Model!$B$6)*SIN(RADIANS(-15*(E1046+6)))</f>
        <v>-31.619472402513487</v>
      </c>
      <c r="U1046" s="45">
        <f t="shared" si="326"/>
        <v>0</v>
      </c>
      <c r="V1046" s="50">
        <f t="shared" si="327"/>
        <v>99999</v>
      </c>
      <c r="W1046" s="45">
        <f t="shared" si="328"/>
        <v>0</v>
      </c>
      <c r="X1046" s="45">
        <f>0.3*W1046*Model!$B$9</f>
        <v>0</v>
      </c>
      <c r="Y1046" s="33">
        <f>(S1046-X1046)/Model!$B$11</f>
        <v>0</v>
      </c>
      <c r="Z1046" s="45" t="e">
        <f t="shared" si="329"/>
        <v>#DIV/0!</v>
      </c>
      <c r="AA1046" s="56">
        <f>Y1046/Model!$B$12*3600</f>
        <v>0</v>
      </c>
      <c r="AB1046" s="50">
        <f t="shared" si="334"/>
        <v>0</v>
      </c>
      <c r="AC1046" s="50">
        <f t="shared" si="338"/>
        <v>1800</v>
      </c>
      <c r="AD1046" s="15">
        <f>IF(AE1046=0, Model!$B$19, 0 )</f>
        <v>0</v>
      </c>
      <c r="AE1046" s="50">
        <f>IF(AE1045+AB1045-AB1046&lt;Model!$B$19*Model!$B$18, AE1045+AB1045-AB1046,  0)</f>
        <v>443.63457370611354</v>
      </c>
      <c r="AF1046" s="15">
        <f t="shared" si="330"/>
        <v>1</v>
      </c>
      <c r="AG1046" s="50">
        <f t="shared" si="331"/>
        <v>0</v>
      </c>
    </row>
    <row r="1047" spans="2:33" x14ac:dyDescent="0.25">
      <c r="B1047" s="13">
        <f t="shared" si="332"/>
        <v>1</v>
      </c>
      <c r="C1047" s="13">
        <f>B1047+Model!$B$4</f>
        <v>3</v>
      </c>
      <c r="D1047" s="13">
        <f t="shared" si="333"/>
        <v>1</v>
      </c>
      <c r="E1047" s="13">
        <f t="shared" si="313"/>
        <v>3</v>
      </c>
      <c r="F1047" s="14">
        <f>IF(AB1047&gt;0, VLOOKUP(B1047,Model!$A$40:$B$60, 2), 0)</f>
        <v>0</v>
      </c>
      <c r="G1047" s="13">
        <f>IF(AB1047&gt;0, VLOOKUP(B1047,Model!$A$39:$C$58, 3), 0)</f>
        <v>0</v>
      </c>
      <c r="H1047" s="13">
        <f t="shared" si="322"/>
        <v>0</v>
      </c>
      <c r="I1047" s="46">
        <f>Model!$B$21*EXP((-0.029*9.81*F1047)/(8.31*(273+J1047)))</f>
        <v>104500</v>
      </c>
      <c r="J1047" s="13">
        <f>IF(Model!$B$31="Summer",  IF(F1047&lt;=2000,  Model!$B$20-Model!$B$35*F1047/1000,  IF(F1047&lt;Model!$B$36,  Model!$B$33-6.5*F1047/1000,  Model!$B$38)),     IF(F1047&lt;=2000,  Model!$B$20-Model!$B$35*F1047/1000,  IF(F1047&lt;Model!$B$36,  Model!$B$33-5.4*F1047/1000,   Model!$B$38)))</f>
        <v>-20</v>
      </c>
      <c r="K1047" s="13">
        <f t="shared" si="335"/>
        <v>253</v>
      </c>
      <c r="L1047" s="46">
        <f>IF(AB1046-AA1046*(B1047-B1046)&gt;0, L1046-Y1046*(B1047-B1046)*3600-AD1047*Model!$B$16, 0)</f>
        <v>0</v>
      </c>
      <c r="M1047" s="57">
        <f t="shared" si="323"/>
        <v>0</v>
      </c>
      <c r="N1047" s="57">
        <f>Model!$B$13*I1047*K1047/(Model!$B$13*I1047-L1047*287*K1047)</f>
        <v>253</v>
      </c>
      <c r="O1047" s="57">
        <f t="shared" si="324"/>
        <v>253</v>
      </c>
      <c r="P1047" s="57">
        <f t="shared" si="325"/>
        <v>-10</v>
      </c>
      <c r="Q1047" s="63">
        <f t="shared" si="336"/>
        <v>2.2579999999999999E-2</v>
      </c>
      <c r="R1047" s="17">
        <f t="shared" si="337"/>
        <v>1.152E-5</v>
      </c>
      <c r="S1047" s="46">
        <f>0.37*Model!$B$10*(Q1047^2*(N1047-K1047)*I1047/(R1047*O1047^2))^0.33333*(N1047-K1047)</f>
        <v>0</v>
      </c>
      <c r="T1047" s="51">
        <f>Model!$B$32+(90-Model!$B$6)*SIN(RADIANS(-15*(E1047+6)))</f>
        <v>-31.619472402513487</v>
      </c>
      <c r="U1047" s="46">
        <f t="shared" si="326"/>
        <v>0</v>
      </c>
      <c r="V1047" s="51">
        <f t="shared" si="327"/>
        <v>99999</v>
      </c>
      <c r="W1047" s="46">
        <f t="shared" si="328"/>
        <v>0</v>
      </c>
      <c r="X1047" s="46">
        <f>0.3*W1047*Model!$B$9</f>
        <v>0</v>
      </c>
      <c r="Y1047" s="17">
        <f>(S1047-X1047)/Model!$B$11</f>
        <v>0</v>
      </c>
      <c r="Z1047" s="46" t="e">
        <f t="shared" si="329"/>
        <v>#DIV/0!</v>
      </c>
      <c r="AA1047" s="57">
        <f>Y1047/Model!$B$12*3600</f>
        <v>0</v>
      </c>
      <c r="AB1047" s="51">
        <f t="shared" si="334"/>
        <v>0</v>
      </c>
      <c r="AC1047" s="51">
        <f t="shared" si="338"/>
        <v>1800</v>
      </c>
      <c r="AD1047" s="13">
        <f>IF(AE1047=0, Model!$B$19, 0 )</f>
        <v>0</v>
      </c>
      <c r="AE1047" s="51">
        <f>IF(AE1046+AB1046-AB1047&lt;Model!$B$19*Model!$B$18, AE1046+AB1046-AB1047,  0)</f>
        <v>443.63457370611354</v>
      </c>
      <c r="AF1047" s="13">
        <f t="shared" si="330"/>
        <v>1</v>
      </c>
      <c r="AG1047" s="50">
        <f t="shared" si="331"/>
        <v>0</v>
      </c>
    </row>
    <row r="1048" spans="2:33" x14ac:dyDescent="0.25">
      <c r="B1048" s="15">
        <f t="shared" si="332"/>
        <v>1</v>
      </c>
      <c r="C1048" s="15">
        <f>B1048+Model!$B$4</f>
        <v>3</v>
      </c>
      <c r="D1048" s="15">
        <f t="shared" si="333"/>
        <v>1</v>
      </c>
      <c r="E1048" s="15">
        <f t="shared" si="313"/>
        <v>3</v>
      </c>
      <c r="F1048" s="16">
        <f>IF(AB1048&gt;0, VLOOKUP(B1048,Model!$A$40:$B$60, 2), 0)</f>
        <v>0</v>
      </c>
      <c r="G1048" s="15">
        <f>IF(AB1048&gt;0, VLOOKUP(B1048,Model!$A$39:$C$58, 3), 0)</f>
        <v>0</v>
      </c>
      <c r="H1048" s="15">
        <f t="shared" si="322"/>
        <v>0</v>
      </c>
      <c r="I1048" s="45">
        <f>Model!$B$21*EXP((-0.029*9.81*F1048)/(8.31*(273+J1048)))</f>
        <v>104500</v>
      </c>
      <c r="J1048" s="15">
        <f>IF(Model!$B$31="Summer",  IF(F1048&lt;=2000,  Model!$B$20-Model!$B$35*F1048/1000,  IF(F1048&lt;Model!$B$36,  Model!$B$33-6.5*F1048/1000,  Model!$B$38)),     IF(F1048&lt;=2000,  Model!$B$20-Model!$B$35*F1048/1000,  IF(F1048&lt;Model!$B$36,  Model!$B$33-5.4*F1048/1000,   Model!$B$38)))</f>
        <v>-20</v>
      </c>
      <c r="K1048" s="15">
        <f t="shared" si="335"/>
        <v>253</v>
      </c>
      <c r="L1048" s="45">
        <f>IF(AB1047-AA1047*(B1048-B1047)&gt;0, L1047-Y1047*(B1048-B1047)*3600-AD1048*Model!$B$16, 0)</f>
        <v>0</v>
      </c>
      <c r="M1048" s="56">
        <f t="shared" si="323"/>
        <v>0</v>
      </c>
      <c r="N1048" s="56">
        <f>Model!$B$13*I1048*K1048/(Model!$B$13*I1048-L1048*287*K1048)</f>
        <v>253</v>
      </c>
      <c r="O1048" s="56">
        <f t="shared" si="324"/>
        <v>253</v>
      </c>
      <c r="P1048" s="56">
        <f t="shared" si="325"/>
        <v>-10</v>
      </c>
      <c r="Q1048" s="62">
        <f t="shared" si="336"/>
        <v>2.2579999999999999E-2</v>
      </c>
      <c r="R1048" s="33">
        <f t="shared" si="337"/>
        <v>1.152E-5</v>
      </c>
      <c r="S1048" s="45">
        <f>0.37*Model!$B$10*(Q1048^2*(N1048-K1048)*I1048/(R1048*O1048^2))^0.33333*(N1048-K1048)</f>
        <v>0</v>
      </c>
      <c r="T1048" s="50">
        <f>Model!$B$32+(90-Model!$B$6)*SIN(RADIANS(-15*(E1048+6)))</f>
        <v>-31.619472402513487</v>
      </c>
      <c r="U1048" s="45">
        <f t="shared" si="326"/>
        <v>0</v>
      </c>
      <c r="V1048" s="50">
        <f t="shared" si="327"/>
        <v>99999</v>
      </c>
      <c r="W1048" s="45">
        <f t="shared" si="328"/>
        <v>0</v>
      </c>
      <c r="X1048" s="45">
        <f>0.3*W1048*Model!$B$9</f>
        <v>0</v>
      </c>
      <c r="Y1048" s="33">
        <f>(S1048-X1048)/Model!$B$11</f>
        <v>0</v>
      </c>
      <c r="Z1048" s="45" t="e">
        <f t="shared" si="329"/>
        <v>#DIV/0!</v>
      </c>
      <c r="AA1048" s="56">
        <f>Y1048/Model!$B$12*3600</f>
        <v>0</v>
      </c>
      <c r="AB1048" s="50">
        <f t="shared" si="334"/>
        <v>0</v>
      </c>
      <c r="AC1048" s="50">
        <f t="shared" si="338"/>
        <v>1800</v>
      </c>
      <c r="AD1048" s="15">
        <f>IF(AE1048=0, Model!$B$19, 0 )</f>
        <v>0</v>
      </c>
      <c r="AE1048" s="50">
        <f>IF(AE1047+AB1047-AB1048&lt;Model!$B$19*Model!$B$18, AE1047+AB1047-AB1048,  0)</f>
        <v>443.63457370611354</v>
      </c>
      <c r="AF1048" s="15">
        <f t="shared" si="330"/>
        <v>1</v>
      </c>
      <c r="AG1048" s="50">
        <f t="shared" si="331"/>
        <v>0</v>
      </c>
    </row>
    <row r="1049" spans="2:33" x14ac:dyDescent="0.25">
      <c r="B1049" s="13">
        <f t="shared" si="332"/>
        <v>1</v>
      </c>
      <c r="C1049" s="13">
        <f>B1049+Model!$B$4</f>
        <v>3</v>
      </c>
      <c r="D1049" s="13">
        <f t="shared" si="333"/>
        <v>1</v>
      </c>
      <c r="E1049" s="13">
        <f t="shared" si="313"/>
        <v>3</v>
      </c>
      <c r="F1049" s="14">
        <f>IF(AB1049&gt;0, VLOOKUP(B1049,Model!$A$40:$B$60, 2), 0)</f>
        <v>0</v>
      </c>
      <c r="G1049" s="13">
        <f>IF(AB1049&gt;0, VLOOKUP(B1049,Model!$A$39:$C$58, 3), 0)</f>
        <v>0</v>
      </c>
      <c r="H1049" s="13">
        <f t="shared" si="322"/>
        <v>0</v>
      </c>
      <c r="I1049" s="46">
        <f>Model!$B$21*EXP((-0.029*9.81*F1049)/(8.31*(273+J1049)))</f>
        <v>104500</v>
      </c>
      <c r="J1049" s="13">
        <f>IF(Model!$B$31="Summer",  IF(F1049&lt;=2000,  Model!$B$20-Model!$B$35*F1049/1000,  IF(F1049&lt;Model!$B$36,  Model!$B$33-6.5*F1049/1000,  Model!$B$38)),     IF(F1049&lt;=2000,  Model!$B$20-Model!$B$35*F1049/1000,  IF(F1049&lt;Model!$B$36,  Model!$B$33-5.4*F1049/1000,   Model!$B$38)))</f>
        <v>-20</v>
      </c>
      <c r="K1049" s="13">
        <f t="shared" si="335"/>
        <v>253</v>
      </c>
      <c r="L1049" s="46">
        <f>IF(AB1048-AA1048*(B1049-B1048)&gt;0, L1048-Y1048*(B1049-B1048)*3600-AD1049*Model!$B$16, 0)</f>
        <v>0</v>
      </c>
      <c r="M1049" s="57">
        <f t="shared" si="323"/>
        <v>0</v>
      </c>
      <c r="N1049" s="57">
        <f>Model!$B$13*I1049*K1049/(Model!$B$13*I1049-L1049*287*K1049)</f>
        <v>253</v>
      </c>
      <c r="O1049" s="57">
        <f t="shared" si="324"/>
        <v>253</v>
      </c>
      <c r="P1049" s="57">
        <f t="shared" si="325"/>
        <v>-10</v>
      </c>
      <c r="Q1049" s="63">
        <f t="shared" si="336"/>
        <v>2.2579999999999999E-2</v>
      </c>
      <c r="R1049" s="17">
        <f t="shared" si="337"/>
        <v>1.152E-5</v>
      </c>
      <c r="S1049" s="46">
        <f>0.37*Model!$B$10*(Q1049^2*(N1049-K1049)*I1049/(R1049*O1049^2))^0.33333*(N1049-K1049)</f>
        <v>0</v>
      </c>
      <c r="T1049" s="51">
        <f>Model!$B$32+(90-Model!$B$6)*SIN(RADIANS(-15*(E1049+6)))</f>
        <v>-31.619472402513487</v>
      </c>
      <c r="U1049" s="46">
        <f t="shared" si="326"/>
        <v>0</v>
      </c>
      <c r="V1049" s="51">
        <f t="shared" si="327"/>
        <v>99999</v>
      </c>
      <c r="W1049" s="46">
        <f t="shared" si="328"/>
        <v>0</v>
      </c>
      <c r="X1049" s="46">
        <f>0.3*W1049*Model!$B$9</f>
        <v>0</v>
      </c>
      <c r="Y1049" s="17">
        <f>(S1049-X1049)/Model!$B$11</f>
        <v>0</v>
      </c>
      <c r="Z1049" s="46" t="e">
        <f t="shared" si="329"/>
        <v>#DIV/0!</v>
      </c>
      <c r="AA1049" s="57">
        <f>Y1049/Model!$B$12*3600</f>
        <v>0</v>
      </c>
      <c r="AB1049" s="51">
        <f t="shared" si="334"/>
        <v>0</v>
      </c>
      <c r="AC1049" s="51">
        <f t="shared" si="338"/>
        <v>1800</v>
      </c>
      <c r="AD1049" s="13">
        <f>IF(AE1049=0, Model!$B$19, 0 )</f>
        <v>0</v>
      </c>
      <c r="AE1049" s="51">
        <f>IF(AE1048+AB1048-AB1049&lt;Model!$B$19*Model!$B$18, AE1048+AB1048-AB1049,  0)</f>
        <v>443.63457370611354</v>
      </c>
      <c r="AF1049" s="13">
        <f t="shared" si="330"/>
        <v>1</v>
      </c>
      <c r="AG1049" s="50">
        <f t="shared" si="331"/>
        <v>0</v>
      </c>
    </row>
    <row r="1050" spans="2:33" x14ac:dyDescent="0.25">
      <c r="B1050" s="15">
        <f t="shared" si="332"/>
        <v>1</v>
      </c>
      <c r="C1050" s="15">
        <f>B1050+Model!$B$4</f>
        <v>3</v>
      </c>
      <c r="D1050" s="15">
        <f t="shared" si="333"/>
        <v>1</v>
      </c>
      <c r="E1050" s="15">
        <f t="shared" si="313"/>
        <v>3</v>
      </c>
      <c r="F1050" s="16">
        <f>IF(AB1050&gt;0, VLOOKUP(B1050,Model!$A$40:$B$60, 2), 0)</f>
        <v>0</v>
      </c>
      <c r="G1050" s="15">
        <f>IF(AB1050&gt;0, VLOOKUP(B1050,Model!$A$39:$C$58, 3), 0)</f>
        <v>0</v>
      </c>
      <c r="H1050" s="15">
        <f t="shared" si="322"/>
        <v>0</v>
      </c>
      <c r="I1050" s="45">
        <f>Model!$B$21*EXP((-0.029*9.81*F1050)/(8.31*(273+J1050)))</f>
        <v>104500</v>
      </c>
      <c r="J1050" s="15">
        <f>IF(Model!$B$31="Summer",  IF(F1050&lt;=2000,  Model!$B$20-Model!$B$35*F1050/1000,  IF(F1050&lt;Model!$B$36,  Model!$B$33-6.5*F1050/1000,  Model!$B$38)),     IF(F1050&lt;=2000,  Model!$B$20-Model!$B$35*F1050/1000,  IF(F1050&lt;Model!$B$36,  Model!$B$33-5.4*F1050/1000,   Model!$B$38)))</f>
        <v>-20</v>
      </c>
      <c r="K1050" s="15">
        <f t="shared" si="335"/>
        <v>253</v>
      </c>
      <c r="L1050" s="45">
        <f>IF(AB1049-AA1049*(B1050-B1049)&gt;0, L1049-Y1049*(B1050-B1049)*3600-AD1050*Model!$B$16, 0)</f>
        <v>0</v>
      </c>
      <c r="M1050" s="56">
        <f t="shared" si="323"/>
        <v>0</v>
      </c>
      <c r="N1050" s="56">
        <f>Model!$B$13*I1050*K1050/(Model!$B$13*I1050-L1050*287*K1050)</f>
        <v>253</v>
      </c>
      <c r="O1050" s="56">
        <f t="shared" si="324"/>
        <v>253</v>
      </c>
      <c r="P1050" s="56">
        <f t="shared" si="325"/>
        <v>-10</v>
      </c>
      <c r="Q1050" s="62">
        <f t="shared" si="336"/>
        <v>2.2579999999999999E-2</v>
      </c>
      <c r="R1050" s="33">
        <f t="shared" si="337"/>
        <v>1.152E-5</v>
      </c>
      <c r="S1050" s="45">
        <f>0.37*Model!$B$10*(Q1050^2*(N1050-K1050)*I1050/(R1050*O1050^2))^0.33333*(N1050-K1050)</f>
        <v>0</v>
      </c>
      <c r="T1050" s="50">
        <f>Model!$B$32+(90-Model!$B$6)*SIN(RADIANS(-15*(E1050+6)))</f>
        <v>-31.619472402513487</v>
      </c>
      <c r="U1050" s="45">
        <f t="shared" si="326"/>
        <v>0</v>
      </c>
      <c r="V1050" s="50">
        <f t="shared" si="327"/>
        <v>99999</v>
      </c>
      <c r="W1050" s="45">
        <f t="shared" si="328"/>
        <v>0</v>
      </c>
      <c r="X1050" s="45">
        <f>0.3*W1050*Model!$B$9</f>
        <v>0</v>
      </c>
      <c r="Y1050" s="33">
        <f>(S1050-X1050)/Model!$B$11</f>
        <v>0</v>
      </c>
      <c r="Z1050" s="45" t="e">
        <f t="shared" si="329"/>
        <v>#DIV/0!</v>
      </c>
      <c r="AA1050" s="56">
        <f>Y1050/Model!$B$12*3600</f>
        <v>0</v>
      </c>
      <c r="AB1050" s="50">
        <f t="shared" si="334"/>
        <v>0</v>
      </c>
      <c r="AC1050" s="50">
        <f t="shared" si="338"/>
        <v>1800</v>
      </c>
      <c r="AD1050" s="15">
        <f>IF(AE1050=0, Model!$B$19, 0 )</f>
        <v>0</v>
      </c>
      <c r="AE1050" s="50">
        <f>IF(AE1049+AB1049-AB1050&lt;Model!$B$19*Model!$B$18, AE1049+AB1049-AB1050,  0)</f>
        <v>443.63457370611354</v>
      </c>
      <c r="AF1050" s="15">
        <f t="shared" si="330"/>
        <v>1</v>
      </c>
      <c r="AG1050" s="50">
        <f t="shared" si="331"/>
        <v>0</v>
      </c>
    </row>
    <row r="1051" spans="2:33" x14ac:dyDescent="0.25">
      <c r="B1051" s="13">
        <f t="shared" si="332"/>
        <v>1</v>
      </c>
      <c r="C1051" s="13">
        <f>B1051+Model!$B$4</f>
        <v>3</v>
      </c>
      <c r="D1051" s="13">
        <f t="shared" si="333"/>
        <v>1</v>
      </c>
      <c r="E1051" s="13">
        <f t="shared" si="313"/>
        <v>3</v>
      </c>
      <c r="F1051" s="14">
        <f>IF(AB1051&gt;0, VLOOKUP(B1051,Model!$A$40:$B$60, 2), 0)</f>
        <v>0</v>
      </c>
      <c r="G1051" s="13">
        <f>IF(AB1051&gt;0, VLOOKUP(B1051,Model!$A$39:$C$58, 3), 0)</f>
        <v>0</v>
      </c>
      <c r="H1051" s="13">
        <f t="shared" si="322"/>
        <v>0</v>
      </c>
      <c r="I1051" s="46">
        <f>Model!$B$21*EXP((-0.029*9.81*F1051)/(8.31*(273+J1051)))</f>
        <v>104500</v>
      </c>
      <c r="J1051" s="13">
        <f>IF(Model!$B$31="Summer",  IF(F1051&lt;=2000,  Model!$B$20-Model!$B$35*F1051/1000,  IF(F1051&lt;Model!$B$36,  Model!$B$33-6.5*F1051/1000,  Model!$B$38)),     IF(F1051&lt;=2000,  Model!$B$20-Model!$B$35*F1051/1000,  IF(F1051&lt;Model!$B$36,  Model!$B$33-5.4*F1051/1000,   Model!$B$38)))</f>
        <v>-20</v>
      </c>
      <c r="K1051" s="13">
        <f t="shared" si="335"/>
        <v>253</v>
      </c>
      <c r="L1051" s="46">
        <f>IF(AB1050-AA1050*(B1051-B1050)&gt;0, L1050-Y1050*(B1051-B1050)*3600-AD1051*Model!$B$16, 0)</f>
        <v>0</v>
      </c>
      <c r="M1051" s="57">
        <f t="shared" si="323"/>
        <v>0</v>
      </c>
      <c r="N1051" s="57">
        <f>Model!$B$13*I1051*K1051/(Model!$B$13*I1051-L1051*287*K1051)</f>
        <v>253</v>
      </c>
      <c r="O1051" s="57">
        <f t="shared" si="324"/>
        <v>253</v>
      </c>
      <c r="P1051" s="57">
        <f t="shared" si="325"/>
        <v>-10</v>
      </c>
      <c r="Q1051" s="63">
        <f t="shared" si="336"/>
        <v>2.2579999999999999E-2</v>
      </c>
      <c r="R1051" s="17">
        <f t="shared" si="337"/>
        <v>1.152E-5</v>
      </c>
      <c r="S1051" s="46">
        <f>0.37*Model!$B$10*(Q1051^2*(N1051-K1051)*I1051/(R1051*O1051^2))^0.33333*(N1051-K1051)</f>
        <v>0</v>
      </c>
      <c r="T1051" s="51">
        <f>Model!$B$32+(90-Model!$B$6)*SIN(RADIANS(-15*(E1051+6)))</f>
        <v>-31.619472402513487</v>
      </c>
      <c r="U1051" s="46">
        <f t="shared" si="326"/>
        <v>0</v>
      </c>
      <c r="V1051" s="51">
        <f t="shared" si="327"/>
        <v>99999</v>
      </c>
      <c r="W1051" s="46">
        <f t="shared" si="328"/>
        <v>0</v>
      </c>
      <c r="X1051" s="46">
        <f>0.3*W1051*Model!$B$9</f>
        <v>0</v>
      </c>
      <c r="Y1051" s="17">
        <f>(S1051-X1051)/Model!$B$11</f>
        <v>0</v>
      </c>
      <c r="Z1051" s="46" t="e">
        <f t="shared" si="329"/>
        <v>#DIV/0!</v>
      </c>
      <c r="AA1051" s="57">
        <f>Y1051/Model!$B$12*3600</f>
        <v>0</v>
      </c>
      <c r="AB1051" s="51">
        <f t="shared" si="334"/>
        <v>0</v>
      </c>
      <c r="AC1051" s="51">
        <f t="shared" si="338"/>
        <v>1800</v>
      </c>
      <c r="AD1051" s="13">
        <f>IF(AE1051=0, Model!$B$19, 0 )</f>
        <v>0</v>
      </c>
      <c r="AE1051" s="51">
        <f>IF(AE1050+AB1050-AB1051&lt;Model!$B$19*Model!$B$18, AE1050+AB1050-AB1051,  0)</f>
        <v>443.63457370611354</v>
      </c>
      <c r="AF1051" s="13">
        <f t="shared" si="330"/>
        <v>1</v>
      </c>
      <c r="AG1051" s="50">
        <f t="shared" si="331"/>
        <v>0</v>
      </c>
    </row>
    <row r="1052" spans="2:33" x14ac:dyDescent="0.25">
      <c r="B1052" s="15">
        <f t="shared" si="332"/>
        <v>1</v>
      </c>
      <c r="C1052" s="15">
        <f>B1052+Model!$B$4</f>
        <v>3</v>
      </c>
      <c r="D1052" s="15">
        <f t="shared" si="333"/>
        <v>1</v>
      </c>
      <c r="E1052" s="15">
        <f t="shared" si="313"/>
        <v>3</v>
      </c>
      <c r="F1052" s="16">
        <f>IF(AB1052&gt;0, VLOOKUP(B1052,Model!$A$40:$B$60, 2), 0)</f>
        <v>0</v>
      </c>
      <c r="G1052" s="15">
        <f>IF(AB1052&gt;0, VLOOKUP(B1052,Model!$A$39:$C$58, 3), 0)</f>
        <v>0</v>
      </c>
      <c r="H1052" s="15">
        <f t="shared" si="322"/>
        <v>0</v>
      </c>
      <c r="I1052" s="45">
        <f>Model!$B$21*EXP((-0.029*9.81*F1052)/(8.31*(273+J1052)))</f>
        <v>104500</v>
      </c>
      <c r="J1052" s="15">
        <f>IF(Model!$B$31="Summer",  IF(F1052&lt;=2000,  Model!$B$20-Model!$B$35*F1052/1000,  IF(F1052&lt;Model!$B$36,  Model!$B$33-6.5*F1052/1000,  Model!$B$38)),     IF(F1052&lt;=2000,  Model!$B$20-Model!$B$35*F1052/1000,  IF(F1052&lt;Model!$B$36,  Model!$B$33-5.4*F1052/1000,   Model!$B$38)))</f>
        <v>-20</v>
      </c>
      <c r="K1052" s="15">
        <f t="shared" si="335"/>
        <v>253</v>
      </c>
      <c r="L1052" s="45">
        <f>IF(AB1051-AA1051*(B1052-B1051)&gt;0, L1051-Y1051*(B1052-B1051)*3600-AD1052*Model!$B$16, 0)</f>
        <v>0</v>
      </c>
      <c r="M1052" s="56">
        <f t="shared" si="323"/>
        <v>0</v>
      </c>
      <c r="N1052" s="56">
        <f>Model!$B$13*I1052*K1052/(Model!$B$13*I1052-L1052*287*K1052)</f>
        <v>253</v>
      </c>
      <c r="O1052" s="56">
        <f t="shared" si="324"/>
        <v>253</v>
      </c>
      <c r="P1052" s="56">
        <f t="shared" si="325"/>
        <v>-10</v>
      </c>
      <c r="Q1052" s="62">
        <f t="shared" si="336"/>
        <v>2.2579999999999999E-2</v>
      </c>
      <c r="R1052" s="33">
        <f t="shared" si="337"/>
        <v>1.152E-5</v>
      </c>
      <c r="S1052" s="45">
        <f>0.37*Model!$B$10*(Q1052^2*(N1052-K1052)*I1052/(R1052*O1052^2))^0.33333*(N1052-K1052)</f>
        <v>0</v>
      </c>
      <c r="T1052" s="50">
        <f>Model!$B$32+(90-Model!$B$6)*SIN(RADIANS(-15*(E1052+6)))</f>
        <v>-31.619472402513487</v>
      </c>
      <c r="U1052" s="45">
        <f t="shared" si="326"/>
        <v>0</v>
      </c>
      <c r="V1052" s="50">
        <f t="shared" si="327"/>
        <v>99999</v>
      </c>
      <c r="W1052" s="45">
        <f t="shared" si="328"/>
        <v>0</v>
      </c>
      <c r="X1052" s="45">
        <f>0.3*W1052*Model!$B$9</f>
        <v>0</v>
      </c>
      <c r="Y1052" s="33">
        <f>(S1052-X1052)/Model!$B$11</f>
        <v>0</v>
      </c>
      <c r="Z1052" s="45" t="e">
        <f t="shared" si="329"/>
        <v>#DIV/0!</v>
      </c>
      <c r="AA1052" s="56">
        <f>Y1052/Model!$B$12*3600</f>
        <v>0</v>
      </c>
      <c r="AB1052" s="50">
        <f t="shared" si="334"/>
        <v>0</v>
      </c>
      <c r="AC1052" s="50">
        <f t="shared" si="338"/>
        <v>1800</v>
      </c>
      <c r="AD1052" s="15">
        <f>IF(AE1052=0, Model!$B$19, 0 )</f>
        <v>0</v>
      </c>
      <c r="AE1052" s="50">
        <f>IF(AE1051+AB1051-AB1052&lt;Model!$B$19*Model!$B$18, AE1051+AB1051-AB1052,  0)</f>
        <v>443.63457370611354</v>
      </c>
      <c r="AF1052" s="15">
        <f t="shared" si="330"/>
        <v>1</v>
      </c>
      <c r="AG1052" s="50">
        <f t="shared" si="331"/>
        <v>0</v>
      </c>
    </row>
    <row r="1053" spans="2:33" x14ac:dyDescent="0.25">
      <c r="B1053" s="13">
        <f t="shared" si="332"/>
        <v>1</v>
      </c>
      <c r="C1053" s="13">
        <f>B1053+Model!$B$4</f>
        <v>3</v>
      </c>
      <c r="D1053" s="13">
        <f t="shared" si="333"/>
        <v>1</v>
      </c>
      <c r="E1053" s="13">
        <f t="shared" si="313"/>
        <v>3</v>
      </c>
      <c r="F1053" s="14">
        <f>IF(AB1053&gt;0, VLOOKUP(B1053,Model!$A$40:$B$60, 2), 0)</f>
        <v>0</v>
      </c>
      <c r="G1053" s="13">
        <f>IF(AB1053&gt;0, VLOOKUP(B1053,Model!$A$39:$C$58, 3), 0)</f>
        <v>0</v>
      </c>
      <c r="H1053" s="13">
        <f t="shared" si="322"/>
        <v>0</v>
      </c>
      <c r="I1053" s="46">
        <f>Model!$B$21*EXP((-0.029*9.81*F1053)/(8.31*(273+J1053)))</f>
        <v>104500</v>
      </c>
      <c r="J1053" s="13">
        <f>IF(Model!$B$31="Summer",  IF(F1053&lt;=2000,  Model!$B$20-Model!$B$35*F1053/1000,  IF(F1053&lt;Model!$B$36,  Model!$B$33-6.5*F1053/1000,  Model!$B$38)),     IF(F1053&lt;=2000,  Model!$B$20-Model!$B$35*F1053/1000,  IF(F1053&lt;Model!$B$36,  Model!$B$33-5.4*F1053/1000,   Model!$B$38)))</f>
        <v>-20</v>
      </c>
      <c r="K1053" s="13">
        <f t="shared" si="335"/>
        <v>253</v>
      </c>
      <c r="L1053" s="46">
        <f>IF(AB1052-AA1052*(B1053-B1052)&gt;0, L1052-Y1052*(B1053-B1052)*3600-AD1053*Model!$B$16, 0)</f>
        <v>0</v>
      </c>
      <c r="M1053" s="57">
        <f t="shared" si="323"/>
        <v>0</v>
      </c>
      <c r="N1053" s="57">
        <f>Model!$B$13*I1053*K1053/(Model!$B$13*I1053-L1053*287*K1053)</f>
        <v>253</v>
      </c>
      <c r="O1053" s="57">
        <f t="shared" si="324"/>
        <v>253</v>
      </c>
      <c r="P1053" s="57">
        <f t="shared" si="325"/>
        <v>-10</v>
      </c>
      <c r="Q1053" s="63">
        <f t="shared" si="336"/>
        <v>2.2579999999999999E-2</v>
      </c>
      <c r="R1053" s="17">
        <f t="shared" si="337"/>
        <v>1.152E-5</v>
      </c>
      <c r="S1053" s="46">
        <f>0.37*Model!$B$10*(Q1053^2*(N1053-K1053)*I1053/(R1053*O1053^2))^0.33333*(N1053-K1053)</f>
        <v>0</v>
      </c>
      <c r="T1053" s="51">
        <f>Model!$B$32+(90-Model!$B$6)*SIN(RADIANS(-15*(E1053+6)))</f>
        <v>-31.619472402513487</v>
      </c>
      <c r="U1053" s="46">
        <f t="shared" si="326"/>
        <v>0</v>
      </c>
      <c r="V1053" s="51">
        <f t="shared" si="327"/>
        <v>99999</v>
      </c>
      <c r="W1053" s="46">
        <f t="shared" si="328"/>
        <v>0</v>
      </c>
      <c r="X1053" s="46">
        <f>0.3*W1053*Model!$B$9</f>
        <v>0</v>
      </c>
      <c r="Y1053" s="17">
        <f>(S1053-X1053)/Model!$B$11</f>
        <v>0</v>
      </c>
      <c r="Z1053" s="46" t="e">
        <f t="shared" si="329"/>
        <v>#DIV/0!</v>
      </c>
      <c r="AA1053" s="57">
        <f>Y1053/Model!$B$12*3600</f>
        <v>0</v>
      </c>
      <c r="AB1053" s="51">
        <f t="shared" si="334"/>
        <v>0</v>
      </c>
      <c r="AC1053" s="51">
        <f t="shared" si="338"/>
        <v>1800</v>
      </c>
      <c r="AD1053" s="13">
        <f>IF(AE1053=0, Model!$B$19, 0 )</f>
        <v>0</v>
      </c>
      <c r="AE1053" s="51">
        <f>IF(AE1052+AB1052-AB1053&lt;Model!$B$19*Model!$B$18, AE1052+AB1052-AB1053,  0)</f>
        <v>443.63457370611354</v>
      </c>
      <c r="AF1053" s="13">
        <f t="shared" si="330"/>
        <v>1</v>
      </c>
      <c r="AG1053" s="50">
        <f t="shared" si="331"/>
        <v>0</v>
      </c>
    </row>
    <row r="1054" spans="2:33" x14ac:dyDescent="0.25">
      <c r="B1054" s="15">
        <f t="shared" si="332"/>
        <v>1</v>
      </c>
      <c r="C1054" s="15">
        <f>B1054+Model!$B$4</f>
        <v>3</v>
      </c>
      <c r="D1054" s="15">
        <f t="shared" si="333"/>
        <v>1</v>
      </c>
      <c r="E1054" s="15">
        <f t="shared" si="313"/>
        <v>3</v>
      </c>
      <c r="F1054" s="16">
        <f>IF(AB1054&gt;0, VLOOKUP(B1054,Model!$A$40:$B$60, 2), 0)</f>
        <v>0</v>
      </c>
      <c r="G1054" s="15">
        <f>IF(AB1054&gt;0, VLOOKUP(B1054,Model!$A$39:$C$58, 3), 0)</f>
        <v>0</v>
      </c>
      <c r="H1054" s="15">
        <f t="shared" si="322"/>
        <v>0</v>
      </c>
      <c r="I1054" s="45">
        <f>Model!$B$21*EXP((-0.029*9.81*F1054)/(8.31*(273+J1054)))</f>
        <v>104500</v>
      </c>
      <c r="J1054" s="15">
        <f>IF(Model!$B$31="Summer",  IF(F1054&lt;=2000,  Model!$B$20-Model!$B$35*F1054/1000,  IF(F1054&lt;Model!$B$36,  Model!$B$33-6.5*F1054/1000,  Model!$B$38)),     IF(F1054&lt;=2000,  Model!$B$20-Model!$B$35*F1054/1000,  IF(F1054&lt;Model!$B$36,  Model!$B$33-5.4*F1054/1000,   Model!$B$38)))</f>
        <v>-20</v>
      </c>
      <c r="K1054" s="15">
        <f t="shared" si="335"/>
        <v>253</v>
      </c>
      <c r="L1054" s="45">
        <f>IF(AB1053-AA1053*(B1054-B1053)&gt;0, L1053-Y1053*(B1054-B1053)*3600-AD1054*Model!$B$16, 0)</f>
        <v>0</v>
      </c>
      <c r="M1054" s="56">
        <f t="shared" si="323"/>
        <v>0</v>
      </c>
      <c r="N1054" s="56">
        <f>Model!$B$13*I1054*K1054/(Model!$B$13*I1054-L1054*287*K1054)</f>
        <v>253</v>
      </c>
      <c r="O1054" s="56">
        <f t="shared" si="324"/>
        <v>253</v>
      </c>
      <c r="P1054" s="56">
        <f t="shared" si="325"/>
        <v>-10</v>
      </c>
      <c r="Q1054" s="62">
        <f t="shared" si="336"/>
        <v>2.2579999999999999E-2</v>
      </c>
      <c r="R1054" s="33">
        <f t="shared" si="337"/>
        <v>1.152E-5</v>
      </c>
      <c r="S1054" s="45">
        <f>0.37*Model!$B$10*(Q1054^2*(N1054-K1054)*I1054/(R1054*O1054^2))^0.33333*(N1054-K1054)</f>
        <v>0</v>
      </c>
      <c r="T1054" s="50">
        <f>Model!$B$32+(90-Model!$B$6)*SIN(RADIANS(-15*(E1054+6)))</f>
        <v>-31.619472402513487</v>
      </c>
      <c r="U1054" s="45">
        <f t="shared" si="326"/>
        <v>0</v>
      </c>
      <c r="V1054" s="50">
        <f t="shared" si="327"/>
        <v>99999</v>
      </c>
      <c r="W1054" s="45">
        <f t="shared" si="328"/>
        <v>0</v>
      </c>
      <c r="X1054" s="45">
        <f>0.3*W1054*Model!$B$9</f>
        <v>0</v>
      </c>
      <c r="Y1054" s="33">
        <f>(S1054-X1054)/Model!$B$11</f>
        <v>0</v>
      </c>
      <c r="Z1054" s="45" t="e">
        <f t="shared" si="329"/>
        <v>#DIV/0!</v>
      </c>
      <c r="AA1054" s="56">
        <f>Y1054/Model!$B$12*3600</f>
        <v>0</v>
      </c>
      <c r="AB1054" s="50">
        <f t="shared" si="334"/>
        <v>0</v>
      </c>
      <c r="AC1054" s="50">
        <f t="shared" si="338"/>
        <v>1800</v>
      </c>
      <c r="AD1054" s="15">
        <f>IF(AE1054=0, Model!$B$19, 0 )</f>
        <v>0</v>
      </c>
      <c r="AE1054" s="50">
        <f>IF(AE1053+AB1053-AB1054&lt;Model!$B$19*Model!$B$18, AE1053+AB1053-AB1054,  0)</f>
        <v>443.63457370611354</v>
      </c>
      <c r="AF1054" s="15">
        <f t="shared" si="330"/>
        <v>1</v>
      </c>
      <c r="AG1054" s="50">
        <f t="shared" si="331"/>
        <v>0</v>
      </c>
    </row>
    <row r="1055" spans="2:33" x14ac:dyDescent="0.25">
      <c r="B1055" s="13">
        <f t="shared" si="332"/>
        <v>1</v>
      </c>
      <c r="C1055" s="13">
        <f>B1055+Model!$B$4</f>
        <v>3</v>
      </c>
      <c r="D1055" s="13">
        <f t="shared" si="333"/>
        <v>1</v>
      </c>
      <c r="E1055" s="13">
        <f t="shared" si="313"/>
        <v>3</v>
      </c>
      <c r="F1055" s="14">
        <f>IF(AB1055&gt;0, VLOOKUP(B1055,Model!$A$40:$B$60, 2), 0)</f>
        <v>0</v>
      </c>
      <c r="G1055" s="13">
        <f>IF(AB1055&gt;0, VLOOKUP(B1055,Model!$A$39:$C$58, 3), 0)</f>
        <v>0</v>
      </c>
      <c r="H1055" s="13">
        <f t="shared" si="322"/>
        <v>0</v>
      </c>
      <c r="I1055" s="46">
        <f>Model!$B$21*EXP((-0.029*9.81*F1055)/(8.31*(273+J1055)))</f>
        <v>104500</v>
      </c>
      <c r="J1055" s="13">
        <f>IF(Model!$B$31="Summer",  IF(F1055&lt;=2000,  Model!$B$20-Model!$B$35*F1055/1000,  IF(F1055&lt;Model!$B$36,  Model!$B$33-6.5*F1055/1000,  Model!$B$38)),     IF(F1055&lt;=2000,  Model!$B$20-Model!$B$35*F1055/1000,  IF(F1055&lt;Model!$B$36,  Model!$B$33-5.4*F1055/1000,   Model!$B$38)))</f>
        <v>-20</v>
      </c>
      <c r="K1055" s="13">
        <f t="shared" si="335"/>
        <v>253</v>
      </c>
      <c r="L1055" s="46">
        <f>IF(AB1054-AA1054*(B1055-B1054)&gt;0, L1054-Y1054*(B1055-B1054)*3600-AD1055*Model!$B$16, 0)</f>
        <v>0</v>
      </c>
      <c r="M1055" s="57">
        <f t="shared" si="323"/>
        <v>0</v>
      </c>
      <c r="N1055" s="57">
        <f>Model!$B$13*I1055*K1055/(Model!$B$13*I1055-L1055*287*K1055)</f>
        <v>253</v>
      </c>
      <c r="O1055" s="57">
        <f t="shared" si="324"/>
        <v>253</v>
      </c>
      <c r="P1055" s="57">
        <f t="shared" si="325"/>
        <v>-10</v>
      </c>
      <c r="Q1055" s="63">
        <f t="shared" si="336"/>
        <v>2.2579999999999999E-2</v>
      </c>
      <c r="R1055" s="17">
        <f t="shared" si="337"/>
        <v>1.152E-5</v>
      </c>
      <c r="S1055" s="46">
        <f>0.37*Model!$B$10*(Q1055^2*(N1055-K1055)*I1055/(R1055*O1055^2))^0.33333*(N1055-K1055)</f>
        <v>0</v>
      </c>
      <c r="T1055" s="51">
        <f>Model!$B$32+(90-Model!$B$6)*SIN(RADIANS(-15*(E1055+6)))</f>
        <v>-31.619472402513487</v>
      </c>
      <c r="U1055" s="46">
        <f t="shared" si="326"/>
        <v>0</v>
      </c>
      <c r="V1055" s="51">
        <f t="shared" si="327"/>
        <v>99999</v>
      </c>
      <c r="W1055" s="46">
        <f t="shared" si="328"/>
        <v>0</v>
      </c>
      <c r="X1055" s="46">
        <f>0.3*W1055*Model!$B$9</f>
        <v>0</v>
      </c>
      <c r="Y1055" s="17">
        <f>(S1055-X1055)/Model!$B$11</f>
        <v>0</v>
      </c>
      <c r="Z1055" s="46" t="e">
        <f t="shared" si="329"/>
        <v>#DIV/0!</v>
      </c>
      <c r="AA1055" s="57">
        <f>Y1055/Model!$B$12*3600</f>
        <v>0</v>
      </c>
      <c r="AB1055" s="51">
        <f t="shared" si="334"/>
        <v>0</v>
      </c>
      <c r="AC1055" s="51">
        <f t="shared" si="338"/>
        <v>1800</v>
      </c>
      <c r="AD1055" s="13">
        <f>IF(AE1055=0, Model!$B$19, 0 )</f>
        <v>0</v>
      </c>
      <c r="AE1055" s="51">
        <f>IF(AE1054+AB1054-AB1055&lt;Model!$B$19*Model!$B$18, AE1054+AB1054-AB1055,  0)</f>
        <v>443.63457370611354</v>
      </c>
      <c r="AF1055" s="13">
        <f t="shared" si="330"/>
        <v>1</v>
      </c>
      <c r="AG1055" s="50">
        <f t="shared" si="331"/>
        <v>0</v>
      </c>
    </row>
    <row r="1056" spans="2:33" x14ac:dyDescent="0.25">
      <c r="B1056" s="15">
        <f t="shared" si="332"/>
        <v>1</v>
      </c>
      <c r="C1056" s="15">
        <f>B1056+Model!$B$4</f>
        <v>3</v>
      </c>
      <c r="D1056" s="15">
        <f t="shared" si="333"/>
        <v>1</v>
      </c>
      <c r="E1056" s="15">
        <f t="shared" si="313"/>
        <v>3</v>
      </c>
      <c r="F1056" s="16">
        <f>IF(AB1056&gt;0, VLOOKUP(B1056,Model!$A$40:$B$60, 2), 0)</f>
        <v>0</v>
      </c>
      <c r="G1056" s="15">
        <f>IF(AB1056&gt;0, VLOOKUP(B1056,Model!$A$39:$C$58, 3), 0)</f>
        <v>0</v>
      </c>
      <c r="H1056" s="15">
        <f t="shared" si="322"/>
        <v>0</v>
      </c>
      <c r="I1056" s="45">
        <f>Model!$B$21*EXP((-0.029*9.81*F1056)/(8.31*(273+J1056)))</f>
        <v>104500</v>
      </c>
      <c r="J1056" s="15">
        <f>IF(Model!$B$31="Summer",  IF(F1056&lt;=2000,  Model!$B$20-Model!$B$35*F1056/1000,  IF(F1056&lt;Model!$B$36,  Model!$B$33-6.5*F1056/1000,  Model!$B$38)),     IF(F1056&lt;=2000,  Model!$B$20-Model!$B$35*F1056/1000,  IF(F1056&lt;Model!$B$36,  Model!$B$33-5.4*F1056/1000,   Model!$B$38)))</f>
        <v>-20</v>
      </c>
      <c r="K1056" s="15">
        <f t="shared" si="335"/>
        <v>253</v>
      </c>
      <c r="L1056" s="45">
        <f>IF(AB1055-AA1055*(B1056-B1055)&gt;0, L1055-Y1055*(B1056-B1055)*3600-AD1056*Model!$B$16, 0)</f>
        <v>0</v>
      </c>
      <c r="M1056" s="56">
        <f t="shared" si="323"/>
        <v>0</v>
      </c>
      <c r="N1056" s="56">
        <f>Model!$B$13*I1056*K1056/(Model!$B$13*I1056-L1056*287*K1056)</f>
        <v>253</v>
      </c>
      <c r="O1056" s="56">
        <f t="shared" si="324"/>
        <v>253</v>
      </c>
      <c r="P1056" s="56">
        <f t="shared" si="325"/>
        <v>-10</v>
      </c>
      <c r="Q1056" s="62">
        <f t="shared" si="336"/>
        <v>2.2579999999999999E-2</v>
      </c>
      <c r="R1056" s="33">
        <f t="shared" si="337"/>
        <v>1.152E-5</v>
      </c>
      <c r="S1056" s="45">
        <f>0.37*Model!$B$10*(Q1056^2*(N1056-K1056)*I1056/(R1056*O1056^2))^0.33333*(N1056-K1056)</f>
        <v>0</v>
      </c>
      <c r="T1056" s="50">
        <f>Model!$B$32+(90-Model!$B$6)*SIN(RADIANS(-15*(E1056+6)))</f>
        <v>-31.619472402513487</v>
      </c>
      <c r="U1056" s="45">
        <f t="shared" si="326"/>
        <v>0</v>
      </c>
      <c r="V1056" s="50">
        <f t="shared" si="327"/>
        <v>99999</v>
      </c>
      <c r="W1056" s="45">
        <f t="shared" si="328"/>
        <v>0</v>
      </c>
      <c r="X1056" s="45">
        <f>0.3*W1056*Model!$B$9</f>
        <v>0</v>
      </c>
      <c r="Y1056" s="33">
        <f>(S1056-X1056)/Model!$B$11</f>
        <v>0</v>
      </c>
      <c r="Z1056" s="45" t="e">
        <f t="shared" si="329"/>
        <v>#DIV/0!</v>
      </c>
      <c r="AA1056" s="56">
        <f>Y1056/Model!$B$12*3600</f>
        <v>0</v>
      </c>
      <c r="AB1056" s="50">
        <f t="shared" si="334"/>
        <v>0</v>
      </c>
      <c r="AC1056" s="50">
        <f t="shared" si="338"/>
        <v>1800</v>
      </c>
      <c r="AD1056" s="15">
        <f>IF(AE1056=0, Model!$B$19, 0 )</f>
        <v>0</v>
      </c>
      <c r="AE1056" s="50">
        <f>IF(AE1055+AB1055-AB1056&lt;Model!$B$19*Model!$B$18, AE1055+AB1055-AB1056,  0)</f>
        <v>443.63457370611354</v>
      </c>
      <c r="AF1056" s="15">
        <f t="shared" si="330"/>
        <v>1</v>
      </c>
      <c r="AG1056" s="50">
        <f t="shared" si="331"/>
        <v>0</v>
      </c>
    </row>
    <row r="1057" spans="2:33" x14ac:dyDescent="0.25">
      <c r="B1057" s="13">
        <f t="shared" si="332"/>
        <v>1</v>
      </c>
      <c r="C1057" s="13">
        <f>B1057+Model!$B$4</f>
        <v>3</v>
      </c>
      <c r="D1057" s="13">
        <f t="shared" si="333"/>
        <v>1</v>
      </c>
      <c r="E1057" s="13">
        <f t="shared" si="313"/>
        <v>3</v>
      </c>
      <c r="F1057" s="14">
        <f>IF(AB1057&gt;0, VLOOKUP(B1057,Model!$A$40:$B$60, 2), 0)</f>
        <v>0</v>
      </c>
      <c r="G1057" s="13">
        <f>IF(AB1057&gt;0, VLOOKUP(B1057,Model!$A$39:$C$58, 3), 0)</f>
        <v>0</v>
      </c>
      <c r="H1057" s="13">
        <f t="shared" si="322"/>
        <v>0</v>
      </c>
      <c r="I1057" s="46">
        <f>Model!$B$21*EXP((-0.029*9.81*F1057)/(8.31*(273+J1057)))</f>
        <v>104500</v>
      </c>
      <c r="J1057" s="13">
        <f>IF(Model!$B$31="Summer",  IF(F1057&lt;=2000,  Model!$B$20-Model!$B$35*F1057/1000,  IF(F1057&lt;Model!$B$36,  Model!$B$33-6.5*F1057/1000,  Model!$B$38)),     IF(F1057&lt;=2000,  Model!$B$20-Model!$B$35*F1057/1000,  IF(F1057&lt;Model!$B$36,  Model!$B$33-5.4*F1057/1000,   Model!$B$38)))</f>
        <v>-20</v>
      </c>
      <c r="K1057" s="13">
        <f t="shared" si="335"/>
        <v>253</v>
      </c>
      <c r="L1057" s="46">
        <f>IF(AB1056-AA1056*(B1057-B1056)&gt;0, L1056-Y1056*(B1057-B1056)*3600-AD1057*Model!$B$16, 0)</f>
        <v>0</v>
      </c>
      <c r="M1057" s="57">
        <f t="shared" si="323"/>
        <v>0</v>
      </c>
      <c r="N1057" s="57">
        <f>Model!$B$13*I1057*K1057/(Model!$B$13*I1057-L1057*287*K1057)</f>
        <v>253</v>
      </c>
      <c r="O1057" s="57">
        <f t="shared" si="324"/>
        <v>253</v>
      </c>
      <c r="P1057" s="57">
        <f t="shared" si="325"/>
        <v>-10</v>
      </c>
      <c r="Q1057" s="63">
        <f t="shared" si="336"/>
        <v>2.2579999999999999E-2</v>
      </c>
      <c r="R1057" s="17">
        <f t="shared" si="337"/>
        <v>1.152E-5</v>
      </c>
      <c r="S1057" s="46">
        <f>0.37*Model!$B$10*(Q1057^2*(N1057-K1057)*I1057/(R1057*O1057^2))^0.33333*(N1057-K1057)</f>
        <v>0</v>
      </c>
      <c r="T1057" s="51">
        <f>Model!$B$32+(90-Model!$B$6)*SIN(RADIANS(-15*(E1057+6)))</f>
        <v>-31.619472402513487</v>
      </c>
      <c r="U1057" s="46">
        <f t="shared" si="326"/>
        <v>0</v>
      </c>
      <c r="V1057" s="51">
        <f t="shared" si="327"/>
        <v>99999</v>
      </c>
      <c r="W1057" s="46">
        <f t="shared" si="328"/>
        <v>0</v>
      </c>
      <c r="X1057" s="46">
        <f>0.3*W1057*Model!$B$9</f>
        <v>0</v>
      </c>
      <c r="Y1057" s="17">
        <f>(S1057-X1057)/Model!$B$11</f>
        <v>0</v>
      </c>
      <c r="Z1057" s="46" t="e">
        <f t="shared" si="329"/>
        <v>#DIV/0!</v>
      </c>
      <c r="AA1057" s="57">
        <f>Y1057/Model!$B$12*3600</f>
        <v>0</v>
      </c>
      <c r="AB1057" s="51">
        <f t="shared" si="334"/>
        <v>0</v>
      </c>
      <c r="AC1057" s="51">
        <f t="shared" si="338"/>
        <v>1800</v>
      </c>
      <c r="AD1057" s="13">
        <f>IF(AE1057=0, Model!$B$19, 0 )</f>
        <v>0</v>
      </c>
      <c r="AE1057" s="51">
        <f>IF(AE1056+AB1056-AB1057&lt;Model!$B$19*Model!$B$18, AE1056+AB1056-AB1057,  0)</f>
        <v>443.63457370611354</v>
      </c>
      <c r="AF1057" s="13">
        <f t="shared" si="330"/>
        <v>1</v>
      </c>
      <c r="AG1057" s="50">
        <f t="shared" si="331"/>
        <v>0</v>
      </c>
    </row>
    <row r="1058" spans="2:33" x14ac:dyDescent="0.25">
      <c r="B1058" s="15">
        <f t="shared" si="332"/>
        <v>1</v>
      </c>
      <c r="C1058" s="15">
        <f>B1058+Model!$B$4</f>
        <v>3</v>
      </c>
      <c r="D1058" s="15">
        <f t="shared" si="333"/>
        <v>1</v>
      </c>
      <c r="E1058" s="15">
        <f t="shared" si="313"/>
        <v>3</v>
      </c>
      <c r="F1058" s="16">
        <f>IF(AB1058&gt;0, VLOOKUP(B1058,Model!$A$40:$B$60, 2), 0)</f>
        <v>0</v>
      </c>
      <c r="G1058" s="15">
        <f>IF(AB1058&gt;0, VLOOKUP(B1058,Model!$A$39:$C$58, 3), 0)</f>
        <v>0</v>
      </c>
      <c r="H1058" s="15">
        <f t="shared" si="322"/>
        <v>0</v>
      </c>
      <c r="I1058" s="45">
        <f>Model!$B$21*EXP((-0.029*9.81*F1058)/(8.31*(273+J1058)))</f>
        <v>104500</v>
      </c>
      <c r="J1058" s="15">
        <f>IF(Model!$B$31="Summer",  IF(F1058&lt;=2000,  Model!$B$20-Model!$B$35*F1058/1000,  IF(F1058&lt;Model!$B$36,  Model!$B$33-6.5*F1058/1000,  Model!$B$38)),     IF(F1058&lt;=2000,  Model!$B$20-Model!$B$35*F1058/1000,  IF(F1058&lt;Model!$B$36,  Model!$B$33-5.4*F1058/1000,   Model!$B$38)))</f>
        <v>-20</v>
      </c>
      <c r="K1058" s="15">
        <f t="shared" si="335"/>
        <v>253</v>
      </c>
      <c r="L1058" s="45">
        <f>IF(AB1057-AA1057*(B1058-B1057)&gt;0, L1057-Y1057*(B1058-B1057)*3600-AD1058*Model!$B$16, 0)</f>
        <v>0</v>
      </c>
      <c r="M1058" s="56">
        <f t="shared" si="323"/>
        <v>0</v>
      </c>
      <c r="N1058" s="56">
        <f>Model!$B$13*I1058*K1058/(Model!$B$13*I1058-L1058*287*K1058)</f>
        <v>253</v>
      </c>
      <c r="O1058" s="56">
        <f t="shared" si="324"/>
        <v>253</v>
      </c>
      <c r="P1058" s="56">
        <f t="shared" si="325"/>
        <v>-10</v>
      </c>
      <c r="Q1058" s="62">
        <f t="shared" si="336"/>
        <v>2.2579999999999999E-2</v>
      </c>
      <c r="R1058" s="33">
        <f t="shared" si="337"/>
        <v>1.152E-5</v>
      </c>
      <c r="S1058" s="45">
        <f>0.37*Model!$B$10*(Q1058^2*(N1058-K1058)*I1058/(R1058*O1058^2))^0.33333*(N1058-K1058)</f>
        <v>0</v>
      </c>
      <c r="T1058" s="50">
        <f>Model!$B$32+(90-Model!$B$6)*SIN(RADIANS(-15*(E1058+6)))</f>
        <v>-31.619472402513487</v>
      </c>
      <c r="U1058" s="45">
        <f t="shared" si="326"/>
        <v>0</v>
      </c>
      <c r="V1058" s="50">
        <f t="shared" si="327"/>
        <v>99999</v>
      </c>
      <c r="W1058" s="45">
        <f t="shared" si="328"/>
        <v>0</v>
      </c>
      <c r="X1058" s="45">
        <f>0.3*W1058*Model!$B$9</f>
        <v>0</v>
      </c>
      <c r="Y1058" s="33">
        <f>(S1058-X1058)/Model!$B$11</f>
        <v>0</v>
      </c>
      <c r="Z1058" s="45" t="e">
        <f t="shared" si="329"/>
        <v>#DIV/0!</v>
      </c>
      <c r="AA1058" s="56">
        <f>Y1058/Model!$B$12*3600</f>
        <v>0</v>
      </c>
      <c r="AB1058" s="50">
        <f t="shared" si="334"/>
        <v>0</v>
      </c>
      <c r="AC1058" s="50">
        <f t="shared" si="338"/>
        <v>1800</v>
      </c>
      <c r="AD1058" s="15">
        <f>IF(AE1058=0, Model!$B$19, 0 )</f>
        <v>0</v>
      </c>
      <c r="AE1058" s="50">
        <f>IF(AE1057+AB1057-AB1058&lt;Model!$B$19*Model!$B$18, AE1057+AB1057-AB1058,  0)</f>
        <v>443.63457370611354</v>
      </c>
      <c r="AF1058" s="15">
        <f t="shared" si="330"/>
        <v>1</v>
      </c>
      <c r="AG1058" s="50">
        <f t="shared" si="331"/>
        <v>0</v>
      </c>
    </row>
    <row r="1059" spans="2:33" x14ac:dyDescent="0.25">
      <c r="B1059" s="13">
        <f t="shared" si="332"/>
        <v>1</v>
      </c>
      <c r="C1059" s="13">
        <f>B1059+Model!$B$4</f>
        <v>3</v>
      </c>
      <c r="D1059" s="13">
        <f t="shared" si="333"/>
        <v>1</v>
      </c>
      <c r="E1059" s="13">
        <f t="shared" ref="E1059:E1122" si="339">C1059-24*(D1059-1)</f>
        <v>3</v>
      </c>
      <c r="F1059" s="14">
        <f>IF(AB1059&gt;0, VLOOKUP(B1059,Model!$A$40:$B$60, 2), 0)</f>
        <v>0</v>
      </c>
      <c r="G1059" s="13">
        <f>IF(AB1059&gt;0, VLOOKUP(B1059,Model!$A$39:$C$58, 3), 0)</f>
        <v>0</v>
      </c>
      <c r="H1059" s="13">
        <f t="shared" si="322"/>
        <v>0</v>
      </c>
      <c r="I1059" s="46">
        <f>Model!$B$21*EXP((-0.029*9.81*F1059)/(8.31*(273+J1059)))</f>
        <v>104500</v>
      </c>
      <c r="J1059" s="13">
        <f>IF(Model!$B$31="Summer",  IF(F1059&lt;=2000,  Model!$B$20-Model!$B$35*F1059/1000,  IF(F1059&lt;Model!$B$36,  Model!$B$33-6.5*F1059/1000,  Model!$B$38)),     IF(F1059&lt;=2000,  Model!$B$20-Model!$B$35*F1059/1000,  IF(F1059&lt;Model!$B$36,  Model!$B$33-5.4*F1059/1000,   Model!$B$38)))</f>
        <v>-20</v>
      </c>
      <c r="K1059" s="13">
        <f t="shared" si="335"/>
        <v>253</v>
      </c>
      <c r="L1059" s="46">
        <f>IF(AB1058-AA1058*(B1059-B1058)&gt;0, L1058-Y1058*(B1059-B1058)*3600-AD1059*Model!$B$16, 0)</f>
        <v>0</v>
      </c>
      <c r="M1059" s="57">
        <f t="shared" si="323"/>
        <v>0</v>
      </c>
      <c r="N1059" s="57">
        <f>Model!$B$13*I1059*K1059/(Model!$B$13*I1059-L1059*287*K1059)</f>
        <v>253</v>
      </c>
      <c r="O1059" s="57">
        <f t="shared" si="324"/>
        <v>253</v>
      </c>
      <c r="P1059" s="57">
        <f t="shared" si="325"/>
        <v>-10</v>
      </c>
      <c r="Q1059" s="63">
        <f t="shared" si="336"/>
        <v>2.2579999999999999E-2</v>
      </c>
      <c r="R1059" s="17">
        <f t="shared" si="337"/>
        <v>1.152E-5</v>
      </c>
      <c r="S1059" s="46">
        <f>0.37*Model!$B$10*(Q1059^2*(N1059-K1059)*I1059/(R1059*O1059^2))^0.33333*(N1059-K1059)</f>
        <v>0</v>
      </c>
      <c r="T1059" s="51">
        <f>Model!$B$32+(90-Model!$B$6)*SIN(RADIANS(-15*(E1059+6)))</f>
        <v>-31.619472402513487</v>
      </c>
      <c r="U1059" s="46">
        <f t="shared" si="326"/>
        <v>0</v>
      </c>
      <c r="V1059" s="51">
        <f t="shared" si="327"/>
        <v>99999</v>
      </c>
      <c r="W1059" s="46">
        <f t="shared" si="328"/>
        <v>0</v>
      </c>
      <c r="X1059" s="46">
        <f>0.3*W1059*Model!$B$9</f>
        <v>0</v>
      </c>
      <c r="Y1059" s="17">
        <f>(S1059-X1059)/Model!$B$11</f>
        <v>0</v>
      </c>
      <c r="Z1059" s="46" t="e">
        <f t="shared" si="329"/>
        <v>#DIV/0!</v>
      </c>
      <c r="AA1059" s="57">
        <f>Y1059/Model!$B$12*3600</f>
        <v>0</v>
      </c>
      <c r="AB1059" s="51">
        <f t="shared" si="334"/>
        <v>0</v>
      </c>
      <c r="AC1059" s="51">
        <f t="shared" si="338"/>
        <v>1800</v>
      </c>
      <c r="AD1059" s="13">
        <f>IF(AE1059=0, Model!$B$19, 0 )</f>
        <v>0</v>
      </c>
      <c r="AE1059" s="51">
        <f>IF(AE1058+AB1058-AB1059&lt;Model!$B$19*Model!$B$18, AE1058+AB1058-AB1059,  0)</f>
        <v>443.63457370611354</v>
      </c>
      <c r="AF1059" s="13">
        <f t="shared" si="330"/>
        <v>1</v>
      </c>
      <c r="AG1059" s="50">
        <f t="shared" si="331"/>
        <v>0</v>
      </c>
    </row>
    <row r="1060" spans="2:33" x14ac:dyDescent="0.25">
      <c r="B1060" s="15">
        <f t="shared" si="332"/>
        <v>1</v>
      </c>
      <c r="C1060" s="15">
        <f>B1060+Model!$B$4</f>
        <v>3</v>
      </c>
      <c r="D1060" s="15">
        <f t="shared" si="333"/>
        <v>1</v>
      </c>
      <c r="E1060" s="15">
        <f t="shared" si="339"/>
        <v>3</v>
      </c>
      <c r="F1060" s="16">
        <f>IF(AB1060&gt;0, VLOOKUP(B1060,Model!$A$40:$B$60, 2), 0)</f>
        <v>0</v>
      </c>
      <c r="G1060" s="15">
        <f>IF(AB1060&gt;0, VLOOKUP(B1060,Model!$A$39:$C$58, 3), 0)</f>
        <v>0</v>
      </c>
      <c r="H1060" s="15">
        <f t="shared" si="322"/>
        <v>0</v>
      </c>
      <c r="I1060" s="45">
        <f>Model!$B$21*EXP((-0.029*9.81*F1060)/(8.31*(273+J1060)))</f>
        <v>104500</v>
      </c>
      <c r="J1060" s="15">
        <f>IF(Model!$B$31="Summer",  IF(F1060&lt;=2000,  Model!$B$20-Model!$B$35*F1060/1000,  IF(F1060&lt;Model!$B$36,  Model!$B$33-6.5*F1060/1000,  Model!$B$38)),     IF(F1060&lt;=2000,  Model!$B$20-Model!$B$35*F1060/1000,  IF(F1060&lt;Model!$B$36,  Model!$B$33-5.4*F1060/1000,   Model!$B$38)))</f>
        <v>-20</v>
      </c>
      <c r="K1060" s="15">
        <f t="shared" si="335"/>
        <v>253</v>
      </c>
      <c r="L1060" s="45">
        <f>IF(AB1059-AA1059*(B1060-B1059)&gt;0, L1059-Y1059*(B1060-B1059)*3600-AD1060*Model!$B$16, 0)</f>
        <v>0</v>
      </c>
      <c r="M1060" s="56">
        <f t="shared" si="323"/>
        <v>0</v>
      </c>
      <c r="N1060" s="56">
        <f>Model!$B$13*I1060*K1060/(Model!$B$13*I1060-L1060*287*K1060)</f>
        <v>253</v>
      </c>
      <c r="O1060" s="56">
        <f t="shared" si="324"/>
        <v>253</v>
      </c>
      <c r="P1060" s="56">
        <f t="shared" si="325"/>
        <v>-10</v>
      </c>
      <c r="Q1060" s="62">
        <f t="shared" si="336"/>
        <v>2.2579999999999999E-2</v>
      </c>
      <c r="R1060" s="33">
        <f t="shared" si="337"/>
        <v>1.152E-5</v>
      </c>
      <c r="S1060" s="45">
        <f>0.37*Model!$B$10*(Q1060^2*(N1060-K1060)*I1060/(R1060*O1060^2))^0.33333*(N1060-K1060)</f>
        <v>0</v>
      </c>
      <c r="T1060" s="50">
        <f>Model!$B$32+(90-Model!$B$6)*SIN(RADIANS(-15*(E1060+6)))</f>
        <v>-31.619472402513487</v>
      </c>
      <c r="U1060" s="45">
        <f t="shared" si="326"/>
        <v>0</v>
      </c>
      <c r="V1060" s="50">
        <f t="shared" si="327"/>
        <v>99999</v>
      </c>
      <c r="W1060" s="45">
        <f t="shared" si="328"/>
        <v>0</v>
      </c>
      <c r="X1060" s="45">
        <f>0.3*W1060*Model!$B$9</f>
        <v>0</v>
      </c>
      <c r="Y1060" s="33">
        <f>(S1060-X1060)/Model!$B$11</f>
        <v>0</v>
      </c>
      <c r="Z1060" s="45" t="e">
        <f t="shared" si="329"/>
        <v>#DIV/0!</v>
      </c>
      <c r="AA1060" s="56">
        <f>Y1060/Model!$B$12*3600</f>
        <v>0</v>
      </c>
      <c r="AB1060" s="50">
        <f t="shared" si="334"/>
        <v>0</v>
      </c>
      <c r="AC1060" s="50">
        <f t="shared" si="338"/>
        <v>1800</v>
      </c>
      <c r="AD1060" s="15">
        <f>IF(AE1060=0, Model!$B$19, 0 )</f>
        <v>0</v>
      </c>
      <c r="AE1060" s="50">
        <f>IF(AE1059+AB1059-AB1060&lt;Model!$B$19*Model!$B$18, AE1059+AB1059-AB1060,  0)</f>
        <v>443.63457370611354</v>
      </c>
      <c r="AF1060" s="15">
        <f t="shared" si="330"/>
        <v>1</v>
      </c>
      <c r="AG1060" s="50">
        <f t="shared" si="331"/>
        <v>0</v>
      </c>
    </row>
    <row r="1061" spans="2:33" x14ac:dyDescent="0.25">
      <c r="B1061" s="13">
        <f t="shared" si="332"/>
        <v>1</v>
      </c>
      <c r="C1061" s="13">
        <f>B1061+Model!$B$4</f>
        <v>3</v>
      </c>
      <c r="D1061" s="13">
        <f t="shared" si="333"/>
        <v>1</v>
      </c>
      <c r="E1061" s="13">
        <f t="shared" si="339"/>
        <v>3</v>
      </c>
      <c r="F1061" s="14">
        <f>IF(AB1061&gt;0, VLOOKUP(B1061,Model!$A$40:$B$60, 2), 0)</f>
        <v>0</v>
      </c>
      <c r="G1061" s="13">
        <f>IF(AB1061&gt;0, VLOOKUP(B1061,Model!$A$39:$C$58, 3), 0)</f>
        <v>0</v>
      </c>
      <c r="H1061" s="13">
        <f t="shared" si="322"/>
        <v>0</v>
      </c>
      <c r="I1061" s="46">
        <f>Model!$B$21*EXP((-0.029*9.81*F1061)/(8.31*(273+J1061)))</f>
        <v>104500</v>
      </c>
      <c r="J1061" s="13">
        <f>IF(Model!$B$31="Summer",  IF(F1061&lt;=2000,  Model!$B$20-Model!$B$35*F1061/1000,  IF(F1061&lt;Model!$B$36,  Model!$B$33-6.5*F1061/1000,  Model!$B$38)),     IF(F1061&lt;=2000,  Model!$B$20-Model!$B$35*F1061/1000,  IF(F1061&lt;Model!$B$36,  Model!$B$33-5.4*F1061/1000,   Model!$B$38)))</f>
        <v>-20</v>
      </c>
      <c r="K1061" s="13">
        <f t="shared" si="335"/>
        <v>253</v>
      </c>
      <c r="L1061" s="46">
        <f>IF(AB1060-AA1060*(B1061-B1060)&gt;0, L1060-Y1060*(B1061-B1060)*3600-AD1061*Model!$B$16, 0)</f>
        <v>0</v>
      </c>
      <c r="M1061" s="57">
        <f t="shared" si="323"/>
        <v>0</v>
      </c>
      <c r="N1061" s="57">
        <f>Model!$B$13*I1061*K1061/(Model!$B$13*I1061-L1061*287*K1061)</f>
        <v>253</v>
      </c>
      <c r="O1061" s="57">
        <f t="shared" si="324"/>
        <v>253</v>
      </c>
      <c r="P1061" s="57">
        <f t="shared" si="325"/>
        <v>-10</v>
      </c>
      <c r="Q1061" s="63">
        <f t="shared" si="336"/>
        <v>2.2579999999999999E-2</v>
      </c>
      <c r="R1061" s="17">
        <f t="shared" si="337"/>
        <v>1.152E-5</v>
      </c>
      <c r="S1061" s="46">
        <f>0.37*Model!$B$10*(Q1061^2*(N1061-K1061)*I1061/(R1061*O1061^2))^0.33333*(N1061-K1061)</f>
        <v>0</v>
      </c>
      <c r="T1061" s="51">
        <f>Model!$B$32+(90-Model!$B$6)*SIN(RADIANS(-15*(E1061+6)))</f>
        <v>-31.619472402513487</v>
      </c>
      <c r="U1061" s="46">
        <f t="shared" si="326"/>
        <v>0</v>
      </c>
      <c r="V1061" s="51">
        <f t="shared" si="327"/>
        <v>99999</v>
      </c>
      <c r="W1061" s="46">
        <f t="shared" si="328"/>
        <v>0</v>
      </c>
      <c r="X1061" s="46">
        <f>0.3*W1061*Model!$B$9</f>
        <v>0</v>
      </c>
      <c r="Y1061" s="17">
        <f>(S1061-X1061)/Model!$B$11</f>
        <v>0</v>
      </c>
      <c r="Z1061" s="46" t="e">
        <f t="shared" si="329"/>
        <v>#DIV/0!</v>
      </c>
      <c r="AA1061" s="57">
        <f>Y1061/Model!$B$12*3600</f>
        <v>0</v>
      </c>
      <c r="AB1061" s="51">
        <f t="shared" si="334"/>
        <v>0</v>
      </c>
      <c r="AC1061" s="51">
        <f t="shared" si="338"/>
        <v>1800</v>
      </c>
      <c r="AD1061" s="13">
        <f>IF(AE1061=0, Model!$B$19, 0 )</f>
        <v>0</v>
      </c>
      <c r="AE1061" s="51">
        <f>IF(AE1060+AB1060-AB1061&lt;Model!$B$19*Model!$B$18, AE1060+AB1060-AB1061,  0)</f>
        <v>443.63457370611354</v>
      </c>
      <c r="AF1061" s="13">
        <f t="shared" si="330"/>
        <v>1</v>
      </c>
      <c r="AG1061" s="50">
        <f t="shared" si="331"/>
        <v>0</v>
      </c>
    </row>
    <row r="1062" spans="2:33" x14ac:dyDescent="0.25">
      <c r="B1062" s="15">
        <f t="shared" si="332"/>
        <v>1</v>
      </c>
      <c r="C1062" s="15">
        <f>B1062+Model!$B$4</f>
        <v>3</v>
      </c>
      <c r="D1062" s="15">
        <f t="shared" si="333"/>
        <v>1</v>
      </c>
      <c r="E1062" s="15">
        <f t="shared" si="339"/>
        <v>3</v>
      </c>
      <c r="F1062" s="16">
        <f>IF(AB1062&gt;0, VLOOKUP(B1062,Model!$A$40:$B$60, 2), 0)</f>
        <v>0</v>
      </c>
      <c r="G1062" s="15">
        <f>IF(AB1062&gt;0, VLOOKUP(B1062,Model!$A$39:$C$58, 3), 0)</f>
        <v>0</v>
      </c>
      <c r="H1062" s="15">
        <f t="shared" si="322"/>
        <v>0</v>
      </c>
      <c r="I1062" s="45">
        <f>Model!$B$21*EXP((-0.029*9.81*F1062)/(8.31*(273+J1062)))</f>
        <v>104500</v>
      </c>
      <c r="J1062" s="15">
        <f>IF(Model!$B$31="Summer",  IF(F1062&lt;=2000,  Model!$B$20-Model!$B$35*F1062/1000,  IF(F1062&lt;Model!$B$36,  Model!$B$33-6.5*F1062/1000,  Model!$B$38)),     IF(F1062&lt;=2000,  Model!$B$20-Model!$B$35*F1062/1000,  IF(F1062&lt;Model!$B$36,  Model!$B$33-5.4*F1062/1000,   Model!$B$38)))</f>
        <v>-20</v>
      </c>
      <c r="K1062" s="15">
        <f t="shared" si="335"/>
        <v>253</v>
      </c>
      <c r="L1062" s="45">
        <f>IF(AB1061-AA1061*(B1062-B1061)&gt;0, L1061-Y1061*(B1062-B1061)*3600-AD1062*Model!$B$16, 0)</f>
        <v>0</v>
      </c>
      <c r="M1062" s="56">
        <f t="shared" si="323"/>
        <v>0</v>
      </c>
      <c r="N1062" s="56">
        <f>Model!$B$13*I1062*K1062/(Model!$B$13*I1062-L1062*287*K1062)</f>
        <v>253</v>
      </c>
      <c r="O1062" s="56">
        <f t="shared" si="324"/>
        <v>253</v>
      </c>
      <c r="P1062" s="56">
        <f t="shared" si="325"/>
        <v>-10</v>
      </c>
      <c r="Q1062" s="62">
        <f t="shared" si="336"/>
        <v>2.2579999999999999E-2</v>
      </c>
      <c r="R1062" s="33">
        <f t="shared" si="337"/>
        <v>1.152E-5</v>
      </c>
      <c r="S1062" s="45">
        <f>0.37*Model!$B$10*(Q1062^2*(N1062-K1062)*I1062/(R1062*O1062^2))^0.33333*(N1062-K1062)</f>
        <v>0</v>
      </c>
      <c r="T1062" s="50">
        <f>Model!$B$32+(90-Model!$B$6)*SIN(RADIANS(-15*(E1062+6)))</f>
        <v>-31.619472402513487</v>
      </c>
      <c r="U1062" s="45">
        <f t="shared" si="326"/>
        <v>0</v>
      </c>
      <c r="V1062" s="50">
        <f t="shared" si="327"/>
        <v>99999</v>
      </c>
      <c r="W1062" s="45">
        <f t="shared" si="328"/>
        <v>0</v>
      </c>
      <c r="X1062" s="45">
        <f>0.3*W1062*Model!$B$9</f>
        <v>0</v>
      </c>
      <c r="Y1062" s="33">
        <f>(S1062-X1062)/Model!$B$11</f>
        <v>0</v>
      </c>
      <c r="Z1062" s="45" t="e">
        <f t="shared" si="329"/>
        <v>#DIV/0!</v>
      </c>
      <c r="AA1062" s="56">
        <f>Y1062/Model!$B$12*3600</f>
        <v>0</v>
      </c>
      <c r="AB1062" s="50">
        <f t="shared" si="334"/>
        <v>0</v>
      </c>
      <c r="AC1062" s="50">
        <f t="shared" si="338"/>
        <v>1800</v>
      </c>
      <c r="AD1062" s="15">
        <f>IF(AE1062=0, Model!$B$19, 0 )</f>
        <v>0</v>
      </c>
      <c r="AE1062" s="50">
        <f>IF(AE1061+AB1061-AB1062&lt;Model!$B$19*Model!$B$18, AE1061+AB1061-AB1062,  0)</f>
        <v>443.63457370611354</v>
      </c>
      <c r="AF1062" s="15">
        <f t="shared" si="330"/>
        <v>1</v>
      </c>
      <c r="AG1062" s="50">
        <f t="shared" si="331"/>
        <v>0</v>
      </c>
    </row>
    <row r="1063" spans="2:33" x14ac:dyDescent="0.25">
      <c r="B1063" s="13">
        <f t="shared" si="332"/>
        <v>1</v>
      </c>
      <c r="C1063" s="13">
        <f>B1063+Model!$B$4</f>
        <v>3</v>
      </c>
      <c r="D1063" s="13">
        <f t="shared" si="333"/>
        <v>1</v>
      </c>
      <c r="E1063" s="13">
        <f t="shared" si="339"/>
        <v>3</v>
      </c>
      <c r="F1063" s="14">
        <f>IF(AB1063&gt;0, VLOOKUP(B1063,Model!$A$40:$B$60, 2), 0)</f>
        <v>0</v>
      </c>
      <c r="G1063" s="13">
        <f>IF(AB1063&gt;0, VLOOKUP(B1063,Model!$A$39:$C$58, 3), 0)</f>
        <v>0</v>
      </c>
      <c r="H1063" s="13">
        <f t="shared" si="322"/>
        <v>0</v>
      </c>
      <c r="I1063" s="46">
        <f>Model!$B$21*EXP((-0.029*9.81*F1063)/(8.31*(273+J1063)))</f>
        <v>104500</v>
      </c>
      <c r="J1063" s="13">
        <f>IF(Model!$B$31="Summer",  IF(F1063&lt;=2000,  Model!$B$20-Model!$B$35*F1063/1000,  IF(F1063&lt;Model!$B$36,  Model!$B$33-6.5*F1063/1000,  Model!$B$38)),     IF(F1063&lt;=2000,  Model!$B$20-Model!$B$35*F1063/1000,  IF(F1063&lt;Model!$B$36,  Model!$B$33-5.4*F1063/1000,   Model!$B$38)))</f>
        <v>-20</v>
      </c>
      <c r="K1063" s="13">
        <f t="shared" si="335"/>
        <v>253</v>
      </c>
      <c r="L1063" s="46">
        <f>IF(AB1062-AA1062*(B1063-B1062)&gt;0, L1062-Y1062*(B1063-B1062)*3600-AD1063*Model!$B$16, 0)</f>
        <v>0</v>
      </c>
      <c r="M1063" s="57">
        <f t="shared" si="323"/>
        <v>0</v>
      </c>
      <c r="N1063" s="57">
        <f>Model!$B$13*I1063*K1063/(Model!$B$13*I1063-L1063*287*K1063)</f>
        <v>253</v>
      </c>
      <c r="O1063" s="57">
        <f t="shared" si="324"/>
        <v>253</v>
      </c>
      <c r="P1063" s="57">
        <f t="shared" si="325"/>
        <v>-10</v>
      </c>
      <c r="Q1063" s="63">
        <f t="shared" si="336"/>
        <v>2.2579999999999999E-2</v>
      </c>
      <c r="R1063" s="17">
        <f t="shared" si="337"/>
        <v>1.152E-5</v>
      </c>
      <c r="S1063" s="46">
        <f>0.37*Model!$B$10*(Q1063^2*(N1063-K1063)*I1063/(R1063*O1063^2))^0.33333*(N1063-K1063)</f>
        <v>0</v>
      </c>
      <c r="T1063" s="51">
        <f>Model!$B$32+(90-Model!$B$6)*SIN(RADIANS(-15*(E1063+6)))</f>
        <v>-31.619472402513487</v>
      </c>
      <c r="U1063" s="46">
        <f t="shared" si="326"/>
        <v>0</v>
      </c>
      <c r="V1063" s="51">
        <f t="shared" si="327"/>
        <v>99999</v>
      </c>
      <c r="W1063" s="46">
        <f t="shared" si="328"/>
        <v>0</v>
      </c>
      <c r="X1063" s="46">
        <f>0.3*W1063*Model!$B$9</f>
        <v>0</v>
      </c>
      <c r="Y1063" s="17">
        <f>(S1063-X1063)/Model!$B$11</f>
        <v>0</v>
      </c>
      <c r="Z1063" s="46" t="e">
        <f t="shared" si="329"/>
        <v>#DIV/0!</v>
      </c>
      <c r="AA1063" s="57">
        <f>Y1063/Model!$B$12*3600</f>
        <v>0</v>
      </c>
      <c r="AB1063" s="51">
        <f t="shared" si="334"/>
        <v>0</v>
      </c>
      <c r="AC1063" s="51">
        <f t="shared" si="338"/>
        <v>1800</v>
      </c>
      <c r="AD1063" s="13">
        <f>IF(AE1063=0, Model!$B$19, 0 )</f>
        <v>0</v>
      </c>
      <c r="AE1063" s="51">
        <f>IF(AE1062+AB1062-AB1063&lt;Model!$B$19*Model!$B$18, AE1062+AB1062-AB1063,  0)</f>
        <v>443.63457370611354</v>
      </c>
      <c r="AF1063" s="13">
        <f t="shared" si="330"/>
        <v>1</v>
      </c>
      <c r="AG1063" s="50">
        <f t="shared" si="331"/>
        <v>0</v>
      </c>
    </row>
    <row r="1064" spans="2:33" x14ac:dyDescent="0.25">
      <c r="B1064" s="15">
        <f t="shared" si="332"/>
        <v>1</v>
      </c>
      <c r="C1064" s="15">
        <f>B1064+Model!$B$4</f>
        <v>3</v>
      </c>
      <c r="D1064" s="15">
        <f t="shared" si="333"/>
        <v>1</v>
      </c>
      <c r="E1064" s="15">
        <f t="shared" si="339"/>
        <v>3</v>
      </c>
      <c r="F1064" s="16">
        <f>IF(AB1064&gt;0, VLOOKUP(B1064,Model!$A$40:$B$60, 2), 0)</f>
        <v>0</v>
      </c>
      <c r="G1064" s="15">
        <f>IF(AB1064&gt;0, VLOOKUP(B1064,Model!$A$39:$C$58, 3), 0)</f>
        <v>0</v>
      </c>
      <c r="H1064" s="15">
        <f t="shared" si="322"/>
        <v>0</v>
      </c>
      <c r="I1064" s="45">
        <f>Model!$B$21*EXP((-0.029*9.81*F1064)/(8.31*(273+J1064)))</f>
        <v>104500</v>
      </c>
      <c r="J1064" s="15">
        <f>IF(Model!$B$31="Summer",  IF(F1064&lt;=2000,  Model!$B$20-Model!$B$35*F1064/1000,  IF(F1064&lt;Model!$B$36,  Model!$B$33-6.5*F1064/1000,  Model!$B$38)),     IF(F1064&lt;=2000,  Model!$B$20-Model!$B$35*F1064/1000,  IF(F1064&lt;Model!$B$36,  Model!$B$33-5.4*F1064/1000,   Model!$B$38)))</f>
        <v>-20</v>
      </c>
      <c r="K1064" s="15">
        <f t="shared" si="335"/>
        <v>253</v>
      </c>
      <c r="L1064" s="45">
        <f>IF(AB1063-AA1063*(B1064-B1063)&gt;0, L1063-Y1063*(B1064-B1063)*3600-AD1064*Model!$B$16, 0)</f>
        <v>0</v>
      </c>
      <c r="M1064" s="56">
        <f t="shared" si="323"/>
        <v>0</v>
      </c>
      <c r="N1064" s="56">
        <f>Model!$B$13*I1064*K1064/(Model!$B$13*I1064-L1064*287*K1064)</f>
        <v>253</v>
      </c>
      <c r="O1064" s="56">
        <f t="shared" si="324"/>
        <v>253</v>
      </c>
      <c r="P1064" s="56">
        <f t="shared" si="325"/>
        <v>-10</v>
      </c>
      <c r="Q1064" s="62">
        <f t="shared" si="336"/>
        <v>2.2579999999999999E-2</v>
      </c>
      <c r="R1064" s="33">
        <f t="shared" si="337"/>
        <v>1.152E-5</v>
      </c>
      <c r="S1064" s="45">
        <f>0.37*Model!$B$10*(Q1064^2*(N1064-K1064)*I1064/(R1064*O1064^2))^0.33333*(N1064-K1064)</f>
        <v>0</v>
      </c>
      <c r="T1064" s="50">
        <f>Model!$B$32+(90-Model!$B$6)*SIN(RADIANS(-15*(E1064+6)))</f>
        <v>-31.619472402513487</v>
      </c>
      <c r="U1064" s="45">
        <f t="shared" si="326"/>
        <v>0</v>
      </c>
      <c r="V1064" s="50">
        <f t="shared" si="327"/>
        <v>99999</v>
      </c>
      <c r="W1064" s="45">
        <f t="shared" si="328"/>
        <v>0</v>
      </c>
      <c r="X1064" s="45">
        <f>0.3*W1064*Model!$B$9</f>
        <v>0</v>
      </c>
      <c r="Y1064" s="33">
        <f>(S1064-X1064)/Model!$B$11</f>
        <v>0</v>
      </c>
      <c r="Z1064" s="45" t="e">
        <f t="shared" si="329"/>
        <v>#DIV/0!</v>
      </c>
      <c r="AA1064" s="56">
        <f>Y1064/Model!$B$12*3600</f>
        <v>0</v>
      </c>
      <c r="AB1064" s="50">
        <f t="shared" si="334"/>
        <v>0</v>
      </c>
      <c r="AC1064" s="50">
        <f t="shared" si="338"/>
        <v>1800</v>
      </c>
      <c r="AD1064" s="15">
        <f>IF(AE1064=0, Model!$B$19, 0 )</f>
        <v>0</v>
      </c>
      <c r="AE1064" s="50">
        <f>IF(AE1063+AB1063-AB1064&lt;Model!$B$19*Model!$B$18, AE1063+AB1063-AB1064,  0)</f>
        <v>443.63457370611354</v>
      </c>
      <c r="AF1064" s="15">
        <f t="shared" si="330"/>
        <v>1</v>
      </c>
      <c r="AG1064" s="50">
        <f t="shared" si="331"/>
        <v>0</v>
      </c>
    </row>
    <row r="1065" spans="2:33" x14ac:dyDescent="0.25">
      <c r="B1065" s="13">
        <f t="shared" si="332"/>
        <v>1</v>
      </c>
      <c r="C1065" s="13">
        <f>B1065+Model!$B$4</f>
        <v>3</v>
      </c>
      <c r="D1065" s="13">
        <f t="shared" si="333"/>
        <v>1</v>
      </c>
      <c r="E1065" s="13">
        <f t="shared" si="339"/>
        <v>3</v>
      </c>
      <c r="F1065" s="14">
        <f>IF(AB1065&gt;0, VLOOKUP(B1065,Model!$A$40:$B$60, 2), 0)</f>
        <v>0</v>
      </c>
      <c r="G1065" s="13">
        <f>IF(AB1065&gt;0, VLOOKUP(B1065,Model!$A$39:$C$58, 3), 0)</f>
        <v>0</v>
      </c>
      <c r="H1065" s="13">
        <f t="shared" si="322"/>
        <v>0</v>
      </c>
      <c r="I1065" s="46">
        <f>Model!$B$21*EXP((-0.029*9.81*F1065)/(8.31*(273+J1065)))</f>
        <v>104500</v>
      </c>
      <c r="J1065" s="13">
        <f>IF(Model!$B$31="Summer",  IF(F1065&lt;=2000,  Model!$B$20-Model!$B$35*F1065/1000,  IF(F1065&lt;Model!$B$36,  Model!$B$33-6.5*F1065/1000,  Model!$B$38)),     IF(F1065&lt;=2000,  Model!$B$20-Model!$B$35*F1065/1000,  IF(F1065&lt;Model!$B$36,  Model!$B$33-5.4*F1065/1000,   Model!$B$38)))</f>
        <v>-20</v>
      </c>
      <c r="K1065" s="13">
        <f t="shared" si="335"/>
        <v>253</v>
      </c>
      <c r="L1065" s="46">
        <f>IF(AB1064-AA1064*(B1065-B1064)&gt;0, L1064-Y1064*(B1065-B1064)*3600-AD1065*Model!$B$16, 0)</f>
        <v>0</v>
      </c>
      <c r="M1065" s="57">
        <f t="shared" si="323"/>
        <v>0</v>
      </c>
      <c r="N1065" s="57">
        <f>Model!$B$13*I1065*K1065/(Model!$B$13*I1065-L1065*287*K1065)</f>
        <v>253</v>
      </c>
      <c r="O1065" s="57">
        <f t="shared" si="324"/>
        <v>253</v>
      </c>
      <c r="P1065" s="57">
        <f t="shared" si="325"/>
        <v>-10</v>
      </c>
      <c r="Q1065" s="63">
        <f t="shared" si="336"/>
        <v>2.2579999999999999E-2</v>
      </c>
      <c r="R1065" s="17">
        <f t="shared" si="337"/>
        <v>1.152E-5</v>
      </c>
      <c r="S1065" s="46">
        <f>0.37*Model!$B$10*(Q1065^2*(N1065-K1065)*I1065/(R1065*O1065^2))^0.33333*(N1065-K1065)</f>
        <v>0</v>
      </c>
      <c r="T1065" s="51">
        <f>Model!$B$32+(90-Model!$B$6)*SIN(RADIANS(-15*(E1065+6)))</f>
        <v>-31.619472402513487</v>
      </c>
      <c r="U1065" s="46">
        <f t="shared" si="326"/>
        <v>0</v>
      </c>
      <c r="V1065" s="51">
        <f t="shared" si="327"/>
        <v>99999</v>
      </c>
      <c r="W1065" s="46">
        <f t="shared" si="328"/>
        <v>0</v>
      </c>
      <c r="X1065" s="46">
        <f>0.3*W1065*Model!$B$9</f>
        <v>0</v>
      </c>
      <c r="Y1065" s="17">
        <f>(S1065-X1065)/Model!$B$11</f>
        <v>0</v>
      </c>
      <c r="Z1065" s="46" t="e">
        <f t="shared" si="329"/>
        <v>#DIV/0!</v>
      </c>
      <c r="AA1065" s="57">
        <f>Y1065/Model!$B$12*3600</f>
        <v>0</v>
      </c>
      <c r="AB1065" s="51">
        <f t="shared" si="334"/>
        <v>0</v>
      </c>
      <c r="AC1065" s="51">
        <f t="shared" si="338"/>
        <v>1800</v>
      </c>
      <c r="AD1065" s="13">
        <f>IF(AE1065=0, Model!$B$19, 0 )</f>
        <v>0</v>
      </c>
      <c r="AE1065" s="51">
        <f>IF(AE1064+AB1064-AB1065&lt;Model!$B$19*Model!$B$18, AE1064+AB1064-AB1065,  0)</f>
        <v>443.63457370611354</v>
      </c>
      <c r="AF1065" s="13">
        <f t="shared" si="330"/>
        <v>1</v>
      </c>
      <c r="AG1065" s="50">
        <f t="shared" si="331"/>
        <v>0</v>
      </c>
    </row>
    <row r="1066" spans="2:33" x14ac:dyDescent="0.25">
      <c r="B1066" s="15">
        <f t="shared" si="332"/>
        <v>1</v>
      </c>
      <c r="C1066" s="15">
        <f>B1066+Model!$B$4</f>
        <v>3</v>
      </c>
      <c r="D1066" s="15">
        <f t="shared" si="333"/>
        <v>1</v>
      </c>
      <c r="E1066" s="15">
        <f t="shared" si="339"/>
        <v>3</v>
      </c>
      <c r="F1066" s="16">
        <f>IF(AB1066&gt;0, VLOOKUP(B1066,Model!$A$40:$B$60, 2), 0)</f>
        <v>0</v>
      </c>
      <c r="G1066" s="15">
        <f>IF(AB1066&gt;0, VLOOKUP(B1066,Model!$A$39:$C$58, 3), 0)</f>
        <v>0</v>
      </c>
      <c r="H1066" s="15">
        <f t="shared" si="322"/>
        <v>0</v>
      </c>
      <c r="I1066" s="45">
        <f>Model!$B$21*EXP((-0.029*9.81*F1066)/(8.31*(273+J1066)))</f>
        <v>104500</v>
      </c>
      <c r="J1066" s="15">
        <f>IF(Model!$B$31="Summer",  IF(F1066&lt;=2000,  Model!$B$20-Model!$B$35*F1066/1000,  IF(F1066&lt;Model!$B$36,  Model!$B$33-6.5*F1066/1000,  Model!$B$38)),     IF(F1066&lt;=2000,  Model!$B$20-Model!$B$35*F1066/1000,  IF(F1066&lt;Model!$B$36,  Model!$B$33-5.4*F1066/1000,   Model!$B$38)))</f>
        <v>-20</v>
      </c>
      <c r="K1066" s="15">
        <f t="shared" si="335"/>
        <v>253</v>
      </c>
      <c r="L1066" s="45">
        <f>IF(AB1065-AA1065*(B1066-B1065)&gt;0, L1065-Y1065*(B1066-B1065)*3600-AD1066*Model!$B$16, 0)</f>
        <v>0</v>
      </c>
      <c r="M1066" s="56">
        <f t="shared" si="323"/>
        <v>0</v>
      </c>
      <c r="N1066" s="56">
        <f>Model!$B$13*I1066*K1066/(Model!$B$13*I1066-L1066*287*K1066)</f>
        <v>253</v>
      </c>
      <c r="O1066" s="56">
        <f t="shared" si="324"/>
        <v>253</v>
      </c>
      <c r="P1066" s="56">
        <f t="shared" si="325"/>
        <v>-10</v>
      </c>
      <c r="Q1066" s="62">
        <f t="shared" si="336"/>
        <v>2.2579999999999999E-2</v>
      </c>
      <c r="R1066" s="33">
        <f t="shared" si="337"/>
        <v>1.152E-5</v>
      </c>
      <c r="S1066" s="45">
        <f>0.37*Model!$B$10*(Q1066^2*(N1066-K1066)*I1066/(R1066*O1066^2))^0.33333*(N1066-K1066)</f>
        <v>0</v>
      </c>
      <c r="T1066" s="50">
        <f>Model!$B$32+(90-Model!$B$6)*SIN(RADIANS(-15*(E1066+6)))</f>
        <v>-31.619472402513487</v>
      </c>
      <c r="U1066" s="45">
        <f t="shared" si="326"/>
        <v>0</v>
      </c>
      <c r="V1066" s="50">
        <f t="shared" si="327"/>
        <v>99999</v>
      </c>
      <c r="W1066" s="45">
        <f t="shared" si="328"/>
        <v>0</v>
      </c>
      <c r="X1066" s="45">
        <f>0.3*W1066*Model!$B$9</f>
        <v>0</v>
      </c>
      <c r="Y1066" s="33">
        <f>(S1066-X1066)/Model!$B$11</f>
        <v>0</v>
      </c>
      <c r="Z1066" s="45" t="e">
        <f t="shared" si="329"/>
        <v>#DIV/0!</v>
      </c>
      <c r="AA1066" s="56">
        <f>Y1066/Model!$B$12*3600</f>
        <v>0</v>
      </c>
      <c r="AB1066" s="50">
        <f t="shared" si="334"/>
        <v>0</v>
      </c>
      <c r="AC1066" s="50">
        <f t="shared" si="338"/>
        <v>1800</v>
      </c>
      <c r="AD1066" s="15">
        <f>IF(AE1066=0, Model!$B$19, 0 )</f>
        <v>0</v>
      </c>
      <c r="AE1066" s="50">
        <f>IF(AE1065+AB1065-AB1066&lt;Model!$B$19*Model!$B$18, AE1065+AB1065-AB1066,  0)</f>
        <v>443.63457370611354</v>
      </c>
      <c r="AF1066" s="15">
        <f t="shared" si="330"/>
        <v>1</v>
      </c>
      <c r="AG1066" s="50">
        <f t="shared" si="331"/>
        <v>0</v>
      </c>
    </row>
    <row r="1067" spans="2:33" x14ac:dyDescent="0.25">
      <c r="B1067" s="13">
        <f t="shared" si="332"/>
        <v>1</v>
      </c>
      <c r="C1067" s="13">
        <f>B1067+Model!$B$4</f>
        <v>3</v>
      </c>
      <c r="D1067" s="13">
        <f t="shared" si="333"/>
        <v>1</v>
      </c>
      <c r="E1067" s="13">
        <f t="shared" si="339"/>
        <v>3</v>
      </c>
      <c r="F1067" s="14">
        <f>IF(AB1067&gt;0, VLOOKUP(B1067,Model!$A$40:$B$60, 2), 0)</f>
        <v>0</v>
      </c>
      <c r="G1067" s="13">
        <f>IF(AB1067&gt;0, VLOOKUP(B1067,Model!$A$39:$C$58, 3), 0)</f>
        <v>0</v>
      </c>
      <c r="H1067" s="13">
        <f t="shared" si="322"/>
        <v>0</v>
      </c>
      <c r="I1067" s="46">
        <f>Model!$B$21*EXP((-0.029*9.81*F1067)/(8.31*(273+J1067)))</f>
        <v>104500</v>
      </c>
      <c r="J1067" s="13">
        <f>IF(Model!$B$31="Summer",  IF(F1067&lt;=2000,  Model!$B$20-Model!$B$35*F1067/1000,  IF(F1067&lt;Model!$B$36,  Model!$B$33-6.5*F1067/1000,  Model!$B$38)),     IF(F1067&lt;=2000,  Model!$B$20-Model!$B$35*F1067/1000,  IF(F1067&lt;Model!$B$36,  Model!$B$33-5.4*F1067/1000,   Model!$B$38)))</f>
        <v>-20</v>
      </c>
      <c r="K1067" s="13">
        <f t="shared" si="335"/>
        <v>253</v>
      </c>
      <c r="L1067" s="46">
        <f>IF(AB1066-AA1066*(B1067-B1066)&gt;0, L1066-Y1066*(B1067-B1066)*3600-AD1067*Model!$B$16, 0)</f>
        <v>0</v>
      </c>
      <c r="M1067" s="57">
        <f t="shared" si="323"/>
        <v>0</v>
      </c>
      <c r="N1067" s="57">
        <f>Model!$B$13*I1067*K1067/(Model!$B$13*I1067-L1067*287*K1067)</f>
        <v>253</v>
      </c>
      <c r="O1067" s="57">
        <f t="shared" si="324"/>
        <v>253</v>
      </c>
      <c r="P1067" s="57">
        <f t="shared" si="325"/>
        <v>-10</v>
      </c>
      <c r="Q1067" s="63">
        <f t="shared" si="336"/>
        <v>2.2579999999999999E-2</v>
      </c>
      <c r="R1067" s="17">
        <f t="shared" si="337"/>
        <v>1.152E-5</v>
      </c>
      <c r="S1067" s="46">
        <f>0.37*Model!$B$10*(Q1067^2*(N1067-K1067)*I1067/(R1067*O1067^2))^0.33333*(N1067-K1067)</f>
        <v>0</v>
      </c>
      <c r="T1067" s="51">
        <f>Model!$B$32+(90-Model!$B$6)*SIN(RADIANS(-15*(E1067+6)))</f>
        <v>-31.619472402513487</v>
      </c>
      <c r="U1067" s="46">
        <f t="shared" si="326"/>
        <v>0</v>
      </c>
      <c r="V1067" s="51">
        <f t="shared" si="327"/>
        <v>99999</v>
      </c>
      <c r="W1067" s="46">
        <f t="shared" si="328"/>
        <v>0</v>
      </c>
      <c r="X1067" s="46">
        <f>0.3*W1067*Model!$B$9</f>
        <v>0</v>
      </c>
      <c r="Y1067" s="17">
        <f>(S1067-X1067)/Model!$B$11</f>
        <v>0</v>
      </c>
      <c r="Z1067" s="46" t="e">
        <f t="shared" si="329"/>
        <v>#DIV/0!</v>
      </c>
      <c r="AA1067" s="57">
        <f>Y1067/Model!$B$12*3600</f>
        <v>0</v>
      </c>
      <c r="AB1067" s="51">
        <f t="shared" si="334"/>
        <v>0</v>
      </c>
      <c r="AC1067" s="51">
        <f t="shared" si="338"/>
        <v>1800</v>
      </c>
      <c r="AD1067" s="13">
        <f>IF(AE1067=0, Model!$B$19, 0 )</f>
        <v>0</v>
      </c>
      <c r="AE1067" s="51">
        <f>IF(AE1066+AB1066-AB1067&lt;Model!$B$19*Model!$B$18, AE1066+AB1066-AB1067,  0)</f>
        <v>443.63457370611354</v>
      </c>
      <c r="AF1067" s="13">
        <f t="shared" si="330"/>
        <v>1</v>
      </c>
      <c r="AG1067" s="50">
        <f t="shared" si="331"/>
        <v>0</v>
      </c>
    </row>
    <row r="1068" spans="2:33" x14ac:dyDescent="0.25">
      <c r="B1068" s="15">
        <f t="shared" si="332"/>
        <v>1</v>
      </c>
      <c r="C1068" s="15">
        <f>B1068+Model!$B$4</f>
        <v>3</v>
      </c>
      <c r="D1068" s="15">
        <f t="shared" si="333"/>
        <v>1</v>
      </c>
      <c r="E1068" s="15">
        <f t="shared" si="339"/>
        <v>3</v>
      </c>
      <c r="F1068" s="16">
        <f>IF(AB1068&gt;0, VLOOKUP(B1068,Model!$A$40:$B$60, 2), 0)</f>
        <v>0</v>
      </c>
      <c r="G1068" s="15">
        <f>IF(AB1068&gt;0, VLOOKUP(B1068,Model!$A$39:$C$58, 3), 0)</f>
        <v>0</v>
      </c>
      <c r="H1068" s="15">
        <f t="shared" si="322"/>
        <v>0</v>
      </c>
      <c r="I1068" s="45">
        <f>Model!$B$21*EXP((-0.029*9.81*F1068)/(8.31*(273+J1068)))</f>
        <v>104500</v>
      </c>
      <c r="J1068" s="15">
        <f>IF(Model!$B$31="Summer",  IF(F1068&lt;=2000,  Model!$B$20-Model!$B$35*F1068/1000,  IF(F1068&lt;Model!$B$36,  Model!$B$33-6.5*F1068/1000,  Model!$B$38)),     IF(F1068&lt;=2000,  Model!$B$20-Model!$B$35*F1068/1000,  IF(F1068&lt;Model!$B$36,  Model!$B$33-5.4*F1068/1000,   Model!$B$38)))</f>
        <v>-20</v>
      </c>
      <c r="K1068" s="15">
        <f t="shared" si="335"/>
        <v>253</v>
      </c>
      <c r="L1068" s="45">
        <f>IF(AB1067-AA1067*(B1068-B1067)&gt;0, L1067-Y1067*(B1068-B1067)*3600-AD1068*Model!$B$16, 0)</f>
        <v>0</v>
      </c>
      <c r="M1068" s="56">
        <f t="shared" si="323"/>
        <v>0</v>
      </c>
      <c r="N1068" s="56">
        <f>Model!$B$13*I1068*K1068/(Model!$B$13*I1068-L1068*287*K1068)</f>
        <v>253</v>
      </c>
      <c r="O1068" s="56">
        <f t="shared" si="324"/>
        <v>253</v>
      </c>
      <c r="P1068" s="56">
        <f t="shared" si="325"/>
        <v>-10</v>
      </c>
      <c r="Q1068" s="62">
        <f t="shared" si="336"/>
        <v>2.2579999999999999E-2</v>
      </c>
      <c r="R1068" s="33">
        <f t="shared" si="337"/>
        <v>1.152E-5</v>
      </c>
      <c r="S1068" s="45">
        <f>0.37*Model!$B$10*(Q1068^2*(N1068-K1068)*I1068/(R1068*O1068^2))^0.33333*(N1068-K1068)</f>
        <v>0</v>
      </c>
      <c r="T1068" s="50">
        <f>Model!$B$32+(90-Model!$B$6)*SIN(RADIANS(-15*(E1068+6)))</f>
        <v>-31.619472402513487</v>
      </c>
      <c r="U1068" s="45">
        <f t="shared" si="326"/>
        <v>0</v>
      </c>
      <c r="V1068" s="50">
        <f t="shared" si="327"/>
        <v>99999</v>
      </c>
      <c r="W1068" s="45">
        <f t="shared" si="328"/>
        <v>0</v>
      </c>
      <c r="X1068" s="45">
        <f>0.3*W1068*Model!$B$9</f>
        <v>0</v>
      </c>
      <c r="Y1068" s="33">
        <f>(S1068-X1068)/Model!$B$11</f>
        <v>0</v>
      </c>
      <c r="Z1068" s="45" t="e">
        <f t="shared" si="329"/>
        <v>#DIV/0!</v>
      </c>
      <c r="AA1068" s="56">
        <f>Y1068/Model!$B$12*3600</f>
        <v>0</v>
      </c>
      <c r="AB1068" s="50">
        <f t="shared" si="334"/>
        <v>0</v>
      </c>
      <c r="AC1068" s="50">
        <f t="shared" si="338"/>
        <v>1800</v>
      </c>
      <c r="AD1068" s="15">
        <f>IF(AE1068=0, Model!$B$19, 0 )</f>
        <v>0</v>
      </c>
      <c r="AE1068" s="50">
        <f>IF(AE1067+AB1067-AB1068&lt;Model!$B$19*Model!$B$18, AE1067+AB1067-AB1068,  0)</f>
        <v>443.63457370611354</v>
      </c>
      <c r="AF1068" s="15">
        <f t="shared" si="330"/>
        <v>1</v>
      </c>
      <c r="AG1068" s="50">
        <f t="shared" si="331"/>
        <v>0</v>
      </c>
    </row>
    <row r="1069" spans="2:33" x14ac:dyDescent="0.25">
      <c r="B1069" s="13">
        <f t="shared" si="332"/>
        <v>1</v>
      </c>
      <c r="C1069" s="13">
        <f>B1069+Model!$B$4</f>
        <v>3</v>
      </c>
      <c r="D1069" s="13">
        <f t="shared" si="333"/>
        <v>1</v>
      </c>
      <c r="E1069" s="13">
        <f t="shared" si="339"/>
        <v>3</v>
      </c>
      <c r="F1069" s="14">
        <f>IF(AB1069&gt;0, VLOOKUP(B1069,Model!$A$40:$B$60, 2), 0)</f>
        <v>0</v>
      </c>
      <c r="G1069" s="13">
        <f>IF(AB1069&gt;0, VLOOKUP(B1069,Model!$A$39:$C$58, 3), 0)</f>
        <v>0</v>
      </c>
      <c r="H1069" s="13">
        <f t="shared" si="322"/>
        <v>0</v>
      </c>
      <c r="I1069" s="46">
        <f>Model!$B$21*EXP((-0.029*9.81*F1069)/(8.31*(273+J1069)))</f>
        <v>104500</v>
      </c>
      <c r="J1069" s="13">
        <f>IF(Model!$B$31="Summer",  IF(F1069&lt;=2000,  Model!$B$20-Model!$B$35*F1069/1000,  IF(F1069&lt;Model!$B$36,  Model!$B$33-6.5*F1069/1000,  Model!$B$38)),     IF(F1069&lt;=2000,  Model!$B$20-Model!$B$35*F1069/1000,  IF(F1069&lt;Model!$B$36,  Model!$B$33-5.4*F1069/1000,   Model!$B$38)))</f>
        <v>-20</v>
      </c>
      <c r="K1069" s="13">
        <f t="shared" si="335"/>
        <v>253</v>
      </c>
      <c r="L1069" s="46">
        <f>IF(AB1068-AA1068*(B1069-B1068)&gt;0, L1068-Y1068*(B1069-B1068)*3600-AD1069*Model!$B$16, 0)</f>
        <v>0</v>
      </c>
      <c r="M1069" s="57">
        <f t="shared" si="323"/>
        <v>0</v>
      </c>
      <c r="N1069" s="57">
        <f>Model!$B$13*I1069*K1069/(Model!$B$13*I1069-L1069*287*K1069)</f>
        <v>253</v>
      </c>
      <c r="O1069" s="57">
        <f t="shared" si="324"/>
        <v>253</v>
      </c>
      <c r="P1069" s="57">
        <f t="shared" si="325"/>
        <v>-10</v>
      </c>
      <c r="Q1069" s="63">
        <f t="shared" si="336"/>
        <v>2.2579999999999999E-2</v>
      </c>
      <c r="R1069" s="17">
        <f t="shared" si="337"/>
        <v>1.152E-5</v>
      </c>
      <c r="S1069" s="46">
        <f>0.37*Model!$B$10*(Q1069^2*(N1069-K1069)*I1069/(R1069*O1069^2))^0.33333*(N1069-K1069)</f>
        <v>0</v>
      </c>
      <c r="T1069" s="51">
        <f>Model!$B$32+(90-Model!$B$6)*SIN(RADIANS(-15*(E1069+6)))</f>
        <v>-31.619472402513487</v>
      </c>
      <c r="U1069" s="46">
        <f t="shared" si="326"/>
        <v>0</v>
      </c>
      <c r="V1069" s="51">
        <f t="shared" si="327"/>
        <v>99999</v>
      </c>
      <c r="W1069" s="46">
        <f t="shared" si="328"/>
        <v>0</v>
      </c>
      <c r="X1069" s="46">
        <f>0.3*W1069*Model!$B$9</f>
        <v>0</v>
      </c>
      <c r="Y1069" s="17">
        <f>(S1069-X1069)/Model!$B$11</f>
        <v>0</v>
      </c>
      <c r="Z1069" s="46" t="e">
        <f t="shared" si="329"/>
        <v>#DIV/0!</v>
      </c>
      <c r="AA1069" s="57">
        <f>Y1069/Model!$B$12*3600</f>
        <v>0</v>
      </c>
      <c r="AB1069" s="51">
        <f t="shared" si="334"/>
        <v>0</v>
      </c>
      <c r="AC1069" s="51">
        <f t="shared" si="338"/>
        <v>1800</v>
      </c>
      <c r="AD1069" s="13">
        <f>IF(AE1069=0, Model!$B$19, 0 )</f>
        <v>0</v>
      </c>
      <c r="AE1069" s="51">
        <f>IF(AE1068+AB1068-AB1069&lt;Model!$B$19*Model!$B$18, AE1068+AB1068-AB1069,  0)</f>
        <v>443.63457370611354</v>
      </c>
      <c r="AF1069" s="13">
        <f t="shared" si="330"/>
        <v>1</v>
      </c>
      <c r="AG1069" s="50">
        <f t="shared" si="331"/>
        <v>0</v>
      </c>
    </row>
    <row r="1070" spans="2:33" x14ac:dyDescent="0.25">
      <c r="B1070" s="15">
        <f t="shared" si="332"/>
        <v>1</v>
      </c>
      <c r="C1070" s="15">
        <f>B1070+Model!$B$4</f>
        <v>3</v>
      </c>
      <c r="D1070" s="15">
        <f t="shared" si="333"/>
        <v>1</v>
      </c>
      <c r="E1070" s="15">
        <f t="shared" si="339"/>
        <v>3</v>
      </c>
      <c r="F1070" s="16">
        <f>IF(AB1070&gt;0, VLOOKUP(B1070,Model!$A$40:$B$60, 2), 0)</f>
        <v>0</v>
      </c>
      <c r="G1070" s="15">
        <f>IF(AB1070&gt;0, VLOOKUP(B1070,Model!$A$39:$C$58, 3), 0)</f>
        <v>0</v>
      </c>
      <c r="H1070" s="15">
        <f t="shared" si="322"/>
        <v>0</v>
      </c>
      <c r="I1070" s="45">
        <f>Model!$B$21*EXP((-0.029*9.81*F1070)/(8.31*(273+J1070)))</f>
        <v>104500</v>
      </c>
      <c r="J1070" s="15">
        <f>IF(Model!$B$31="Summer",  IF(F1070&lt;=2000,  Model!$B$20-Model!$B$35*F1070/1000,  IF(F1070&lt;Model!$B$36,  Model!$B$33-6.5*F1070/1000,  Model!$B$38)),     IF(F1070&lt;=2000,  Model!$B$20-Model!$B$35*F1070/1000,  IF(F1070&lt;Model!$B$36,  Model!$B$33-5.4*F1070/1000,   Model!$B$38)))</f>
        <v>-20</v>
      </c>
      <c r="K1070" s="15">
        <f t="shared" si="335"/>
        <v>253</v>
      </c>
      <c r="L1070" s="45">
        <f>IF(AB1069-AA1069*(B1070-B1069)&gt;0, L1069-Y1069*(B1070-B1069)*3600-AD1070*Model!$B$16, 0)</f>
        <v>0</v>
      </c>
      <c r="M1070" s="56">
        <f t="shared" si="323"/>
        <v>0</v>
      </c>
      <c r="N1070" s="56">
        <f>Model!$B$13*I1070*K1070/(Model!$B$13*I1070-L1070*287*K1070)</f>
        <v>253</v>
      </c>
      <c r="O1070" s="56">
        <f t="shared" si="324"/>
        <v>253</v>
      </c>
      <c r="P1070" s="56">
        <f t="shared" si="325"/>
        <v>-10</v>
      </c>
      <c r="Q1070" s="62">
        <f t="shared" si="336"/>
        <v>2.2579999999999999E-2</v>
      </c>
      <c r="R1070" s="33">
        <f t="shared" si="337"/>
        <v>1.152E-5</v>
      </c>
      <c r="S1070" s="45">
        <f>0.37*Model!$B$10*(Q1070^2*(N1070-K1070)*I1070/(R1070*O1070^2))^0.33333*(N1070-K1070)</f>
        <v>0</v>
      </c>
      <c r="T1070" s="50">
        <f>Model!$B$32+(90-Model!$B$6)*SIN(RADIANS(-15*(E1070+6)))</f>
        <v>-31.619472402513487</v>
      </c>
      <c r="U1070" s="45">
        <f t="shared" si="326"/>
        <v>0</v>
      </c>
      <c r="V1070" s="50">
        <f t="shared" si="327"/>
        <v>99999</v>
      </c>
      <c r="W1070" s="45">
        <f t="shared" si="328"/>
        <v>0</v>
      </c>
      <c r="X1070" s="45">
        <f>0.3*W1070*Model!$B$9</f>
        <v>0</v>
      </c>
      <c r="Y1070" s="33">
        <f>(S1070-X1070)/Model!$B$11</f>
        <v>0</v>
      </c>
      <c r="Z1070" s="45" t="e">
        <f t="shared" si="329"/>
        <v>#DIV/0!</v>
      </c>
      <c r="AA1070" s="56">
        <f>Y1070/Model!$B$12*3600</f>
        <v>0</v>
      </c>
      <c r="AB1070" s="50">
        <f t="shared" si="334"/>
        <v>0</v>
      </c>
      <c r="AC1070" s="50">
        <f t="shared" si="338"/>
        <v>1800</v>
      </c>
      <c r="AD1070" s="15">
        <f>IF(AE1070=0, Model!$B$19, 0 )</f>
        <v>0</v>
      </c>
      <c r="AE1070" s="50">
        <f>IF(AE1069+AB1069-AB1070&lt;Model!$B$19*Model!$B$18, AE1069+AB1069-AB1070,  0)</f>
        <v>443.63457370611354</v>
      </c>
      <c r="AF1070" s="15">
        <f t="shared" si="330"/>
        <v>1</v>
      </c>
      <c r="AG1070" s="50">
        <f t="shared" si="331"/>
        <v>0</v>
      </c>
    </row>
    <row r="1071" spans="2:33" x14ac:dyDescent="0.25">
      <c r="B1071" s="13">
        <f t="shared" si="332"/>
        <v>1</v>
      </c>
      <c r="C1071" s="13">
        <f>B1071+Model!$B$4</f>
        <v>3</v>
      </c>
      <c r="D1071" s="13">
        <f t="shared" si="333"/>
        <v>1</v>
      </c>
      <c r="E1071" s="13">
        <f t="shared" si="339"/>
        <v>3</v>
      </c>
      <c r="F1071" s="14">
        <f>IF(AB1071&gt;0, VLOOKUP(B1071,Model!$A$40:$B$60, 2), 0)</f>
        <v>0</v>
      </c>
      <c r="G1071" s="13">
        <f>IF(AB1071&gt;0, VLOOKUP(B1071,Model!$A$39:$C$58, 3), 0)</f>
        <v>0</v>
      </c>
      <c r="H1071" s="13">
        <f t="shared" si="322"/>
        <v>0</v>
      </c>
      <c r="I1071" s="46">
        <f>Model!$B$21*EXP((-0.029*9.81*F1071)/(8.31*(273+J1071)))</f>
        <v>104500</v>
      </c>
      <c r="J1071" s="13">
        <f>IF(Model!$B$31="Summer",  IF(F1071&lt;=2000,  Model!$B$20-Model!$B$35*F1071/1000,  IF(F1071&lt;Model!$B$36,  Model!$B$33-6.5*F1071/1000,  Model!$B$38)),     IF(F1071&lt;=2000,  Model!$B$20-Model!$B$35*F1071/1000,  IF(F1071&lt;Model!$B$36,  Model!$B$33-5.4*F1071/1000,   Model!$B$38)))</f>
        <v>-20</v>
      </c>
      <c r="K1071" s="13">
        <f t="shared" si="335"/>
        <v>253</v>
      </c>
      <c r="L1071" s="46">
        <f>IF(AB1070-AA1070*(B1071-B1070)&gt;0, L1070-Y1070*(B1071-B1070)*3600-AD1071*Model!$B$16, 0)</f>
        <v>0</v>
      </c>
      <c r="M1071" s="57">
        <f t="shared" si="323"/>
        <v>0</v>
      </c>
      <c r="N1071" s="57">
        <f>Model!$B$13*I1071*K1071/(Model!$B$13*I1071-L1071*287*K1071)</f>
        <v>253</v>
      </c>
      <c r="O1071" s="57">
        <f t="shared" si="324"/>
        <v>253</v>
      </c>
      <c r="P1071" s="57">
        <f t="shared" si="325"/>
        <v>-10</v>
      </c>
      <c r="Q1071" s="63">
        <f t="shared" si="336"/>
        <v>2.2579999999999999E-2</v>
      </c>
      <c r="R1071" s="17">
        <f t="shared" si="337"/>
        <v>1.152E-5</v>
      </c>
      <c r="S1071" s="46">
        <f>0.37*Model!$B$10*(Q1071^2*(N1071-K1071)*I1071/(R1071*O1071^2))^0.33333*(N1071-K1071)</f>
        <v>0</v>
      </c>
      <c r="T1071" s="51">
        <f>Model!$B$32+(90-Model!$B$6)*SIN(RADIANS(-15*(E1071+6)))</f>
        <v>-31.619472402513487</v>
      </c>
      <c r="U1071" s="46">
        <f t="shared" si="326"/>
        <v>0</v>
      </c>
      <c r="V1071" s="51">
        <f t="shared" si="327"/>
        <v>99999</v>
      </c>
      <c r="W1071" s="46">
        <f t="shared" si="328"/>
        <v>0</v>
      </c>
      <c r="X1071" s="46">
        <f>0.3*W1071*Model!$B$9</f>
        <v>0</v>
      </c>
      <c r="Y1071" s="17">
        <f>(S1071-X1071)/Model!$B$11</f>
        <v>0</v>
      </c>
      <c r="Z1071" s="46" t="e">
        <f t="shared" si="329"/>
        <v>#DIV/0!</v>
      </c>
      <c r="AA1071" s="57">
        <f>Y1071/Model!$B$12*3600</f>
        <v>0</v>
      </c>
      <c r="AB1071" s="51">
        <f t="shared" si="334"/>
        <v>0</v>
      </c>
      <c r="AC1071" s="51">
        <f t="shared" si="338"/>
        <v>1800</v>
      </c>
      <c r="AD1071" s="13">
        <f>IF(AE1071=0, Model!$B$19, 0 )</f>
        <v>0</v>
      </c>
      <c r="AE1071" s="51">
        <f>IF(AE1070+AB1070-AB1071&lt;Model!$B$19*Model!$B$18, AE1070+AB1070-AB1071,  0)</f>
        <v>443.63457370611354</v>
      </c>
      <c r="AF1071" s="13">
        <f t="shared" si="330"/>
        <v>1</v>
      </c>
      <c r="AG1071" s="50">
        <f t="shared" si="331"/>
        <v>0</v>
      </c>
    </row>
    <row r="1072" spans="2:33" x14ac:dyDescent="0.25">
      <c r="B1072" s="15">
        <f t="shared" si="332"/>
        <v>1</v>
      </c>
      <c r="C1072" s="15">
        <f>B1072+Model!$B$4</f>
        <v>3</v>
      </c>
      <c r="D1072" s="15">
        <f t="shared" si="333"/>
        <v>1</v>
      </c>
      <c r="E1072" s="15">
        <f t="shared" si="339"/>
        <v>3</v>
      </c>
      <c r="F1072" s="16">
        <f>IF(AB1072&gt;0, VLOOKUP(B1072,Model!$A$40:$B$60, 2), 0)</f>
        <v>0</v>
      </c>
      <c r="G1072" s="15">
        <f>IF(AB1072&gt;0, VLOOKUP(B1072,Model!$A$39:$C$58, 3), 0)</f>
        <v>0</v>
      </c>
      <c r="H1072" s="15">
        <f t="shared" si="322"/>
        <v>0</v>
      </c>
      <c r="I1072" s="45">
        <f>Model!$B$21*EXP((-0.029*9.81*F1072)/(8.31*(273+J1072)))</f>
        <v>104500</v>
      </c>
      <c r="J1072" s="15">
        <f>IF(Model!$B$31="Summer",  IF(F1072&lt;=2000,  Model!$B$20-Model!$B$35*F1072/1000,  IF(F1072&lt;Model!$B$36,  Model!$B$33-6.5*F1072/1000,  Model!$B$38)),     IF(F1072&lt;=2000,  Model!$B$20-Model!$B$35*F1072/1000,  IF(F1072&lt;Model!$B$36,  Model!$B$33-5.4*F1072/1000,   Model!$B$38)))</f>
        <v>-20</v>
      </c>
      <c r="K1072" s="15">
        <f t="shared" si="335"/>
        <v>253</v>
      </c>
      <c r="L1072" s="45">
        <f>IF(AB1071-AA1071*(B1072-B1071)&gt;0, L1071-Y1071*(B1072-B1071)*3600-AD1072*Model!$B$16, 0)</f>
        <v>0</v>
      </c>
      <c r="M1072" s="56">
        <f t="shared" si="323"/>
        <v>0</v>
      </c>
      <c r="N1072" s="56">
        <f>Model!$B$13*I1072*K1072/(Model!$B$13*I1072-L1072*287*K1072)</f>
        <v>253</v>
      </c>
      <c r="O1072" s="56">
        <f t="shared" si="324"/>
        <v>253</v>
      </c>
      <c r="P1072" s="56">
        <f t="shared" si="325"/>
        <v>-10</v>
      </c>
      <c r="Q1072" s="62">
        <f t="shared" si="336"/>
        <v>2.2579999999999999E-2</v>
      </c>
      <c r="R1072" s="33">
        <f t="shared" si="337"/>
        <v>1.152E-5</v>
      </c>
      <c r="S1072" s="45">
        <f>0.37*Model!$B$10*(Q1072^2*(N1072-K1072)*I1072/(R1072*O1072^2))^0.33333*(N1072-K1072)</f>
        <v>0</v>
      </c>
      <c r="T1072" s="50">
        <f>Model!$B$32+(90-Model!$B$6)*SIN(RADIANS(-15*(E1072+6)))</f>
        <v>-31.619472402513487</v>
      </c>
      <c r="U1072" s="45">
        <f t="shared" si="326"/>
        <v>0</v>
      </c>
      <c r="V1072" s="50">
        <f t="shared" si="327"/>
        <v>99999</v>
      </c>
      <c r="W1072" s="45">
        <f t="shared" si="328"/>
        <v>0</v>
      </c>
      <c r="X1072" s="45">
        <f>0.3*W1072*Model!$B$9</f>
        <v>0</v>
      </c>
      <c r="Y1072" s="33">
        <f>(S1072-X1072)/Model!$B$11</f>
        <v>0</v>
      </c>
      <c r="Z1072" s="45" t="e">
        <f t="shared" si="329"/>
        <v>#DIV/0!</v>
      </c>
      <c r="AA1072" s="56">
        <f>Y1072/Model!$B$12*3600</f>
        <v>0</v>
      </c>
      <c r="AB1072" s="50">
        <f t="shared" si="334"/>
        <v>0</v>
      </c>
      <c r="AC1072" s="50">
        <f t="shared" si="338"/>
        <v>1800</v>
      </c>
      <c r="AD1072" s="15">
        <f>IF(AE1072=0, Model!$B$19, 0 )</f>
        <v>0</v>
      </c>
      <c r="AE1072" s="50">
        <f>IF(AE1071+AB1071-AB1072&lt;Model!$B$19*Model!$B$18, AE1071+AB1071-AB1072,  0)</f>
        <v>443.63457370611354</v>
      </c>
      <c r="AF1072" s="15">
        <f t="shared" si="330"/>
        <v>1</v>
      </c>
      <c r="AG1072" s="50">
        <f t="shared" si="331"/>
        <v>0</v>
      </c>
    </row>
    <row r="1073" spans="2:33" x14ac:dyDescent="0.25">
      <c r="B1073" s="13">
        <f t="shared" si="332"/>
        <v>1</v>
      </c>
      <c r="C1073" s="13">
        <f>B1073+Model!$B$4</f>
        <v>3</v>
      </c>
      <c r="D1073" s="13">
        <f t="shared" si="333"/>
        <v>1</v>
      </c>
      <c r="E1073" s="13">
        <f t="shared" si="339"/>
        <v>3</v>
      </c>
      <c r="F1073" s="14">
        <f>IF(AB1073&gt;0, VLOOKUP(B1073,Model!$A$40:$B$60, 2), 0)</f>
        <v>0</v>
      </c>
      <c r="G1073" s="13">
        <f>IF(AB1073&gt;0, VLOOKUP(B1073,Model!$A$39:$C$58, 3), 0)</f>
        <v>0</v>
      </c>
      <c r="H1073" s="13">
        <f t="shared" si="322"/>
        <v>0</v>
      </c>
      <c r="I1073" s="46">
        <f>Model!$B$21*EXP((-0.029*9.81*F1073)/(8.31*(273+J1073)))</f>
        <v>104500</v>
      </c>
      <c r="J1073" s="13">
        <f>IF(Model!$B$31="Summer",  IF(F1073&lt;=2000,  Model!$B$20-Model!$B$35*F1073/1000,  IF(F1073&lt;Model!$B$36,  Model!$B$33-6.5*F1073/1000,  Model!$B$38)),     IF(F1073&lt;=2000,  Model!$B$20-Model!$B$35*F1073/1000,  IF(F1073&lt;Model!$B$36,  Model!$B$33-5.4*F1073/1000,   Model!$B$38)))</f>
        <v>-20</v>
      </c>
      <c r="K1073" s="13">
        <f t="shared" si="335"/>
        <v>253</v>
      </c>
      <c r="L1073" s="46">
        <f>IF(AB1072-AA1072*(B1073-B1072)&gt;0, L1072-Y1072*(B1073-B1072)*3600-AD1073*Model!$B$16, 0)</f>
        <v>0</v>
      </c>
      <c r="M1073" s="57">
        <f t="shared" si="323"/>
        <v>0</v>
      </c>
      <c r="N1073" s="57">
        <f>Model!$B$13*I1073*K1073/(Model!$B$13*I1073-L1073*287*K1073)</f>
        <v>253</v>
      </c>
      <c r="O1073" s="57">
        <f t="shared" si="324"/>
        <v>253</v>
      </c>
      <c r="P1073" s="57">
        <f t="shared" si="325"/>
        <v>-10</v>
      </c>
      <c r="Q1073" s="63">
        <f t="shared" si="336"/>
        <v>2.2579999999999999E-2</v>
      </c>
      <c r="R1073" s="17">
        <f t="shared" si="337"/>
        <v>1.152E-5</v>
      </c>
      <c r="S1073" s="46">
        <f>0.37*Model!$B$10*(Q1073^2*(N1073-K1073)*I1073/(R1073*O1073^2))^0.33333*(N1073-K1073)</f>
        <v>0</v>
      </c>
      <c r="T1073" s="51">
        <f>Model!$B$32+(90-Model!$B$6)*SIN(RADIANS(-15*(E1073+6)))</f>
        <v>-31.619472402513487</v>
      </c>
      <c r="U1073" s="46">
        <f t="shared" si="326"/>
        <v>0</v>
      </c>
      <c r="V1073" s="51">
        <f t="shared" si="327"/>
        <v>99999</v>
      </c>
      <c r="W1073" s="46">
        <f t="shared" si="328"/>
        <v>0</v>
      </c>
      <c r="X1073" s="46">
        <f>0.3*W1073*Model!$B$9</f>
        <v>0</v>
      </c>
      <c r="Y1073" s="17">
        <f>(S1073-X1073)/Model!$B$11</f>
        <v>0</v>
      </c>
      <c r="Z1073" s="46" t="e">
        <f t="shared" si="329"/>
        <v>#DIV/0!</v>
      </c>
      <c r="AA1073" s="57">
        <f>Y1073/Model!$B$12*3600</f>
        <v>0</v>
      </c>
      <c r="AB1073" s="51">
        <f t="shared" si="334"/>
        <v>0</v>
      </c>
      <c r="AC1073" s="51">
        <f t="shared" si="338"/>
        <v>1800</v>
      </c>
      <c r="AD1073" s="13">
        <f>IF(AE1073=0, Model!$B$19, 0 )</f>
        <v>0</v>
      </c>
      <c r="AE1073" s="51">
        <f>IF(AE1072+AB1072-AB1073&lt;Model!$B$19*Model!$B$18, AE1072+AB1072-AB1073,  0)</f>
        <v>443.63457370611354</v>
      </c>
      <c r="AF1073" s="13">
        <f t="shared" si="330"/>
        <v>1</v>
      </c>
      <c r="AG1073" s="50">
        <f t="shared" si="331"/>
        <v>0</v>
      </c>
    </row>
    <row r="1074" spans="2:33" x14ac:dyDescent="0.25">
      <c r="B1074" s="15">
        <f t="shared" si="332"/>
        <v>1</v>
      </c>
      <c r="C1074" s="15">
        <f>B1074+Model!$B$4</f>
        <v>3</v>
      </c>
      <c r="D1074" s="15">
        <f t="shared" si="333"/>
        <v>1</v>
      </c>
      <c r="E1074" s="15">
        <f t="shared" si="339"/>
        <v>3</v>
      </c>
      <c r="F1074" s="16">
        <f>IF(AB1074&gt;0, VLOOKUP(B1074,Model!$A$40:$B$60, 2), 0)</f>
        <v>0</v>
      </c>
      <c r="G1074" s="15">
        <f>IF(AB1074&gt;0, VLOOKUP(B1074,Model!$A$39:$C$58, 3), 0)</f>
        <v>0</v>
      </c>
      <c r="H1074" s="15">
        <f t="shared" si="322"/>
        <v>0</v>
      </c>
      <c r="I1074" s="45">
        <f>Model!$B$21*EXP((-0.029*9.81*F1074)/(8.31*(273+J1074)))</f>
        <v>104500</v>
      </c>
      <c r="J1074" s="15">
        <f>IF(Model!$B$31="Summer",  IF(F1074&lt;=2000,  Model!$B$20-Model!$B$35*F1074/1000,  IF(F1074&lt;Model!$B$36,  Model!$B$33-6.5*F1074/1000,  Model!$B$38)),     IF(F1074&lt;=2000,  Model!$B$20-Model!$B$35*F1074/1000,  IF(F1074&lt;Model!$B$36,  Model!$B$33-5.4*F1074/1000,   Model!$B$38)))</f>
        <v>-20</v>
      </c>
      <c r="K1074" s="15">
        <f t="shared" si="335"/>
        <v>253</v>
      </c>
      <c r="L1074" s="45">
        <f>IF(AB1073-AA1073*(B1074-B1073)&gt;0, L1073-Y1073*(B1074-B1073)*3600-AD1074*Model!$B$16, 0)</f>
        <v>0</v>
      </c>
      <c r="M1074" s="56">
        <f t="shared" si="323"/>
        <v>0</v>
      </c>
      <c r="N1074" s="56">
        <f>Model!$B$13*I1074*K1074/(Model!$B$13*I1074-L1074*287*K1074)</f>
        <v>253</v>
      </c>
      <c r="O1074" s="56">
        <f t="shared" si="324"/>
        <v>253</v>
      </c>
      <c r="P1074" s="56">
        <f t="shared" si="325"/>
        <v>-10</v>
      </c>
      <c r="Q1074" s="62">
        <f t="shared" si="336"/>
        <v>2.2579999999999999E-2</v>
      </c>
      <c r="R1074" s="33">
        <f t="shared" si="337"/>
        <v>1.152E-5</v>
      </c>
      <c r="S1074" s="45">
        <f>0.37*Model!$B$10*(Q1074^2*(N1074-K1074)*I1074/(R1074*O1074^2))^0.33333*(N1074-K1074)</f>
        <v>0</v>
      </c>
      <c r="T1074" s="50">
        <f>Model!$B$32+(90-Model!$B$6)*SIN(RADIANS(-15*(E1074+6)))</f>
        <v>-31.619472402513487</v>
      </c>
      <c r="U1074" s="45">
        <f t="shared" si="326"/>
        <v>0</v>
      </c>
      <c r="V1074" s="50">
        <f t="shared" si="327"/>
        <v>99999</v>
      </c>
      <c r="W1074" s="45">
        <f t="shared" si="328"/>
        <v>0</v>
      </c>
      <c r="X1074" s="45">
        <f>0.3*W1074*Model!$B$9</f>
        <v>0</v>
      </c>
      <c r="Y1074" s="33">
        <f>(S1074-X1074)/Model!$B$11</f>
        <v>0</v>
      </c>
      <c r="Z1074" s="45" t="e">
        <f t="shared" si="329"/>
        <v>#DIV/0!</v>
      </c>
      <c r="AA1074" s="56">
        <f>Y1074/Model!$B$12*3600</f>
        <v>0</v>
      </c>
      <c r="AB1074" s="50">
        <f t="shared" si="334"/>
        <v>0</v>
      </c>
      <c r="AC1074" s="50">
        <f t="shared" si="338"/>
        <v>1800</v>
      </c>
      <c r="AD1074" s="15">
        <f>IF(AE1074=0, Model!$B$19, 0 )</f>
        <v>0</v>
      </c>
      <c r="AE1074" s="50">
        <f>IF(AE1073+AB1073-AB1074&lt;Model!$B$19*Model!$B$18, AE1073+AB1073-AB1074,  0)</f>
        <v>443.63457370611354</v>
      </c>
      <c r="AF1074" s="15">
        <f t="shared" si="330"/>
        <v>1</v>
      </c>
      <c r="AG1074" s="50">
        <f t="shared" si="331"/>
        <v>0</v>
      </c>
    </row>
    <row r="1075" spans="2:33" x14ac:dyDescent="0.25">
      <c r="B1075" s="13">
        <f t="shared" si="332"/>
        <v>1</v>
      </c>
      <c r="C1075" s="13">
        <f>B1075+Model!$B$4</f>
        <v>3</v>
      </c>
      <c r="D1075" s="13">
        <f t="shared" si="333"/>
        <v>1</v>
      </c>
      <c r="E1075" s="13">
        <f t="shared" si="339"/>
        <v>3</v>
      </c>
      <c r="F1075" s="14">
        <f>IF(AB1075&gt;0, VLOOKUP(B1075,Model!$A$40:$B$60, 2), 0)</f>
        <v>0</v>
      </c>
      <c r="G1075" s="13">
        <f>IF(AB1075&gt;0, VLOOKUP(B1075,Model!$A$39:$C$58, 3), 0)</f>
        <v>0</v>
      </c>
      <c r="H1075" s="13">
        <f t="shared" si="322"/>
        <v>0</v>
      </c>
      <c r="I1075" s="46">
        <f>Model!$B$21*EXP((-0.029*9.81*F1075)/(8.31*(273+J1075)))</f>
        <v>104500</v>
      </c>
      <c r="J1075" s="13">
        <f>IF(Model!$B$31="Summer",  IF(F1075&lt;=2000,  Model!$B$20-Model!$B$35*F1075/1000,  IF(F1075&lt;Model!$B$36,  Model!$B$33-6.5*F1075/1000,  Model!$B$38)),     IF(F1075&lt;=2000,  Model!$B$20-Model!$B$35*F1075/1000,  IF(F1075&lt;Model!$B$36,  Model!$B$33-5.4*F1075/1000,   Model!$B$38)))</f>
        <v>-20</v>
      </c>
      <c r="K1075" s="13">
        <f t="shared" si="335"/>
        <v>253</v>
      </c>
      <c r="L1075" s="46">
        <f>IF(AB1074-AA1074*(B1075-B1074)&gt;0, L1074-Y1074*(B1075-B1074)*3600-AD1075*Model!$B$16, 0)</f>
        <v>0</v>
      </c>
      <c r="M1075" s="57">
        <f t="shared" si="323"/>
        <v>0</v>
      </c>
      <c r="N1075" s="57">
        <f>Model!$B$13*I1075*K1075/(Model!$B$13*I1075-L1075*287*K1075)</f>
        <v>253</v>
      </c>
      <c r="O1075" s="57">
        <f t="shared" si="324"/>
        <v>253</v>
      </c>
      <c r="P1075" s="57">
        <f t="shared" si="325"/>
        <v>-10</v>
      </c>
      <c r="Q1075" s="63">
        <f t="shared" si="336"/>
        <v>2.2579999999999999E-2</v>
      </c>
      <c r="R1075" s="17">
        <f t="shared" si="337"/>
        <v>1.152E-5</v>
      </c>
      <c r="S1075" s="46">
        <f>0.37*Model!$B$10*(Q1075^2*(N1075-K1075)*I1075/(R1075*O1075^2))^0.33333*(N1075-K1075)</f>
        <v>0</v>
      </c>
      <c r="T1075" s="51">
        <f>Model!$B$32+(90-Model!$B$6)*SIN(RADIANS(-15*(E1075+6)))</f>
        <v>-31.619472402513487</v>
      </c>
      <c r="U1075" s="46">
        <f t="shared" si="326"/>
        <v>0</v>
      </c>
      <c r="V1075" s="51">
        <f t="shared" si="327"/>
        <v>99999</v>
      </c>
      <c r="W1075" s="46">
        <f t="shared" si="328"/>
        <v>0</v>
      </c>
      <c r="X1075" s="46">
        <f>0.3*W1075*Model!$B$9</f>
        <v>0</v>
      </c>
      <c r="Y1075" s="17">
        <f>(S1075-X1075)/Model!$B$11</f>
        <v>0</v>
      </c>
      <c r="Z1075" s="46" t="e">
        <f t="shared" si="329"/>
        <v>#DIV/0!</v>
      </c>
      <c r="AA1075" s="57">
        <f>Y1075/Model!$B$12*3600</f>
        <v>0</v>
      </c>
      <c r="AB1075" s="51">
        <f t="shared" si="334"/>
        <v>0</v>
      </c>
      <c r="AC1075" s="51">
        <f t="shared" si="338"/>
        <v>1800</v>
      </c>
      <c r="AD1075" s="13">
        <f>IF(AE1075=0, Model!$B$19, 0 )</f>
        <v>0</v>
      </c>
      <c r="AE1075" s="51">
        <f>IF(AE1074+AB1074-AB1075&lt;Model!$B$19*Model!$B$18, AE1074+AB1074-AB1075,  0)</f>
        <v>443.63457370611354</v>
      </c>
      <c r="AF1075" s="13">
        <f t="shared" si="330"/>
        <v>1</v>
      </c>
      <c r="AG1075" s="50">
        <f t="shared" si="331"/>
        <v>0</v>
      </c>
    </row>
    <row r="1076" spans="2:33" x14ac:dyDescent="0.25">
      <c r="B1076" s="15">
        <f t="shared" si="332"/>
        <v>1</v>
      </c>
      <c r="C1076" s="15">
        <f>B1076+Model!$B$4</f>
        <v>3</v>
      </c>
      <c r="D1076" s="15">
        <f t="shared" si="333"/>
        <v>1</v>
      </c>
      <c r="E1076" s="15">
        <f t="shared" si="339"/>
        <v>3</v>
      </c>
      <c r="F1076" s="16">
        <f>IF(AB1076&gt;0, VLOOKUP(B1076,Model!$A$40:$B$60, 2), 0)</f>
        <v>0</v>
      </c>
      <c r="G1076" s="15">
        <f>IF(AB1076&gt;0, VLOOKUP(B1076,Model!$A$39:$C$58, 3), 0)</f>
        <v>0</v>
      </c>
      <c r="H1076" s="15">
        <f t="shared" si="322"/>
        <v>0</v>
      </c>
      <c r="I1076" s="45">
        <f>Model!$B$21*EXP((-0.029*9.81*F1076)/(8.31*(273+J1076)))</f>
        <v>104500</v>
      </c>
      <c r="J1076" s="15">
        <f>IF(Model!$B$31="Summer",  IF(F1076&lt;=2000,  Model!$B$20-Model!$B$35*F1076/1000,  IF(F1076&lt;Model!$B$36,  Model!$B$33-6.5*F1076/1000,  Model!$B$38)),     IF(F1076&lt;=2000,  Model!$B$20-Model!$B$35*F1076/1000,  IF(F1076&lt;Model!$B$36,  Model!$B$33-5.4*F1076/1000,   Model!$B$38)))</f>
        <v>-20</v>
      </c>
      <c r="K1076" s="15">
        <f t="shared" si="335"/>
        <v>253</v>
      </c>
      <c r="L1076" s="45">
        <f>IF(AB1075-AA1075*(B1076-B1075)&gt;0, L1075-Y1075*(B1076-B1075)*3600-AD1076*Model!$B$16, 0)</f>
        <v>0</v>
      </c>
      <c r="M1076" s="56">
        <f t="shared" si="323"/>
        <v>0</v>
      </c>
      <c r="N1076" s="56">
        <f>Model!$B$13*I1076*K1076/(Model!$B$13*I1076-L1076*287*K1076)</f>
        <v>253</v>
      </c>
      <c r="O1076" s="56">
        <f t="shared" si="324"/>
        <v>253</v>
      </c>
      <c r="P1076" s="56">
        <f t="shared" si="325"/>
        <v>-10</v>
      </c>
      <c r="Q1076" s="62">
        <f t="shared" si="336"/>
        <v>2.2579999999999999E-2</v>
      </c>
      <c r="R1076" s="33">
        <f t="shared" si="337"/>
        <v>1.152E-5</v>
      </c>
      <c r="S1076" s="45">
        <f>0.37*Model!$B$10*(Q1076^2*(N1076-K1076)*I1076/(R1076*O1076^2))^0.33333*(N1076-K1076)</f>
        <v>0</v>
      </c>
      <c r="T1076" s="50">
        <f>Model!$B$32+(90-Model!$B$6)*SIN(RADIANS(-15*(E1076+6)))</f>
        <v>-31.619472402513487</v>
      </c>
      <c r="U1076" s="45">
        <f t="shared" si="326"/>
        <v>0</v>
      </c>
      <c r="V1076" s="50">
        <f t="shared" si="327"/>
        <v>99999</v>
      </c>
      <c r="W1076" s="45">
        <f t="shared" si="328"/>
        <v>0</v>
      </c>
      <c r="X1076" s="45">
        <f>0.3*W1076*Model!$B$9</f>
        <v>0</v>
      </c>
      <c r="Y1076" s="33">
        <f>(S1076-X1076)/Model!$B$11</f>
        <v>0</v>
      </c>
      <c r="Z1076" s="45" t="e">
        <f t="shared" si="329"/>
        <v>#DIV/0!</v>
      </c>
      <c r="AA1076" s="56">
        <f>Y1076/Model!$B$12*3600</f>
        <v>0</v>
      </c>
      <c r="AB1076" s="50">
        <f t="shared" si="334"/>
        <v>0</v>
      </c>
      <c r="AC1076" s="50">
        <f t="shared" si="338"/>
        <v>1800</v>
      </c>
      <c r="AD1076" s="15">
        <f>IF(AE1076=0, Model!$B$19, 0 )</f>
        <v>0</v>
      </c>
      <c r="AE1076" s="50">
        <f>IF(AE1075+AB1075-AB1076&lt;Model!$B$19*Model!$B$18, AE1075+AB1075-AB1076,  0)</f>
        <v>443.63457370611354</v>
      </c>
      <c r="AF1076" s="15">
        <f t="shared" si="330"/>
        <v>1</v>
      </c>
      <c r="AG1076" s="50">
        <f t="shared" si="331"/>
        <v>0</v>
      </c>
    </row>
    <row r="1077" spans="2:33" x14ac:dyDescent="0.25">
      <c r="B1077" s="13">
        <f t="shared" si="332"/>
        <v>1</v>
      </c>
      <c r="C1077" s="13">
        <f>B1077+Model!$B$4</f>
        <v>3</v>
      </c>
      <c r="D1077" s="13">
        <f t="shared" si="333"/>
        <v>1</v>
      </c>
      <c r="E1077" s="13">
        <f t="shared" si="339"/>
        <v>3</v>
      </c>
      <c r="F1077" s="14">
        <f>IF(AB1077&gt;0, VLOOKUP(B1077,Model!$A$40:$B$60, 2), 0)</f>
        <v>0</v>
      </c>
      <c r="G1077" s="13">
        <f>IF(AB1077&gt;0, VLOOKUP(B1077,Model!$A$39:$C$58, 3), 0)</f>
        <v>0</v>
      </c>
      <c r="H1077" s="13">
        <f t="shared" si="322"/>
        <v>0</v>
      </c>
      <c r="I1077" s="46">
        <f>Model!$B$21*EXP((-0.029*9.81*F1077)/(8.31*(273+J1077)))</f>
        <v>104500</v>
      </c>
      <c r="J1077" s="13">
        <f>IF(Model!$B$31="Summer",  IF(F1077&lt;=2000,  Model!$B$20-Model!$B$35*F1077/1000,  IF(F1077&lt;Model!$B$36,  Model!$B$33-6.5*F1077/1000,  Model!$B$38)),     IF(F1077&lt;=2000,  Model!$B$20-Model!$B$35*F1077/1000,  IF(F1077&lt;Model!$B$36,  Model!$B$33-5.4*F1077/1000,   Model!$B$38)))</f>
        <v>-20</v>
      </c>
      <c r="K1077" s="13">
        <f t="shared" si="335"/>
        <v>253</v>
      </c>
      <c r="L1077" s="46">
        <f>IF(AB1076-AA1076*(B1077-B1076)&gt;0, L1076-Y1076*(B1077-B1076)*3600-AD1077*Model!$B$16, 0)</f>
        <v>0</v>
      </c>
      <c r="M1077" s="57">
        <f t="shared" si="323"/>
        <v>0</v>
      </c>
      <c r="N1077" s="57">
        <f>Model!$B$13*I1077*K1077/(Model!$B$13*I1077-L1077*287*K1077)</f>
        <v>253</v>
      </c>
      <c r="O1077" s="57">
        <f t="shared" si="324"/>
        <v>253</v>
      </c>
      <c r="P1077" s="57">
        <f t="shared" si="325"/>
        <v>-10</v>
      </c>
      <c r="Q1077" s="63">
        <f t="shared" si="336"/>
        <v>2.2579999999999999E-2</v>
      </c>
      <c r="R1077" s="17">
        <f t="shared" si="337"/>
        <v>1.152E-5</v>
      </c>
      <c r="S1077" s="46">
        <f>0.37*Model!$B$10*(Q1077^2*(N1077-K1077)*I1077/(R1077*O1077^2))^0.33333*(N1077-K1077)</f>
        <v>0</v>
      </c>
      <c r="T1077" s="51">
        <f>Model!$B$32+(90-Model!$B$6)*SIN(RADIANS(-15*(E1077+6)))</f>
        <v>-31.619472402513487</v>
      </c>
      <c r="U1077" s="46">
        <f t="shared" si="326"/>
        <v>0</v>
      </c>
      <c r="V1077" s="51">
        <f t="shared" si="327"/>
        <v>99999</v>
      </c>
      <c r="W1077" s="46">
        <f t="shared" si="328"/>
        <v>0</v>
      </c>
      <c r="X1077" s="46">
        <f>0.3*W1077*Model!$B$9</f>
        <v>0</v>
      </c>
      <c r="Y1077" s="17">
        <f>(S1077-X1077)/Model!$B$11</f>
        <v>0</v>
      </c>
      <c r="Z1077" s="46" t="e">
        <f t="shared" si="329"/>
        <v>#DIV/0!</v>
      </c>
      <c r="AA1077" s="57">
        <f>Y1077/Model!$B$12*3600</f>
        <v>0</v>
      </c>
      <c r="AB1077" s="51">
        <f t="shared" si="334"/>
        <v>0</v>
      </c>
      <c r="AC1077" s="51">
        <f t="shared" si="338"/>
        <v>1800</v>
      </c>
      <c r="AD1077" s="13">
        <f>IF(AE1077=0, Model!$B$19, 0 )</f>
        <v>0</v>
      </c>
      <c r="AE1077" s="51">
        <f>IF(AE1076+AB1076-AB1077&lt;Model!$B$19*Model!$B$18, AE1076+AB1076-AB1077,  0)</f>
        <v>443.63457370611354</v>
      </c>
      <c r="AF1077" s="13">
        <f t="shared" si="330"/>
        <v>1</v>
      </c>
      <c r="AG1077" s="50">
        <f t="shared" si="331"/>
        <v>0</v>
      </c>
    </row>
    <row r="1078" spans="2:33" x14ac:dyDescent="0.25">
      <c r="B1078" s="15">
        <f t="shared" si="332"/>
        <v>1</v>
      </c>
      <c r="C1078" s="15">
        <f>B1078+Model!$B$4</f>
        <v>3</v>
      </c>
      <c r="D1078" s="15">
        <f t="shared" si="333"/>
        <v>1</v>
      </c>
      <c r="E1078" s="15">
        <f t="shared" si="339"/>
        <v>3</v>
      </c>
      <c r="F1078" s="16">
        <f>IF(AB1078&gt;0, VLOOKUP(B1078,Model!$A$40:$B$60, 2), 0)</f>
        <v>0</v>
      </c>
      <c r="G1078" s="15">
        <f>IF(AB1078&gt;0, VLOOKUP(B1078,Model!$A$39:$C$58, 3), 0)</f>
        <v>0</v>
      </c>
      <c r="H1078" s="15">
        <f t="shared" si="322"/>
        <v>0</v>
      </c>
      <c r="I1078" s="45">
        <f>Model!$B$21*EXP((-0.029*9.81*F1078)/(8.31*(273+J1078)))</f>
        <v>104500</v>
      </c>
      <c r="J1078" s="15">
        <f>IF(Model!$B$31="Summer",  IF(F1078&lt;=2000,  Model!$B$20-Model!$B$35*F1078/1000,  IF(F1078&lt;Model!$B$36,  Model!$B$33-6.5*F1078/1000,  Model!$B$38)),     IF(F1078&lt;=2000,  Model!$B$20-Model!$B$35*F1078/1000,  IF(F1078&lt;Model!$B$36,  Model!$B$33-5.4*F1078/1000,   Model!$B$38)))</f>
        <v>-20</v>
      </c>
      <c r="K1078" s="15">
        <f t="shared" si="335"/>
        <v>253</v>
      </c>
      <c r="L1078" s="45">
        <f>IF(AB1077-AA1077*(B1078-B1077)&gt;0, L1077-Y1077*(B1078-B1077)*3600-AD1078*Model!$B$16, 0)</f>
        <v>0</v>
      </c>
      <c r="M1078" s="56">
        <f t="shared" si="323"/>
        <v>0</v>
      </c>
      <c r="N1078" s="56">
        <f>Model!$B$13*I1078*K1078/(Model!$B$13*I1078-L1078*287*K1078)</f>
        <v>253</v>
      </c>
      <c r="O1078" s="56">
        <f t="shared" si="324"/>
        <v>253</v>
      </c>
      <c r="P1078" s="56">
        <f t="shared" si="325"/>
        <v>-10</v>
      </c>
      <c r="Q1078" s="62">
        <f t="shared" si="336"/>
        <v>2.2579999999999999E-2</v>
      </c>
      <c r="R1078" s="33">
        <f t="shared" si="337"/>
        <v>1.152E-5</v>
      </c>
      <c r="S1078" s="45">
        <f>0.37*Model!$B$10*(Q1078^2*(N1078-K1078)*I1078/(R1078*O1078^2))^0.33333*(N1078-K1078)</f>
        <v>0</v>
      </c>
      <c r="T1078" s="50">
        <f>Model!$B$32+(90-Model!$B$6)*SIN(RADIANS(-15*(E1078+6)))</f>
        <v>-31.619472402513487</v>
      </c>
      <c r="U1078" s="45">
        <f t="shared" si="326"/>
        <v>0</v>
      </c>
      <c r="V1078" s="50">
        <f t="shared" si="327"/>
        <v>99999</v>
      </c>
      <c r="W1078" s="45">
        <f t="shared" si="328"/>
        <v>0</v>
      </c>
      <c r="X1078" s="45">
        <f>0.3*W1078*Model!$B$9</f>
        <v>0</v>
      </c>
      <c r="Y1078" s="33">
        <f>(S1078-X1078)/Model!$B$11</f>
        <v>0</v>
      </c>
      <c r="Z1078" s="45" t="e">
        <f t="shared" si="329"/>
        <v>#DIV/0!</v>
      </c>
      <c r="AA1078" s="56">
        <f>Y1078/Model!$B$12*3600</f>
        <v>0</v>
      </c>
      <c r="AB1078" s="50">
        <f t="shared" si="334"/>
        <v>0</v>
      </c>
      <c r="AC1078" s="50">
        <f t="shared" si="338"/>
        <v>1800</v>
      </c>
      <c r="AD1078" s="15">
        <f>IF(AE1078=0, Model!$B$19, 0 )</f>
        <v>0</v>
      </c>
      <c r="AE1078" s="50">
        <f>IF(AE1077+AB1077-AB1078&lt;Model!$B$19*Model!$B$18, AE1077+AB1077-AB1078,  0)</f>
        <v>443.63457370611354</v>
      </c>
      <c r="AF1078" s="15">
        <f t="shared" si="330"/>
        <v>1</v>
      </c>
      <c r="AG1078" s="50">
        <f t="shared" si="331"/>
        <v>0</v>
      </c>
    </row>
    <row r="1079" spans="2:33" x14ac:dyDescent="0.25">
      <c r="B1079" s="13">
        <f t="shared" si="332"/>
        <v>1</v>
      </c>
      <c r="C1079" s="13">
        <f>B1079+Model!$B$4</f>
        <v>3</v>
      </c>
      <c r="D1079" s="13">
        <f t="shared" si="333"/>
        <v>1</v>
      </c>
      <c r="E1079" s="13">
        <f t="shared" si="339"/>
        <v>3</v>
      </c>
      <c r="F1079" s="14">
        <f>IF(AB1079&gt;0, VLOOKUP(B1079,Model!$A$40:$B$60, 2), 0)</f>
        <v>0</v>
      </c>
      <c r="G1079" s="13">
        <f>IF(AB1079&gt;0, VLOOKUP(B1079,Model!$A$39:$C$58, 3), 0)</f>
        <v>0</v>
      </c>
      <c r="H1079" s="13">
        <f t="shared" si="322"/>
        <v>0</v>
      </c>
      <c r="I1079" s="46">
        <f>Model!$B$21*EXP((-0.029*9.81*F1079)/(8.31*(273+J1079)))</f>
        <v>104500</v>
      </c>
      <c r="J1079" s="13">
        <f>IF(Model!$B$31="Summer",  IF(F1079&lt;=2000,  Model!$B$20-Model!$B$35*F1079/1000,  IF(F1079&lt;Model!$B$36,  Model!$B$33-6.5*F1079/1000,  Model!$B$38)),     IF(F1079&lt;=2000,  Model!$B$20-Model!$B$35*F1079/1000,  IF(F1079&lt;Model!$B$36,  Model!$B$33-5.4*F1079/1000,   Model!$B$38)))</f>
        <v>-20</v>
      </c>
      <c r="K1079" s="13">
        <f t="shared" si="335"/>
        <v>253</v>
      </c>
      <c r="L1079" s="46">
        <f>IF(AB1078-AA1078*(B1079-B1078)&gt;0, L1078-Y1078*(B1079-B1078)*3600-AD1079*Model!$B$16, 0)</f>
        <v>0</v>
      </c>
      <c r="M1079" s="57">
        <f t="shared" si="323"/>
        <v>0</v>
      </c>
      <c r="N1079" s="57">
        <f>Model!$B$13*I1079*K1079/(Model!$B$13*I1079-L1079*287*K1079)</f>
        <v>253</v>
      </c>
      <c r="O1079" s="57">
        <f t="shared" si="324"/>
        <v>253</v>
      </c>
      <c r="P1079" s="57">
        <f t="shared" si="325"/>
        <v>-10</v>
      </c>
      <c r="Q1079" s="63">
        <f t="shared" si="336"/>
        <v>2.2579999999999999E-2</v>
      </c>
      <c r="R1079" s="17">
        <f t="shared" si="337"/>
        <v>1.152E-5</v>
      </c>
      <c r="S1079" s="46">
        <f>0.37*Model!$B$10*(Q1079^2*(N1079-K1079)*I1079/(R1079*O1079^2))^0.33333*(N1079-K1079)</f>
        <v>0</v>
      </c>
      <c r="T1079" s="51">
        <f>Model!$B$32+(90-Model!$B$6)*SIN(RADIANS(-15*(E1079+6)))</f>
        <v>-31.619472402513487</v>
      </c>
      <c r="U1079" s="46">
        <f t="shared" si="326"/>
        <v>0</v>
      </c>
      <c r="V1079" s="51">
        <f t="shared" si="327"/>
        <v>99999</v>
      </c>
      <c r="W1079" s="46">
        <f t="shared" si="328"/>
        <v>0</v>
      </c>
      <c r="X1079" s="46">
        <f>0.3*W1079*Model!$B$9</f>
        <v>0</v>
      </c>
      <c r="Y1079" s="17">
        <f>(S1079-X1079)/Model!$B$11</f>
        <v>0</v>
      </c>
      <c r="Z1079" s="46" t="e">
        <f t="shared" si="329"/>
        <v>#DIV/0!</v>
      </c>
      <c r="AA1079" s="57">
        <f>Y1079/Model!$B$12*3600</f>
        <v>0</v>
      </c>
      <c r="AB1079" s="51">
        <f t="shared" si="334"/>
        <v>0</v>
      </c>
      <c r="AC1079" s="51">
        <f t="shared" si="338"/>
        <v>1800</v>
      </c>
      <c r="AD1079" s="13">
        <f>IF(AE1079=0, Model!$B$19, 0 )</f>
        <v>0</v>
      </c>
      <c r="AE1079" s="51">
        <f>IF(AE1078+AB1078-AB1079&lt;Model!$B$19*Model!$B$18, AE1078+AB1078-AB1079,  0)</f>
        <v>443.63457370611354</v>
      </c>
      <c r="AF1079" s="13">
        <f t="shared" si="330"/>
        <v>1</v>
      </c>
      <c r="AG1079" s="50">
        <f t="shared" si="331"/>
        <v>0</v>
      </c>
    </row>
    <row r="1080" spans="2:33" x14ac:dyDescent="0.25">
      <c r="B1080" s="15">
        <f t="shared" si="332"/>
        <v>1</v>
      </c>
      <c r="C1080" s="15">
        <f>B1080+Model!$B$4</f>
        <v>3</v>
      </c>
      <c r="D1080" s="15">
        <f t="shared" si="333"/>
        <v>1</v>
      </c>
      <c r="E1080" s="15">
        <f t="shared" si="339"/>
        <v>3</v>
      </c>
      <c r="F1080" s="16">
        <f>IF(AB1080&gt;0, VLOOKUP(B1080,Model!$A$40:$B$60, 2), 0)</f>
        <v>0</v>
      </c>
      <c r="G1080" s="15">
        <f>IF(AB1080&gt;0, VLOOKUP(B1080,Model!$A$39:$C$58, 3), 0)</f>
        <v>0</v>
      </c>
      <c r="H1080" s="15">
        <f t="shared" si="322"/>
        <v>0</v>
      </c>
      <c r="I1080" s="45">
        <f>Model!$B$21*EXP((-0.029*9.81*F1080)/(8.31*(273+J1080)))</f>
        <v>104500</v>
      </c>
      <c r="J1080" s="15">
        <f>IF(Model!$B$31="Summer",  IF(F1080&lt;=2000,  Model!$B$20-Model!$B$35*F1080/1000,  IF(F1080&lt;Model!$B$36,  Model!$B$33-6.5*F1080/1000,  Model!$B$38)),     IF(F1080&lt;=2000,  Model!$B$20-Model!$B$35*F1080/1000,  IF(F1080&lt;Model!$B$36,  Model!$B$33-5.4*F1080/1000,   Model!$B$38)))</f>
        <v>-20</v>
      </c>
      <c r="K1080" s="15">
        <f t="shared" si="335"/>
        <v>253</v>
      </c>
      <c r="L1080" s="45">
        <f>IF(AB1079-AA1079*(B1080-B1079)&gt;0, L1079-Y1079*(B1080-B1079)*3600-AD1080*Model!$B$16, 0)</f>
        <v>0</v>
      </c>
      <c r="M1080" s="56">
        <f t="shared" si="323"/>
        <v>0</v>
      </c>
      <c r="N1080" s="56">
        <f>Model!$B$13*I1080*K1080/(Model!$B$13*I1080-L1080*287*K1080)</f>
        <v>253</v>
      </c>
      <c r="O1080" s="56">
        <f t="shared" si="324"/>
        <v>253</v>
      </c>
      <c r="P1080" s="56">
        <f t="shared" si="325"/>
        <v>-10</v>
      </c>
      <c r="Q1080" s="62">
        <f t="shared" si="336"/>
        <v>2.2579999999999999E-2</v>
      </c>
      <c r="R1080" s="33">
        <f t="shared" si="337"/>
        <v>1.152E-5</v>
      </c>
      <c r="S1080" s="45">
        <f>0.37*Model!$B$10*(Q1080^2*(N1080-K1080)*I1080/(R1080*O1080^2))^0.33333*(N1080-K1080)</f>
        <v>0</v>
      </c>
      <c r="T1080" s="50">
        <f>Model!$B$32+(90-Model!$B$6)*SIN(RADIANS(-15*(E1080+6)))</f>
        <v>-31.619472402513487</v>
      </c>
      <c r="U1080" s="45">
        <f t="shared" si="326"/>
        <v>0</v>
      </c>
      <c r="V1080" s="50">
        <f t="shared" si="327"/>
        <v>99999</v>
      </c>
      <c r="W1080" s="45">
        <f t="shared" si="328"/>
        <v>0</v>
      </c>
      <c r="X1080" s="45">
        <f>0.3*W1080*Model!$B$9</f>
        <v>0</v>
      </c>
      <c r="Y1080" s="33">
        <f>(S1080-X1080)/Model!$B$11</f>
        <v>0</v>
      </c>
      <c r="Z1080" s="45" t="e">
        <f t="shared" si="329"/>
        <v>#DIV/0!</v>
      </c>
      <c r="AA1080" s="56">
        <f>Y1080/Model!$B$12*3600</f>
        <v>0</v>
      </c>
      <c r="AB1080" s="50">
        <f t="shared" si="334"/>
        <v>0</v>
      </c>
      <c r="AC1080" s="50">
        <f t="shared" si="338"/>
        <v>1800</v>
      </c>
      <c r="AD1080" s="15">
        <f>IF(AE1080=0, Model!$B$19, 0 )</f>
        <v>0</v>
      </c>
      <c r="AE1080" s="50">
        <f>IF(AE1079+AB1079-AB1080&lt;Model!$B$19*Model!$B$18, AE1079+AB1079-AB1080,  0)</f>
        <v>443.63457370611354</v>
      </c>
      <c r="AF1080" s="15">
        <f t="shared" si="330"/>
        <v>1</v>
      </c>
      <c r="AG1080" s="50">
        <f t="shared" si="331"/>
        <v>0</v>
      </c>
    </row>
    <row r="1081" spans="2:33" x14ac:dyDescent="0.25">
      <c r="B1081" s="13">
        <f t="shared" si="332"/>
        <v>1</v>
      </c>
      <c r="C1081" s="13">
        <f>B1081+Model!$B$4</f>
        <v>3</v>
      </c>
      <c r="D1081" s="13">
        <f t="shared" si="333"/>
        <v>1</v>
      </c>
      <c r="E1081" s="13">
        <f t="shared" si="339"/>
        <v>3</v>
      </c>
      <c r="F1081" s="14">
        <f>IF(AB1081&gt;0, VLOOKUP(B1081,Model!$A$40:$B$60, 2), 0)</f>
        <v>0</v>
      </c>
      <c r="G1081" s="13">
        <f>IF(AB1081&gt;0, VLOOKUP(B1081,Model!$A$39:$C$58, 3), 0)</f>
        <v>0</v>
      </c>
      <c r="H1081" s="13">
        <f t="shared" si="322"/>
        <v>0</v>
      </c>
      <c r="I1081" s="46">
        <f>Model!$B$21*EXP((-0.029*9.81*F1081)/(8.31*(273+J1081)))</f>
        <v>104500</v>
      </c>
      <c r="J1081" s="13">
        <f>IF(Model!$B$31="Summer",  IF(F1081&lt;=2000,  Model!$B$20-Model!$B$35*F1081/1000,  IF(F1081&lt;Model!$B$36,  Model!$B$33-6.5*F1081/1000,  Model!$B$38)),     IF(F1081&lt;=2000,  Model!$B$20-Model!$B$35*F1081/1000,  IF(F1081&lt;Model!$B$36,  Model!$B$33-5.4*F1081/1000,   Model!$B$38)))</f>
        <v>-20</v>
      </c>
      <c r="K1081" s="13">
        <f t="shared" ref="K1081:K1089" si="340">273+J1081</f>
        <v>253</v>
      </c>
      <c r="L1081" s="46">
        <f>IF(AB1080-AA1080*(B1081-B1080)&gt;0, L1080-Y1080*(B1081-B1080)*3600-AD1081*Model!$B$16, 0)</f>
        <v>0</v>
      </c>
      <c r="M1081" s="57">
        <f t="shared" si="323"/>
        <v>0</v>
      </c>
      <c r="N1081" s="57">
        <f>Model!$B$13*I1081*K1081/(Model!$B$13*I1081-L1081*287*K1081)</f>
        <v>253</v>
      </c>
      <c r="O1081" s="57">
        <f t="shared" si="324"/>
        <v>253</v>
      </c>
      <c r="P1081" s="57">
        <f t="shared" si="325"/>
        <v>-10</v>
      </c>
      <c r="Q1081" s="63">
        <f t="shared" ref="Q1081:Q1089" si="341">(O1081-273)*7.1*0.00001+0.024</f>
        <v>2.2579999999999999E-2</v>
      </c>
      <c r="R1081" s="17">
        <f t="shared" ref="R1081:R1089" si="342">((O1081-273)*0.104+13.6)*0.000001</f>
        <v>1.152E-5</v>
      </c>
      <c r="S1081" s="46">
        <f>0.37*Model!$B$10*(Q1081^2*(N1081-K1081)*I1081/(R1081*O1081^2))^0.33333*(N1081-K1081)</f>
        <v>0</v>
      </c>
      <c r="T1081" s="51">
        <f>Model!$B$32+(90-Model!$B$6)*SIN(RADIANS(-15*(E1081+6)))</f>
        <v>-31.619472402513487</v>
      </c>
      <c r="U1081" s="46">
        <f t="shared" si="326"/>
        <v>0</v>
      </c>
      <c r="V1081" s="51">
        <f t="shared" si="327"/>
        <v>99999</v>
      </c>
      <c r="W1081" s="46">
        <f t="shared" si="328"/>
        <v>0</v>
      </c>
      <c r="X1081" s="46">
        <f>0.3*W1081*Model!$B$9</f>
        <v>0</v>
      </c>
      <c r="Y1081" s="17">
        <f>(S1081-X1081)/Model!$B$11</f>
        <v>0</v>
      </c>
      <c r="Z1081" s="46" t="e">
        <f t="shared" si="329"/>
        <v>#DIV/0!</v>
      </c>
      <c r="AA1081" s="57">
        <f>Y1081/Model!$B$12*3600</f>
        <v>0</v>
      </c>
      <c r="AB1081" s="51">
        <f t="shared" si="334"/>
        <v>0</v>
      </c>
      <c r="AC1081" s="51">
        <f t="shared" ref="AC1081:AC1089" si="343">AC1080+AB1080-AB1081</f>
        <v>1800</v>
      </c>
      <c r="AD1081" s="13">
        <f>IF(AE1081=0, Model!$B$19, 0 )</f>
        <v>0</v>
      </c>
      <c r="AE1081" s="51">
        <f>IF(AE1080+AB1080-AB1081&lt;Model!$B$19*Model!$B$18, AE1080+AB1080-AB1081,  0)</f>
        <v>443.63457370611354</v>
      </c>
      <c r="AF1081" s="13">
        <f t="shared" si="330"/>
        <v>1</v>
      </c>
      <c r="AG1081" s="50">
        <f t="shared" si="331"/>
        <v>0</v>
      </c>
    </row>
    <row r="1082" spans="2:33" x14ac:dyDescent="0.25">
      <c r="B1082" s="15">
        <f t="shared" si="332"/>
        <v>1</v>
      </c>
      <c r="C1082" s="15">
        <f>B1082+Model!$B$4</f>
        <v>3</v>
      </c>
      <c r="D1082" s="15">
        <f t="shared" si="333"/>
        <v>1</v>
      </c>
      <c r="E1082" s="15">
        <f t="shared" si="339"/>
        <v>3</v>
      </c>
      <c r="F1082" s="16">
        <f>IF(AB1082&gt;0, VLOOKUP(B1082,Model!$A$40:$B$60, 2), 0)</f>
        <v>0</v>
      </c>
      <c r="G1082" s="15">
        <f>IF(AB1082&gt;0, VLOOKUP(B1082,Model!$A$39:$C$58, 3), 0)</f>
        <v>0</v>
      </c>
      <c r="H1082" s="15">
        <f t="shared" si="322"/>
        <v>0</v>
      </c>
      <c r="I1082" s="45">
        <f>Model!$B$21*EXP((-0.029*9.81*F1082)/(8.31*(273+J1082)))</f>
        <v>104500</v>
      </c>
      <c r="J1082" s="15">
        <f>IF(Model!$B$31="Summer",  IF(F1082&lt;=2000,  Model!$B$20-Model!$B$35*F1082/1000,  IF(F1082&lt;Model!$B$36,  Model!$B$33-6.5*F1082/1000,  Model!$B$38)),     IF(F1082&lt;=2000,  Model!$B$20-Model!$B$35*F1082/1000,  IF(F1082&lt;Model!$B$36,  Model!$B$33-5.4*F1082/1000,   Model!$B$38)))</f>
        <v>-20</v>
      </c>
      <c r="K1082" s="15">
        <f t="shared" si="340"/>
        <v>253</v>
      </c>
      <c r="L1082" s="45">
        <f>IF(AB1081-AA1081*(B1082-B1081)&gt;0, L1081-Y1081*(B1082-B1081)*3600-AD1082*Model!$B$16, 0)</f>
        <v>0</v>
      </c>
      <c r="M1082" s="56">
        <f t="shared" si="323"/>
        <v>0</v>
      </c>
      <c r="N1082" s="56">
        <f>Model!$B$13*I1082*K1082/(Model!$B$13*I1082-L1082*287*K1082)</f>
        <v>253</v>
      </c>
      <c r="O1082" s="56">
        <f t="shared" si="324"/>
        <v>253</v>
      </c>
      <c r="P1082" s="56">
        <f t="shared" si="325"/>
        <v>-10</v>
      </c>
      <c r="Q1082" s="62">
        <f t="shared" si="341"/>
        <v>2.2579999999999999E-2</v>
      </c>
      <c r="R1082" s="33">
        <f t="shared" si="342"/>
        <v>1.152E-5</v>
      </c>
      <c r="S1082" s="45">
        <f>0.37*Model!$B$10*(Q1082^2*(N1082-K1082)*I1082/(R1082*O1082^2))^0.33333*(N1082-K1082)</f>
        <v>0</v>
      </c>
      <c r="T1082" s="50">
        <f>Model!$B$32+(90-Model!$B$6)*SIN(RADIANS(-15*(E1082+6)))</f>
        <v>-31.619472402513487</v>
      </c>
      <c r="U1082" s="45">
        <f t="shared" si="326"/>
        <v>0</v>
      </c>
      <c r="V1082" s="50">
        <f t="shared" si="327"/>
        <v>99999</v>
      </c>
      <c r="W1082" s="45">
        <f t="shared" si="328"/>
        <v>0</v>
      </c>
      <c r="X1082" s="45">
        <f>0.3*W1082*Model!$B$9</f>
        <v>0</v>
      </c>
      <c r="Y1082" s="33">
        <f>(S1082-X1082)/Model!$B$11</f>
        <v>0</v>
      </c>
      <c r="Z1082" s="45" t="e">
        <f t="shared" si="329"/>
        <v>#DIV/0!</v>
      </c>
      <c r="AA1082" s="56">
        <f>Y1082/Model!$B$12*3600</f>
        <v>0</v>
      </c>
      <c r="AB1082" s="50">
        <f t="shared" si="334"/>
        <v>0</v>
      </c>
      <c r="AC1082" s="50">
        <f t="shared" si="343"/>
        <v>1800</v>
      </c>
      <c r="AD1082" s="15">
        <f>IF(AE1082=0, Model!$B$19, 0 )</f>
        <v>0</v>
      </c>
      <c r="AE1082" s="50">
        <f>IF(AE1081+AB1081-AB1082&lt;Model!$B$19*Model!$B$18, AE1081+AB1081-AB1082,  0)</f>
        <v>443.63457370611354</v>
      </c>
      <c r="AF1082" s="15">
        <f t="shared" si="330"/>
        <v>1</v>
      </c>
      <c r="AG1082" s="50">
        <f t="shared" si="331"/>
        <v>0</v>
      </c>
    </row>
    <row r="1083" spans="2:33" x14ac:dyDescent="0.25">
      <c r="B1083" s="13">
        <f t="shared" si="332"/>
        <v>1</v>
      </c>
      <c r="C1083" s="13">
        <f>B1083+Model!$B$4</f>
        <v>3</v>
      </c>
      <c r="D1083" s="13">
        <f t="shared" si="333"/>
        <v>1</v>
      </c>
      <c r="E1083" s="13">
        <f t="shared" si="339"/>
        <v>3</v>
      </c>
      <c r="F1083" s="14">
        <f>IF(AB1083&gt;0, VLOOKUP(B1083,Model!$A$40:$B$60, 2), 0)</f>
        <v>0</v>
      </c>
      <c r="G1083" s="13">
        <f>IF(AB1083&gt;0, VLOOKUP(B1083,Model!$A$39:$C$58, 3), 0)</f>
        <v>0</v>
      </c>
      <c r="H1083" s="13">
        <f t="shared" si="322"/>
        <v>0</v>
      </c>
      <c r="I1083" s="46">
        <f>Model!$B$21*EXP((-0.029*9.81*F1083)/(8.31*(273+J1083)))</f>
        <v>104500</v>
      </c>
      <c r="J1083" s="13">
        <f>IF(Model!$B$31="Summer",  IF(F1083&lt;=2000,  Model!$B$20-Model!$B$35*F1083/1000,  IF(F1083&lt;Model!$B$36,  Model!$B$33-6.5*F1083/1000,  Model!$B$38)),     IF(F1083&lt;=2000,  Model!$B$20-Model!$B$35*F1083/1000,  IF(F1083&lt;Model!$B$36,  Model!$B$33-5.4*F1083/1000,   Model!$B$38)))</f>
        <v>-20</v>
      </c>
      <c r="K1083" s="13">
        <f t="shared" si="340"/>
        <v>253</v>
      </c>
      <c r="L1083" s="46">
        <f>IF(AB1082-AA1082*(B1083-B1082)&gt;0, L1082-Y1082*(B1083-B1082)*3600-AD1083*Model!$B$16, 0)</f>
        <v>0</v>
      </c>
      <c r="M1083" s="57">
        <f t="shared" si="323"/>
        <v>0</v>
      </c>
      <c r="N1083" s="57">
        <f>Model!$B$13*I1083*K1083/(Model!$B$13*I1083-L1083*287*K1083)</f>
        <v>253</v>
      </c>
      <c r="O1083" s="57">
        <f t="shared" si="324"/>
        <v>253</v>
      </c>
      <c r="P1083" s="57">
        <f t="shared" si="325"/>
        <v>-10</v>
      </c>
      <c r="Q1083" s="63">
        <f t="shared" si="341"/>
        <v>2.2579999999999999E-2</v>
      </c>
      <c r="R1083" s="17">
        <f t="shared" si="342"/>
        <v>1.152E-5</v>
      </c>
      <c r="S1083" s="46">
        <f>0.37*Model!$B$10*(Q1083^2*(N1083-K1083)*I1083/(R1083*O1083^2))^0.33333*(N1083-K1083)</f>
        <v>0</v>
      </c>
      <c r="T1083" s="51">
        <f>Model!$B$32+(90-Model!$B$6)*SIN(RADIANS(-15*(E1083+6)))</f>
        <v>-31.619472402513487</v>
      </c>
      <c r="U1083" s="46">
        <f t="shared" si="326"/>
        <v>0</v>
      </c>
      <c r="V1083" s="51">
        <f t="shared" si="327"/>
        <v>99999</v>
      </c>
      <c r="W1083" s="46">
        <f t="shared" si="328"/>
        <v>0</v>
      </c>
      <c r="X1083" s="46">
        <f>0.3*W1083*Model!$B$9</f>
        <v>0</v>
      </c>
      <c r="Y1083" s="17">
        <f>(S1083-X1083)/Model!$B$11</f>
        <v>0</v>
      </c>
      <c r="Z1083" s="46" t="e">
        <f t="shared" si="329"/>
        <v>#DIV/0!</v>
      </c>
      <c r="AA1083" s="57">
        <f>Y1083/Model!$B$12*3600</f>
        <v>0</v>
      </c>
      <c r="AB1083" s="51">
        <f t="shared" si="334"/>
        <v>0</v>
      </c>
      <c r="AC1083" s="51">
        <f t="shared" si="343"/>
        <v>1800</v>
      </c>
      <c r="AD1083" s="13">
        <f>IF(AE1083=0, Model!$B$19, 0 )</f>
        <v>0</v>
      </c>
      <c r="AE1083" s="51">
        <f>IF(AE1082+AB1082-AB1083&lt;Model!$B$19*Model!$B$18, AE1082+AB1082-AB1083,  0)</f>
        <v>443.63457370611354</v>
      </c>
      <c r="AF1083" s="13">
        <f t="shared" si="330"/>
        <v>1</v>
      </c>
      <c r="AG1083" s="50">
        <f t="shared" si="331"/>
        <v>0</v>
      </c>
    </row>
    <row r="1084" spans="2:33" x14ac:dyDescent="0.25">
      <c r="B1084" s="15">
        <f t="shared" si="332"/>
        <v>1</v>
      </c>
      <c r="C1084" s="15">
        <f>B1084+Model!$B$4</f>
        <v>3</v>
      </c>
      <c r="D1084" s="15">
        <f t="shared" si="333"/>
        <v>1</v>
      </c>
      <c r="E1084" s="15">
        <f t="shared" si="339"/>
        <v>3</v>
      </c>
      <c r="F1084" s="16">
        <f>IF(AB1084&gt;0, VLOOKUP(B1084,Model!$A$40:$B$60, 2), 0)</f>
        <v>0</v>
      </c>
      <c r="G1084" s="15">
        <f>IF(AB1084&gt;0, VLOOKUP(B1084,Model!$A$39:$C$58, 3), 0)</f>
        <v>0</v>
      </c>
      <c r="H1084" s="15">
        <f t="shared" si="322"/>
        <v>0</v>
      </c>
      <c r="I1084" s="45">
        <f>Model!$B$21*EXP((-0.029*9.81*F1084)/(8.31*(273+J1084)))</f>
        <v>104500</v>
      </c>
      <c r="J1084" s="15">
        <f>IF(Model!$B$31="Summer",  IF(F1084&lt;=2000,  Model!$B$20-Model!$B$35*F1084/1000,  IF(F1084&lt;Model!$B$36,  Model!$B$33-6.5*F1084/1000,  Model!$B$38)),     IF(F1084&lt;=2000,  Model!$B$20-Model!$B$35*F1084/1000,  IF(F1084&lt;Model!$B$36,  Model!$B$33-5.4*F1084/1000,   Model!$B$38)))</f>
        <v>-20</v>
      </c>
      <c r="K1084" s="15">
        <f t="shared" si="340"/>
        <v>253</v>
      </c>
      <c r="L1084" s="45">
        <f>IF(AB1083-AA1083*(B1084-B1083)&gt;0, L1083-Y1083*(B1084-B1083)*3600-AD1084*Model!$B$16, 0)</f>
        <v>0</v>
      </c>
      <c r="M1084" s="56">
        <f t="shared" si="323"/>
        <v>0</v>
      </c>
      <c r="N1084" s="56">
        <f>Model!$B$13*I1084*K1084/(Model!$B$13*I1084-L1084*287*K1084)</f>
        <v>253</v>
      </c>
      <c r="O1084" s="56">
        <f t="shared" si="324"/>
        <v>253</v>
      </c>
      <c r="P1084" s="56">
        <f t="shared" si="325"/>
        <v>-10</v>
      </c>
      <c r="Q1084" s="62">
        <f t="shared" si="341"/>
        <v>2.2579999999999999E-2</v>
      </c>
      <c r="R1084" s="33">
        <f t="shared" si="342"/>
        <v>1.152E-5</v>
      </c>
      <c r="S1084" s="45">
        <f>0.37*Model!$B$10*(Q1084^2*(N1084-K1084)*I1084/(R1084*O1084^2))^0.33333*(N1084-K1084)</f>
        <v>0</v>
      </c>
      <c r="T1084" s="50">
        <f>Model!$B$32+(90-Model!$B$6)*SIN(RADIANS(-15*(E1084+6)))</f>
        <v>-31.619472402513487</v>
      </c>
      <c r="U1084" s="45">
        <f t="shared" si="326"/>
        <v>0</v>
      </c>
      <c r="V1084" s="50">
        <f t="shared" si="327"/>
        <v>99999</v>
      </c>
      <c r="W1084" s="45">
        <f t="shared" si="328"/>
        <v>0</v>
      </c>
      <c r="X1084" s="45">
        <f>0.3*W1084*Model!$B$9</f>
        <v>0</v>
      </c>
      <c r="Y1084" s="33">
        <f>(S1084-X1084)/Model!$B$11</f>
        <v>0</v>
      </c>
      <c r="Z1084" s="45" t="e">
        <f t="shared" si="329"/>
        <v>#DIV/0!</v>
      </c>
      <c r="AA1084" s="56">
        <f>Y1084/Model!$B$12*3600</f>
        <v>0</v>
      </c>
      <c r="AB1084" s="50">
        <f t="shared" si="334"/>
        <v>0</v>
      </c>
      <c r="AC1084" s="50">
        <f t="shared" si="343"/>
        <v>1800</v>
      </c>
      <c r="AD1084" s="15">
        <f>IF(AE1084=0, Model!$B$19, 0 )</f>
        <v>0</v>
      </c>
      <c r="AE1084" s="50">
        <f>IF(AE1083+AB1083-AB1084&lt;Model!$B$19*Model!$B$18, AE1083+AB1083-AB1084,  0)</f>
        <v>443.63457370611354</v>
      </c>
      <c r="AF1084" s="15">
        <f t="shared" si="330"/>
        <v>1</v>
      </c>
      <c r="AG1084" s="50">
        <f t="shared" si="331"/>
        <v>0</v>
      </c>
    </row>
    <row r="1085" spans="2:33" x14ac:dyDescent="0.25">
      <c r="B1085" s="13">
        <f t="shared" si="332"/>
        <v>1</v>
      </c>
      <c r="C1085" s="13">
        <f>B1085+Model!$B$4</f>
        <v>3</v>
      </c>
      <c r="D1085" s="13">
        <f t="shared" si="333"/>
        <v>1</v>
      </c>
      <c r="E1085" s="13">
        <f t="shared" si="339"/>
        <v>3</v>
      </c>
      <c r="F1085" s="14">
        <f>IF(AB1085&gt;0, VLOOKUP(B1085,Model!$A$40:$B$60, 2), 0)</f>
        <v>0</v>
      </c>
      <c r="G1085" s="13">
        <f>IF(AB1085&gt;0, VLOOKUP(B1085,Model!$A$39:$C$58, 3), 0)</f>
        <v>0</v>
      </c>
      <c r="H1085" s="13">
        <f t="shared" si="322"/>
        <v>0</v>
      </c>
      <c r="I1085" s="46">
        <f>Model!$B$21*EXP((-0.029*9.81*F1085)/(8.31*(273+J1085)))</f>
        <v>104500</v>
      </c>
      <c r="J1085" s="13">
        <f>IF(Model!$B$31="Summer",  IF(F1085&lt;=2000,  Model!$B$20-Model!$B$35*F1085/1000,  IF(F1085&lt;Model!$B$36,  Model!$B$33-6.5*F1085/1000,  Model!$B$38)),     IF(F1085&lt;=2000,  Model!$B$20-Model!$B$35*F1085/1000,  IF(F1085&lt;Model!$B$36,  Model!$B$33-5.4*F1085/1000,   Model!$B$38)))</f>
        <v>-20</v>
      </c>
      <c r="K1085" s="13">
        <f t="shared" si="340"/>
        <v>253</v>
      </c>
      <c r="L1085" s="46">
        <f>IF(AB1084-AA1084*(B1085-B1084)&gt;0, L1084-Y1084*(B1085-B1084)*3600-AD1085*Model!$B$16, 0)</f>
        <v>0</v>
      </c>
      <c r="M1085" s="57">
        <f t="shared" si="323"/>
        <v>0</v>
      </c>
      <c r="N1085" s="57">
        <f>Model!$B$13*I1085*K1085/(Model!$B$13*I1085-L1085*287*K1085)</f>
        <v>253</v>
      </c>
      <c r="O1085" s="57">
        <f t="shared" si="324"/>
        <v>253</v>
      </c>
      <c r="P1085" s="57">
        <f t="shared" si="325"/>
        <v>-10</v>
      </c>
      <c r="Q1085" s="63">
        <f t="shared" si="341"/>
        <v>2.2579999999999999E-2</v>
      </c>
      <c r="R1085" s="17">
        <f t="shared" si="342"/>
        <v>1.152E-5</v>
      </c>
      <c r="S1085" s="46">
        <f>0.37*Model!$B$10*(Q1085^2*(N1085-K1085)*I1085/(R1085*O1085^2))^0.33333*(N1085-K1085)</f>
        <v>0</v>
      </c>
      <c r="T1085" s="51">
        <f>Model!$B$32+(90-Model!$B$6)*SIN(RADIANS(-15*(E1085+6)))</f>
        <v>-31.619472402513487</v>
      </c>
      <c r="U1085" s="46">
        <f t="shared" si="326"/>
        <v>0</v>
      </c>
      <c r="V1085" s="51">
        <f t="shared" si="327"/>
        <v>99999</v>
      </c>
      <c r="W1085" s="46">
        <f t="shared" si="328"/>
        <v>0</v>
      </c>
      <c r="X1085" s="46">
        <f>0.3*W1085*Model!$B$9</f>
        <v>0</v>
      </c>
      <c r="Y1085" s="17">
        <f>(S1085-X1085)/Model!$B$11</f>
        <v>0</v>
      </c>
      <c r="Z1085" s="46" t="e">
        <f t="shared" si="329"/>
        <v>#DIV/0!</v>
      </c>
      <c r="AA1085" s="57">
        <f>Y1085/Model!$B$12*3600</f>
        <v>0</v>
      </c>
      <c r="AB1085" s="51">
        <f t="shared" si="334"/>
        <v>0</v>
      </c>
      <c r="AC1085" s="51">
        <f t="shared" si="343"/>
        <v>1800</v>
      </c>
      <c r="AD1085" s="13">
        <f>IF(AE1085=0, Model!$B$19, 0 )</f>
        <v>0</v>
      </c>
      <c r="AE1085" s="51">
        <f>IF(AE1084+AB1084-AB1085&lt;Model!$B$19*Model!$B$18, AE1084+AB1084-AB1085,  0)</f>
        <v>443.63457370611354</v>
      </c>
      <c r="AF1085" s="13">
        <f t="shared" si="330"/>
        <v>1</v>
      </c>
      <c r="AG1085" s="50">
        <f t="shared" si="331"/>
        <v>0</v>
      </c>
    </row>
    <row r="1086" spans="2:33" x14ac:dyDescent="0.25">
      <c r="B1086" s="15">
        <f t="shared" si="332"/>
        <v>1</v>
      </c>
      <c r="C1086" s="15">
        <f>B1086+Model!$B$4</f>
        <v>3</v>
      </c>
      <c r="D1086" s="15">
        <f t="shared" si="333"/>
        <v>1</v>
      </c>
      <c r="E1086" s="15">
        <f t="shared" si="339"/>
        <v>3</v>
      </c>
      <c r="F1086" s="16">
        <f>IF(AB1086&gt;0, VLOOKUP(B1086,Model!$A$40:$B$60, 2), 0)</f>
        <v>0</v>
      </c>
      <c r="G1086" s="15">
        <f>IF(AB1086&gt;0, VLOOKUP(B1086,Model!$A$39:$C$58, 3), 0)</f>
        <v>0</v>
      </c>
      <c r="H1086" s="15">
        <f t="shared" si="322"/>
        <v>0</v>
      </c>
      <c r="I1086" s="45">
        <f>Model!$B$21*EXP((-0.029*9.81*F1086)/(8.31*(273+J1086)))</f>
        <v>104500</v>
      </c>
      <c r="J1086" s="15">
        <f>IF(Model!$B$31="Summer",  IF(F1086&lt;=2000,  Model!$B$20-Model!$B$35*F1086/1000,  IF(F1086&lt;Model!$B$36,  Model!$B$33-6.5*F1086/1000,  Model!$B$38)),     IF(F1086&lt;=2000,  Model!$B$20-Model!$B$35*F1086/1000,  IF(F1086&lt;Model!$B$36,  Model!$B$33-5.4*F1086/1000,   Model!$B$38)))</f>
        <v>-20</v>
      </c>
      <c r="K1086" s="15">
        <f t="shared" si="340"/>
        <v>253</v>
      </c>
      <c r="L1086" s="45">
        <f>IF(AB1085-AA1085*(B1086-B1085)&gt;0, L1085-Y1085*(B1086-B1085)*3600-AD1086*Model!$B$16, 0)</f>
        <v>0</v>
      </c>
      <c r="M1086" s="56">
        <f t="shared" si="323"/>
        <v>0</v>
      </c>
      <c r="N1086" s="56">
        <f>Model!$B$13*I1086*K1086/(Model!$B$13*I1086-L1086*287*K1086)</f>
        <v>253</v>
      </c>
      <c r="O1086" s="56">
        <f t="shared" si="324"/>
        <v>253</v>
      </c>
      <c r="P1086" s="56">
        <f t="shared" si="325"/>
        <v>-10</v>
      </c>
      <c r="Q1086" s="62">
        <f t="shared" si="341"/>
        <v>2.2579999999999999E-2</v>
      </c>
      <c r="R1086" s="33">
        <f t="shared" si="342"/>
        <v>1.152E-5</v>
      </c>
      <c r="S1086" s="45">
        <f>0.37*Model!$B$10*(Q1086^2*(N1086-K1086)*I1086/(R1086*O1086^2))^0.33333*(N1086-K1086)</f>
        <v>0</v>
      </c>
      <c r="T1086" s="50">
        <f>Model!$B$32+(90-Model!$B$6)*SIN(RADIANS(-15*(E1086+6)))</f>
        <v>-31.619472402513487</v>
      </c>
      <c r="U1086" s="45">
        <f t="shared" si="326"/>
        <v>0</v>
      </c>
      <c r="V1086" s="50">
        <f t="shared" si="327"/>
        <v>99999</v>
      </c>
      <c r="W1086" s="45">
        <f t="shared" si="328"/>
        <v>0</v>
      </c>
      <c r="X1086" s="45">
        <f>0.3*W1086*Model!$B$9</f>
        <v>0</v>
      </c>
      <c r="Y1086" s="33">
        <f>(S1086-X1086)/Model!$B$11</f>
        <v>0</v>
      </c>
      <c r="Z1086" s="45" t="e">
        <f t="shared" si="329"/>
        <v>#DIV/0!</v>
      </c>
      <c r="AA1086" s="56">
        <f>Y1086/Model!$B$12*3600</f>
        <v>0</v>
      </c>
      <c r="AB1086" s="50">
        <f t="shared" si="334"/>
        <v>0</v>
      </c>
      <c r="AC1086" s="50">
        <f t="shared" si="343"/>
        <v>1800</v>
      </c>
      <c r="AD1086" s="15">
        <f>IF(AE1086=0, Model!$B$19, 0 )</f>
        <v>0</v>
      </c>
      <c r="AE1086" s="50">
        <f>IF(AE1085+AB1085-AB1086&lt;Model!$B$19*Model!$B$18, AE1085+AB1085-AB1086,  0)</f>
        <v>443.63457370611354</v>
      </c>
      <c r="AF1086" s="15">
        <f t="shared" si="330"/>
        <v>1</v>
      </c>
      <c r="AG1086" s="50">
        <f t="shared" si="331"/>
        <v>0</v>
      </c>
    </row>
    <row r="1087" spans="2:33" x14ac:dyDescent="0.25">
      <c r="B1087" s="13">
        <f t="shared" si="332"/>
        <v>1</v>
      </c>
      <c r="C1087" s="13">
        <f>B1087+Model!$B$4</f>
        <v>3</v>
      </c>
      <c r="D1087" s="13">
        <f t="shared" si="333"/>
        <v>1</v>
      </c>
      <c r="E1087" s="13">
        <f t="shared" si="339"/>
        <v>3</v>
      </c>
      <c r="F1087" s="14">
        <f>IF(AB1087&gt;0, VLOOKUP(B1087,Model!$A$40:$B$60, 2), 0)</f>
        <v>0</v>
      </c>
      <c r="G1087" s="13">
        <f>IF(AB1087&gt;0, VLOOKUP(B1087,Model!$A$39:$C$58, 3), 0)</f>
        <v>0</v>
      </c>
      <c r="H1087" s="13">
        <f t="shared" si="322"/>
        <v>0</v>
      </c>
      <c r="I1087" s="46">
        <f>Model!$B$21*EXP((-0.029*9.81*F1087)/(8.31*(273+J1087)))</f>
        <v>104500</v>
      </c>
      <c r="J1087" s="13">
        <f>IF(Model!$B$31="Summer",  IF(F1087&lt;=2000,  Model!$B$20-Model!$B$35*F1087/1000,  IF(F1087&lt;Model!$B$36,  Model!$B$33-6.5*F1087/1000,  Model!$B$38)),     IF(F1087&lt;=2000,  Model!$B$20-Model!$B$35*F1087/1000,  IF(F1087&lt;Model!$B$36,  Model!$B$33-5.4*F1087/1000,   Model!$B$38)))</f>
        <v>-20</v>
      </c>
      <c r="K1087" s="13">
        <f t="shared" si="340"/>
        <v>253</v>
      </c>
      <c r="L1087" s="46">
        <f>IF(AB1086-AA1086*(B1087-B1086)&gt;0, L1086-Y1086*(B1087-B1086)*3600-AD1087*Model!$B$16, 0)</f>
        <v>0</v>
      </c>
      <c r="M1087" s="57">
        <f t="shared" si="323"/>
        <v>0</v>
      </c>
      <c r="N1087" s="57">
        <f>Model!$B$13*I1087*K1087/(Model!$B$13*I1087-L1087*287*K1087)</f>
        <v>253</v>
      </c>
      <c r="O1087" s="57">
        <f t="shared" si="324"/>
        <v>253</v>
      </c>
      <c r="P1087" s="57">
        <f t="shared" si="325"/>
        <v>-10</v>
      </c>
      <c r="Q1087" s="63">
        <f t="shared" si="341"/>
        <v>2.2579999999999999E-2</v>
      </c>
      <c r="R1087" s="17">
        <f t="shared" si="342"/>
        <v>1.152E-5</v>
      </c>
      <c r="S1087" s="46">
        <f>0.37*Model!$B$10*(Q1087^2*(N1087-K1087)*I1087/(R1087*O1087^2))^0.33333*(N1087-K1087)</f>
        <v>0</v>
      </c>
      <c r="T1087" s="51">
        <f>Model!$B$32+(90-Model!$B$6)*SIN(RADIANS(-15*(E1087+6)))</f>
        <v>-31.619472402513487</v>
      </c>
      <c r="U1087" s="46">
        <f t="shared" si="326"/>
        <v>0</v>
      </c>
      <c r="V1087" s="51">
        <f t="shared" si="327"/>
        <v>99999</v>
      </c>
      <c r="W1087" s="46">
        <f t="shared" si="328"/>
        <v>0</v>
      </c>
      <c r="X1087" s="46">
        <f>0.3*W1087*Model!$B$9</f>
        <v>0</v>
      </c>
      <c r="Y1087" s="17">
        <f>(S1087-X1087)/Model!$B$11</f>
        <v>0</v>
      </c>
      <c r="Z1087" s="46" t="e">
        <f t="shared" si="329"/>
        <v>#DIV/0!</v>
      </c>
      <c r="AA1087" s="57">
        <f>Y1087/Model!$B$12*3600</f>
        <v>0</v>
      </c>
      <c r="AB1087" s="51">
        <f t="shared" si="334"/>
        <v>0</v>
      </c>
      <c r="AC1087" s="51">
        <f t="shared" si="343"/>
        <v>1800</v>
      </c>
      <c r="AD1087" s="13">
        <f>IF(AE1087=0, Model!$B$19, 0 )</f>
        <v>0</v>
      </c>
      <c r="AE1087" s="51">
        <f>IF(AE1086+AB1086-AB1087&lt;Model!$B$19*Model!$B$18, AE1086+AB1086-AB1087,  0)</f>
        <v>443.63457370611354</v>
      </c>
      <c r="AF1087" s="13">
        <f t="shared" si="330"/>
        <v>1</v>
      </c>
      <c r="AG1087" s="50">
        <f t="shared" si="331"/>
        <v>0</v>
      </c>
    </row>
    <row r="1088" spans="2:33" x14ac:dyDescent="0.25">
      <c r="B1088" s="15">
        <f t="shared" si="332"/>
        <v>1</v>
      </c>
      <c r="C1088" s="15">
        <f>B1088+Model!$B$4</f>
        <v>3</v>
      </c>
      <c r="D1088" s="15">
        <f t="shared" si="333"/>
        <v>1</v>
      </c>
      <c r="E1088" s="15">
        <f t="shared" si="339"/>
        <v>3</v>
      </c>
      <c r="F1088" s="16">
        <f>IF(AB1088&gt;0, VLOOKUP(B1088,Model!$A$40:$B$60, 2), 0)</f>
        <v>0</v>
      </c>
      <c r="G1088" s="15">
        <f>IF(AB1088&gt;0, VLOOKUP(B1088,Model!$A$39:$C$58, 3), 0)</f>
        <v>0</v>
      </c>
      <c r="H1088" s="15">
        <f t="shared" si="322"/>
        <v>0</v>
      </c>
      <c r="I1088" s="45">
        <f>Model!$B$21*EXP((-0.029*9.81*F1088)/(8.31*(273+J1088)))</f>
        <v>104500</v>
      </c>
      <c r="J1088" s="15">
        <f>IF(Model!$B$31="Summer",  IF(F1088&lt;=2000,  Model!$B$20-Model!$B$35*F1088/1000,  IF(F1088&lt;Model!$B$36,  Model!$B$33-6.5*F1088/1000,  Model!$B$38)),     IF(F1088&lt;=2000,  Model!$B$20-Model!$B$35*F1088/1000,  IF(F1088&lt;Model!$B$36,  Model!$B$33-5.4*F1088/1000,   Model!$B$38)))</f>
        <v>-20</v>
      </c>
      <c r="K1088" s="15">
        <f t="shared" si="340"/>
        <v>253</v>
      </c>
      <c r="L1088" s="45">
        <f>IF(AB1087-AA1087*(B1088-B1087)&gt;0, L1087-Y1087*(B1088-B1087)*3600-AD1088*Model!$B$16, 0)</f>
        <v>0</v>
      </c>
      <c r="M1088" s="56">
        <f t="shared" si="323"/>
        <v>0</v>
      </c>
      <c r="N1088" s="56">
        <f>Model!$B$13*I1088*K1088/(Model!$B$13*I1088-L1088*287*K1088)</f>
        <v>253</v>
      </c>
      <c r="O1088" s="56">
        <f t="shared" si="324"/>
        <v>253</v>
      </c>
      <c r="P1088" s="56">
        <f t="shared" si="325"/>
        <v>-10</v>
      </c>
      <c r="Q1088" s="62">
        <f t="shared" si="341"/>
        <v>2.2579999999999999E-2</v>
      </c>
      <c r="R1088" s="33">
        <f t="shared" si="342"/>
        <v>1.152E-5</v>
      </c>
      <c r="S1088" s="45">
        <f>0.37*Model!$B$10*(Q1088^2*(N1088-K1088)*I1088/(R1088*O1088^2))^0.33333*(N1088-K1088)</f>
        <v>0</v>
      </c>
      <c r="T1088" s="50">
        <f>Model!$B$32+(90-Model!$B$6)*SIN(RADIANS(-15*(E1088+6)))</f>
        <v>-31.619472402513487</v>
      </c>
      <c r="U1088" s="45">
        <f t="shared" si="326"/>
        <v>0</v>
      </c>
      <c r="V1088" s="50">
        <f t="shared" si="327"/>
        <v>99999</v>
      </c>
      <c r="W1088" s="45">
        <f t="shared" si="328"/>
        <v>0</v>
      </c>
      <c r="X1088" s="45">
        <f>0.3*W1088*Model!$B$9</f>
        <v>0</v>
      </c>
      <c r="Y1088" s="33">
        <f>(S1088-X1088)/Model!$B$11</f>
        <v>0</v>
      </c>
      <c r="Z1088" s="45" t="e">
        <f t="shared" si="329"/>
        <v>#DIV/0!</v>
      </c>
      <c r="AA1088" s="56">
        <f>Y1088/Model!$B$12*3600</f>
        <v>0</v>
      </c>
      <c r="AB1088" s="50">
        <f t="shared" si="334"/>
        <v>0</v>
      </c>
      <c r="AC1088" s="50">
        <f t="shared" si="343"/>
        <v>1800</v>
      </c>
      <c r="AD1088" s="15">
        <f>IF(AE1088=0, Model!$B$19, 0 )</f>
        <v>0</v>
      </c>
      <c r="AE1088" s="50">
        <f>IF(AE1087+AB1087-AB1088&lt;Model!$B$19*Model!$B$18, AE1087+AB1087-AB1088,  0)</f>
        <v>443.63457370611354</v>
      </c>
      <c r="AF1088" s="15">
        <f t="shared" si="330"/>
        <v>1</v>
      </c>
      <c r="AG1088" s="50">
        <f t="shared" si="331"/>
        <v>0</v>
      </c>
    </row>
    <row r="1089" spans="2:33" x14ac:dyDescent="0.25">
      <c r="B1089" s="13">
        <f t="shared" si="332"/>
        <v>1</v>
      </c>
      <c r="C1089" s="13">
        <f>B1089+Model!$B$4</f>
        <v>3</v>
      </c>
      <c r="D1089" s="13">
        <f t="shared" si="333"/>
        <v>1</v>
      </c>
      <c r="E1089" s="13">
        <f t="shared" si="339"/>
        <v>3</v>
      </c>
      <c r="F1089" s="14">
        <f>IF(AB1089&gt;0, VLOOKUP(B1089,Model!$A$40:$B$60, 2), 0)</f>
        <v>0</v>
      </c>
      <c r="G1089" s="13">
        <f>IF(AB1089&gt;0, VLOOKUP(B1089,Model!$A$39:$C$58, 3), 0)</f>
        <v>0</v>
      </c>
      <c r="H1089" s="13">
        <f t="shared" si="322"/>
        <v>0</v>
      </c>
      <c r="I1089" s="46">
        <f>Model!$B$21*EXP((-0.029*9.81*F1089)/(8.31*(273+J1089)))</f>
        <v>104500</v>
      </c>
      <c r="J1089" s="13">
        <f>IF(Model!$B$31="Summer",  IF(F1089&lt;=2000,  Model!$B$20-Model!$B$35*F1089/1000,  IF(F1089&lt;Model!$B$36,  Model!$B$33-6.5*F1089/1000,  Model!$B$38)),     IF(F1089&lt;=2000,  Model!$B$20-Model!$B$35*F1089/1000,  IF(F1089&lt;Model!$B$36,  Model!$B$33-5.4*F1089/1000,   Model!$B$38)))</f>
        <v>-20</v>
      </c>
      <c r="K1089" s="13">
        <f t="shared" si="340"/>
        <v>253</v>
      </c>
      <c r="L1089" s="46">
        <f>IF(AB1088-AA1088*(B1089-B1088)&gt;0, L1088-Y1088*(B1089-B1088)*3600-AD1089*Model!$B$16, 0)</f>
        <v>0</v>
      </c>
      <c r="M1089" s="57">
        <f t="shared" si="323"/>
        <v>0</v>
      </c>
      <c r="N1089" s="57">
        <f>Model!$B$13*I1089*K1089/(Model!$B$13*I1089-L1089*287*K1089)</f>
        <v>253</v>
      </c>
      <c r="O1089" s="57">
        <f t="shared" si="324"/>
        <v>253</v>
      </c>
      <c r="P1089" s="57">
        <f t="shared" si="325"/>
        <v>-10</v>
      </c>
      <c r="Q1089" s="63">
        <f t="shared" si="341"/>
        <v>2.2579999999999999E-2</v>
      </c>
      <c r="R1089" s="17">
        <f t="shared" si="342"/>
        <v>1.152E-5</v>
      </c>
      <c r="S1089" s="46">
        <f>0.37*Model!$B$10*(Q1089^2*(N1089-K1089)*I1089/(R1089*O1089^2))^0.33333*(N1089-K1089)</f>
        <v>0</v>
      </c>
      <c r="T1089" s="51">
        <f>Model!$B$32+(90-Model!$B$6)*SIN(RADIANS(-15*(E1089+6)))</f>
        <v>-31.619472402513487</v>
      </c>
      <c r="U1089" s="46">
        <f t="shared" si="326"/>
        <v>0</v>
      </c>
      <c r="V1089" s="51">
        <f t="shared" si="327"/>
        <v>99999</v>
      </c>
      <c r="W1089" s="46">
        <f t="shared" si="328"/>
        <v>0</v>
      </c>
      <c r="X1089" s="46">
        <f>0.3*W1089*Model!$B$9</f>
        <v>0</v>
      </c>
      <c r="Y1089" s="17">
        <f>(S1089-X1089)/Model!$B$11</f>
        <v>0</v>
      </c>
      <c r="Z1089" s="46" t="e">
        <f t="shared" si="329"/>
        <v>#DIV/0!</v>
      </c>
      <c r="AA1089" s="57">
        <f>Y1089/Model!$B$12*3600</f>
        <v>0</v>
      </c>
      <c r="AB1089" s="51">
        <f t="shared" si="334"/>
        <v>0</v>
      </c>
      <c r="AC1089" s="51">
        <f t="shared" si="343"/>
        <v>1800</v>
      </c>
      <c r="AD1089" s="13">
        <f>IF(AE1089=0, Model!$B$19, 0 )</f>
        <v>0</v>
      </c>
      <c r="AE1089" s="51">
        <f>IF(AE1088+AB1088-AB1089&lt;Model!$B$19*Model!$B$18, AE1088+AB1088-AB1089,  0)</f>
        <v>443.63457370611354</v>
      </c>
      <c r="AF1089" s="13">
        <f t="shared" si="330"/>
        <v>1</v>
      </c>
      <c r="AG1089" s="50">
        <f t="shared" si="331"/>
        <v>0</v>
      </c>
    </row>
    <row r="1090" spans="2:33" x14ac:dyDescent="0.25">
      <c r="B1090" s="15">
        <f t="shared" si="332"/>
        <v>1</v>
      </c>
      <c r="C1090" s="15">
        <f>B1090+Model!$B$4</f>
        <v>3</v>
      </c>
      <c r="D1090" s="15">
        <f t="shared" si="333"/>
        <v>1</v>
      </c>
      <c r="E1090" s="15">
        <f t="shared" si="339"/>
        <v>3</v>
      </c>
      <c r="F1090" s="16">
        <f>IF(AB1090&gt;0, VLOOKUP(B1090,Model!$A$40:$B$60, 2), 0)</f>
        <v>0</v>
      </c>
      <c r="G1090" s="15">
        <f>IF(AB1090&gt;0, VLOOKUP(B1090,Model!$A$39:$C$58, 3), 0)</f>
        <v>0</v>
      </c>
      <c r="H1090" s="15">
        <f t="shared" ref="H1090:H1153" si="344">IF(B1090=1, 0, G1090*97)</f>
        <v>0</v>
      </c>
      <c r="I1090" s="45">
        <f>Model!$B$21*EXP((-0.029*9.81*F1090)/(8.31*(273+J1090)))</f>
        <v>104500</v>
      </c>
      <c r="J1090" s="15">
        <f>IF(Model!$B$31="Summer",  IF(F1090&lt;=2000,  Model!$B$20-Model!$B$35*F1090/1000,  IF(F1090&lt;Model!$B$36,  Model!$B$33-6.5*F1090/1000,  Model!$B$38)),     IF(F1090&lt;=2000,  Model!$B$20-Model!$B$35*F1090/1000,  IF(F1090&lt;Model!$B$36,  Model!$B$33-5.4*F1090/1000,   Model!$B$38)))</f>
        <v>-20</v>
      </c>
      <c r="K1090" s="15">
        <f t="shared" ref="K1090:K1095" si="345">273+J1090</f>
        <v>253</v>
      </c>
      <c r="L1090" s="45">
        <f>IF(AB1089-AA1089*(B1090-B1089)&gt;0, L1089-Y1089*(B1090-B1089)*3600-AD1090*Model!$B$16, 0)</f>
        <v>0</v>
      </c>
      <c r="M1090" s="56">
        <f t="shared" ref="M1090:M1153" si="346">IF(AB1090=0, 0, N1090-273)</f>
        <v>0</v>
      </c>
      <c r="N1090" s="56">
        <f>Model!$B$13*I1090*K1090/(Model!$B$13*I1090-L1090*287*K1090)</f>
        <v>253</v>
      </c>
      <c r="O1090" s="56">
        <f t="shared" ref="O1090:O1153" si="347">(K1090+N1090)/2</f>
        <v>253</v>
      </c>
      <c r="P1090" s="56">
        <f t="shared" ref="P1090:P1153" si="348">(J1090+M1090)/2+W1089/150</f>
        <v>-10</v>
      </c>
      <c r="Q1090" s="62">
        <f t="shared" ref="Q1090:Q1095" si="349">(O1090-273)*7.1*0.00001+0.024</f>
        <v>2.2579999999999999E-2</v>
      </c>
      <c r="R1090" s="33">
        <f t="shared" ref="R1090:R1095" si="350">((O1090-273)*0.104+13.6)*0.000001</f>
        <v>1.152E-5</v>
      </c>
      <c r="S1090" s="45">
        <f>0.37*Model!$B$10*(Q1090^2*(N1090-K1090)*I1090/(R1090*O1090^2))^0.33333*(N1090-K1090)</f>
        <v>0</v>
      </c>
      <c r="T1090" s="50">
        <f>Model!$B$32+(90-Model!$B$6)*SIN(RADIANS(-15*(E1090+6)))</f>
        <v>-31.619472402513487</v>
      </c>
      <c r="U1090" s="45">
        <f t="shared" ref="U1090:U1153" si="351">IF(OR(T1090&lt;0, AB1090=0),  0, T1090)</f>
        <v>0</v>
      </c>
      <c r="V1090" s="50">
        <f t="shared" ref="V1090:V1153" si="352">IF(T1090&lt;0,99999,1/SIN(RADIANS(T1090)))</f>
        <v>99999</v>
      </c>
      <c r="W1090" s="45">
        <f t="shared" ref="W1090:W1153" si="353">IF(G1090=0,0, 1353*((1+F1090/7100)*0.7^V1090^0.678)+F1090/7100)</f>
        <v>0</v>
      </c>
      <c r="X1090" s="45">
        <f>0.3*W1090*Model!$B$9</f>
        <v>0</v>
      </c>
      <c r="Y1090" s="33">
        <f>(S1090-X1090)/Model!$B$11</f>
        <v>0</v>
      </c>
      <c r="Z1090" s="45" t="e">
        <f t="shared" ref="Z1090:Z1153" si="354">100*X1090/S1090</f>
        <v>#DIV/0!</v>
      </c>
      <c r="AA1090" s="56">
        <f>Y1090/Model!$B$12*3600</f>
        <v>0</v>
      </c>
      <c r="AB1090" s="50">
        <f t="shared" si="334"/>
        <v>0</v>
      </c>
      <c r="AC1090" s="50">
        <f t="shared" ref="AC1090:AC1095" si="355">AC1089+AB1089-AB1090</f>
        <v>1800</v>
      </c>
      <c r="AD1090" s="15">
        <f>IF(AE1090=0, Model!$B$19, 0 )</f>
        <v>0</v>
      </c>
      <c r="AE1090" s="50">
        <f>IF(AE1089+AB1089-AB1090&lt;Model!$B$19*Model!$B$18, AE1089+AB1089-AB1090,  0)</f>
        <v>443.63457370611354</v>
      </c>
      <c r="AF1090" s="15">
        <f t="shared" ref="AF1090:AF1153" si="356">B1090</f>
        <v>1</v>
      </c>
      <c r="AG1090" s="50">
        <f t="shared" ref="AG1090:AG1153" si="357">IF(OR(P1090&gt;0, AB1090&lt;=0),0, IF(P1090&lt;-2,0.99,ABS(P1090/2)))</f>
        <v>0</v>
      </c>
    </row>
    <row r="1091" spans="2:33" x14ac:dyDescent="0.25">
      <c r="B1091" s="13">
        <f t="shared" ref="B1091:B1154" si="358">IF(AB1090&gt;0, B1090+0.05, 1)</f>
        <v>1</v>
      </c>
      <c r="C1091" s="13">
        <f>B1091+Model!$B$4</f>
        <v>3</v>
      </c>
      <c r="D1091" s="13">
        <f t="shared" ref="D1091:D1154" si="359">INT(C1091/24+1)</f>
        <v>1</v>
      </c>
      <c r="E1091" s="13">
        <f t="shared" si="339"/>
        <v>3</v>
      </c>
      <c r="F1091" s="14">
        <f>IF(AB1091&gt;0, VLOOKUP(B1091,Model!$A$40:$B$60, 2), 0)</f>
        <v>0</v>
      </c>
      <c r="G1091" s="13">
        <f>IF(AB1091&gt;0, VLOOKUP(B1091,Model!$A$39:$C$58, 3), 0)</f>
        <v>0</v>
      </c>
      <c r="H1091" s="13">
        <f t="shared" si="344"/>
        <v>0</v>
      </c>
      <c r="I1091" s="46">
        <f>Model!$B$21*EXP((-0.029*9.81*F1091)/(8.31*(273+J1091)))</f>
        <v>104500</v>
      </c>
      <c r="J1091" s="13">
        <f>IF(Model!$B$31="Summer",  IF(F1091&lt;=2000,  Model!$B$20-Model!$B$35*F1091/1000,  IF(F1091&lt;Model!$B$36,  Model!$B$33-6.5*F1091/1000,  Model!$B$38)),     IF(F1091&lt;=2000,  Model!$B$20-Model!$B$35*F1091/1000,  IF(F1091&lt;Model!$B$36,  Model!$B$33-5.4*F1091/1000,   Model!$B$38)))</f>
        <v>-20</v>
      </c>
      <c r="K1091" s="13">
        <f t="shared" si="345"/>
        <v>253</v>
      </c>
      <c r="L1091" s="46">
        <f>IF(AB1090-AA1090*(B1091-B1090)&gt;0, L1090-Y1090*(B1091-B1090)*3600-AD1091*Model!$B$16, 0)</f>
        <v>0</v>
      </c>
      <c r="M1091" s="57">
        <f t="shared" si="346"/>
        <v>0</v>
      </c>
      <c r="N1091" s="57">
        <f>Model!$B$13*I1091*K1091/(Model!$B$13*I1091-L1091*287*K1091)</f>
        <v>253</v>
      </c>
      <c r="O1091" s="57">
        <f t="shared" si="347"/>
        <v>253</v>
      </c>
      <c r="P1091" s="57">
        <f t="shared" si="348"/>
        <v>-10</v>
      </c>
      <c r="Q1091" s="63">
        <f t="shared" si="349"/>
        <v>2.2579999999999999E-2</v>
      </c>
      <c r="R1091" s="17">
        <f t="shared" si="350"/>
        <v>1.152E-5</v>
      </c>
      <c r="S1091" s="46">
        <f>0.37*Model!$B$10*(Q1091^2*(N1091-K1091)*I1091/(R1091*O1091^2))^0.33333*(N1091-K1091)</f>
        <v>0</v>
      </c>
      <c r="T1091" s="51">
        <f>Model!$B$32+(90-Model!$B$6)*SIN(RADIANS(-15*(E1091+6)))</f>
        <v>-31.619472402513487</v>
      </c>
      <c r="U1091" s="46">
        <f t="shared" si="351"/>
        <v>0</v>
      </c>
      <c r="V1091" s="51">
        <f t="shared" si="352"/>
        <v>99999</v>
      </c>
      <c r="W1091" s="46">
        <f t="shared" si="353"/>
        <v>0</v>
      </c>
      <c r="X1091" s="46">
        <f>0.3*W1091*Model!$B$9</f>
        <v>0</v>
      </c>
      <c r="Y1091" s="17">
        <f>(S1091-X1091)/Model!$B$11</f>
        <v>0</v>
      </c>
      <c r="Z1091" s="46" t="e">
        <f t="shared" si="354"/>
        <v>#DIV/0!</v>
      </c>
      <c r="AA1091" s="57">
        <f>Y1091/Model!$B$12*3600</f>
        <v>0</v>
      </c>
      <c r="AB1091" s="51">
        <f t="shared" ref="AB1091:AB1154" si="360">IF(AB1090-AA1090*(B1091-B1090)&gt;0, AB1090-AA1090*(B1091-B1090), 0)</f>
        <v>0</v>
      </c>
      <c r="AC1091" s="51">
        <f t="shared" si="355"/>
        <v>1800</v>
      </c>
      <c r="AD1091" s="13">
        <f>IF(AE1091=0, Model!$B$19, 0 )</f>
        <v>0</v>
      </c>
      <c r="AE1091" s="51">
        <f>IF(AE1090+AB1090-AB1091&lt;Model!$B$19*Model!$B$18, AE1090+AB1090-AB1091,  0)</f>
        <v>443.63457370611354</v>
      </c>
      <c r="AF1091" s="13">
        <f t="shared" si="356"/>
        <v>1</v>
      </c>
      <c r="AG1091" s="50">
        <f t="shared" si="357"/>
        <v>0</v>
      </c>
    </row>
    <row r="1092" spans="2:33" x14ac:dyDescent="0.25">
      <c r="B1092" s="15">
        <f t="shared" si="358"/>
        <v>1</v>
      </c>
      <c r="C1092" s="15">
        <f>B1092+Model!$B$4</f>
        <v>3</v>
      </c>
      <c r="D1092" s="15">
        <f t="shared" si="359"/>
        <v>1</v>
      </c>
      <c r="E1092" s="15">
        <f t="shared" si="339"/>
        <v>3</v>
      </c>
      <c r="F1092" s="16">
        <f>IF(AB1092&gt;0, VLOOKUP(B1092,Model!$A$40:$B$60, 2), 0)</f>
        <v>0</v>
      </c>
      <c r="G1092" s="15">
        <f>IF(AB1092&gt;0, VLOOKUP(B1092,Model!$A$39:$C$58, 3), 0)</f>
        <v>0</v>
      </c>
      <c r="H1092" s="15">
        <f t="shared" si="344"/>
        <v>0</v>
      </c>
      <c r="I1092" s="45">
        <f>Model!$B$21*EXP((-0.029*9.81*F1092)/(8.31*(273+J1092)))</f>
        <v>104500</v>
      </c>
      <c r="J1092" s="15">
        <f>IF(Model!$B$31="Summer",  IF(F1092&lt;=2000,  Model!$B$20-Model!$B$35*F1092/1000,  IF(F1092&lt;Model!$B$36,  Model!$B$33-6.5*F1092/1000,  Model!$B$38)),     IF(F1092&lt;=2000,  Model!$B$20-Model!$B$35*F1092/1000,  IF(F1092&lt;Model!$B$36,  Model!$B$33-5.4*F1092/1000,   Model!$B$38)))</f>
        <v>-20</v>
      </c>
      <c r="K1092" s="15">
        <f t="shared" si="345"/>
        <v>253</v>
      </c>
      <c r="L1092" s="45">
        <f>IF(AB1091-AA1091*(B1092-B1091)&gt;0, L1091-Y1091*(B1092-B1091)*3600-AD1092*Model!$B$16, 0)</f>
        <v>0</v>
      </c>
      <c r="M1092" s="56">
        <f t="shared" si="346"/>
        <v>0</v>
      </c>
      <c r="N1092" s="56">
        <f>Model!$B$13*I1092*K1092/(Model!$B$13*I1092-L1092*287*K1092)</f>
        <v>253</v>
      </c>
      <c r="O1092" s="56">
        <f t="shared" si="347"/>
        <v>253</v>
      </c>
      <c r="P1092" s="56">
        <f t="shared" si="348"/>
        <v>-10</v>
      </c>
      <c r="Q1092" s="62">
        <f t="shared" si="349"/>
        <v>2.2579999999999999E-2</v>
      </c>
      <c r="R1092" s="33">
        <f t="shared" si="350"/>
        <v>1.152E-5</v>
      </c>
      <c r="S1092" s="45">
        <f>0.37*Model!$B$10*(Q1092^2*(N1092-K1092)*I1092/(R1092*O1092^2))^0.33333*(N1092-K1092)</f>
        <v>0</v>
      </c>
      <c r="T1092" s="50">
        <f>Model!$B$32+(90-Model!$B$6)*SIN(RADIANS(-15*(E1092+6)))</f>
        <v>-31.619472402513487</v>
      </c>
      <c r="U1092" s="45">
        <f t="shared" si="351"/>
        <v>0</v>
      </c>
      <c r="V1092" s="50">
        <f t="shared" si="352"/>
        <v>99999</v>
      </c>
      <c r="W1092" s="45">
        <f t="shared" si="353"/>
        <v>0</v>
      </c>
      <c r="X1092" s="45">
        <f>0.3*W1092*Model!$B$9</f>
        <v>0</v>
      </c>
      <c r="Y1092" s="33">
        <f>(S1092-X1092)/Model!$B$11</f>
        <v>0</v>
      </c>
      <c r="Z1092" s="45" t="e">
        <f t="shared" si="354"/>
        <v>#DIV/0!</v>
      </c>
      <c r="AA1092" s="56">
        <f>Y1092/Model!$B$12*3600</f>
        <v>0</v>
      </c>
      <c r="AB1092" s="50">
        <f t="shared" si="360"/>
        <v>0</v>
      </c>
      <c r="AC1092" s="50">
        <f t="shared" si="355"/>
        <v>1800</v>
      </c>
      <c r="AD1092" s="15">
        <f>IF(AE1092=0, Model!$B$19, 0 )</f>
        <v>0</v>
      </c>
      <c r="AE1092" s="50">
        <f>IF(AE1091+AB1091-AB1092&lt;Model!$B$19*Model!$B$18, AE1091+AB1091-AB1092,  0)</f>
        <v>443.63457370611354</v>
      </c>
      <c r="AF1092" s="15">
        <f t="shared" si="356"/>
        <v>1</v>
      </c>
      <c r="AG1092" s="50">
        <f t="shared" si="357"/>
        <v>0</v>
      </c>
    </row>
    <row r="1093" spans="2:33" x14ac:dyDescent="0.25">
      <c r="B1093" s="13">
        <f t="shared" si="358"/>
        <v>1</v>
      </c>
      <c r="C1093" s="13">
        <f>B1093+Model!$B$4</f>
        <v>3</v>
      </c>
      <c r="D1093" s="13">
        <f t="shared" si="359"/>
        <v>1</v>
      </c>
      <c r="E1093" s="13">
        <f t="shared" si="339"/>
        <v>3</v>
      </c>
      <c r="F1093" s="14">
        <f>IF(AB1093&gt;0, VLOOKUP(B1093,Model!$A$40:$B$60, 2), 0)</f>
        <v>0</v>
      </c>
      <c r="G1093" s="13">
        <f>IF(AB1093&gt;0, VLOOKUP(B1093,Model!$A$39:$C$58, 3), 0)</f>
        <v>0</v>
      </c>
      <c r="H1093" s="13">
        <f t="shared" si="344"/>
        <v>0</v>
      </c>
      <c r="I1093" s="46">
        <f>Model!$B$21*EXP((-0.029*9.81*F1093)/(8.31*(273+J1093)))</f>
        <v>104500</v>
      </c>
      <c r="J1093" s="13">
        <f>IF(Model!$B$31="Summer",  IF(F1093&lt;=2000,  Model!$B$20-Model!$B$35*F1093/1000,  IF(F1093&lt;Model!$B$36,  Model!$B$33-6.5*F1093/1000,  Model!$B$38)),     IF(F1093&lt;=2000,  Model!$B$20-Model!$B$35*F1093/1000,  IF(F1093&lt;Model!$B$36,  Model!$B$33-5.4*F1093/1000,   Model!$B$38)))</f>
        <v>-20</v>
      </c>
      <c r="K1093" s="13">
        <f t="shared" si="345"/>
        <v>253</v>
      </c>
      <c r="L1093" s="46">
        <f>IF(AB1092-AA1092*(B1093-B1092)&gt;0, L1092-Y1092*(B1093-B1092)*3600-AD1093*Model!$B$16, 0)</f>
        <v>0</v>
      </c>
      <c r="M1093" s="57">
        <f t="shared" si="346"/>
        <v>0</v>
      </c>
      <c r="N1093" s="57">
        <f>Model!$B$13*I1093*K1093/(Model!$B$13*I1093-L1093*287*K1093)</f>
        <v>253</v>
      </c>
      <c r="O1093" s="57">
        <f t="shared" si="347"/>
        <v>253</v>
      </c>
      <c r="P1093" s="57">
        <f t="shared" si="348"/>
        <v>-10</v>
      </c>
      <c r="Q1093" s="63">
        <f t="shared" si="349"/>
        <v>2.2579999999999999E-2</v>
      </c>
      <c r="R1093" s="17">
        <f t="shared" si="350"/>
        <v>1.152E-5</v>
      </c>
      <c r="S1093" s="46">
        <f>0.37*Model!$B$10*(Q1093^2*(N1093-K1093)*I1093/(R1093*O1093^2))^0.33333*(N1093-K1093)</f>
        <v>0</v>
      </c>
      <c r="T1093" s="51">
        <f>Model!$B$32+(90-Model!$B$6)*SIN(RADIANS(-15*(E1093+6)))</f>
        <v>-31.619472402513487</v>
      </c>
      <c r="U1093" s="46">
        <f t="shared" si="351"/>
        <v>0</v>
      </c>
      <c r="V1093" s="51">
        <f t="shared" si="352"/>
        <v>99999</v>
      </c>
      <c r="W1093" s="46">
        <f t="shared" si="353"/>
        <v>0</v>
      </c>
      <c r="X1093" s="46">
        <f>0.3*W1093*Model!$B$9</f>
        <v>0</v>
      </c>
      <c r="Y1093" s="17">
        <f>(S1093-X1093)/Model!$B$11</f>
        <v>0</v>
      </c>
      <c r="Z1093" s="46" t="e">
        <f t="shared" si="354"/>
        <v>#DIV/0!</v>
      </c>
      <c r="AA1093" s="57">
        <f>Y1093/Model!$B$12*3600</f>
        <v>0</v>
      </c>
      <c r="AB1093" s="51">
        <f t="shared" si="360"/>
        <v>0</v>
      </c>
      <c r="AC1093" s="51">
        <f t="shared" si="355"/>
        <v>1800</v>
      </c>
      <c r="AD1093" s="13">
        <f>IF(AE1093=0, Model!$B$19, 0 )</f>
        <v>0</v>
      </c>
      <c r="AE1093" s="51">
        <f>IF(AE1092+AB1092-AB1093&lt;Model!$B$19*Model!$B$18, AE1092+AB1092-AB1093,  0)</f>
        <v>443.63457370611354</v>
      </c>
      <c r="AF1093" s="13">
        <f t="shared" si="356"/>
        <v>1</v>
      </c>
      <c r="AG1093" s="50">
        <f t="shared" si="357"/>
        <v>0</v>
      </c>
    </row>
    <row r="1094" spans="2:33" x14ac:dyDescent="0.25">
      <c r="B1094" s="15">
        <f t="shared" si="358"/>
        <v>1</v>
      </c>
      <c r="C1094" s="15">
        <f>B1094+Model!$B$4</f>
        <v>3</v>
      </c>
      <c r="D1094" s="15">
        <f t="shared" si="359"/>
        <v>1</v>
      </c>
      <c r="E1094" s="15">
        <f t="shared" si="339"/>
        <v>3</v>
      </c>
      <c r="F1094" s="16">
        <f>IF(AB1094&gt;0, VLOOKUP(B1094,Model!$A$40:$B$60, 2), 0)</f>
        <v>0</v>
      </c>
      <c r="G1094" s="15">
        <f>IF(AB1094&gt;0, VLOOKUP(B1094,Model!$A$39:$C$58, 3), 0)</f>
        <v>0</v>
      </c>
      <c r="H1094" s="15">
        <f t="shared" si="344"/>
        <v>0</v>
      </c>
      <c r="I1094" s="45">
        <f>Model!$B$21*EXP((-0.029*9.81*F1094)/(8.31*(273+J1094)))</f>
        <v>104500</v>
      </c>
      <c r="J1094" s="15">
        <f>IF(Model!$B$31="Summer",  IF(F1094&lt;=2000,  Model!$B$20-Model!$B$35*F1094/1000,  IF(F1094&lt;Model!$B$36,  Model!$B$33-6.5*F1094/1000,  Model!$B$38)),     IF(F1094&lt;=2000,  Model!$B$20-Model!$B$35*F1094/1000,  IF(F1094&lt;Model!$B$36,  Model!$B$33-5.4*F1094/1000,   Model!$B$38)))</f>
        <v>-20</v>
      </c>
      <c r="K1094" s="15">
        <f t="shared" si="345"/>
        <v>253</v>
      </c>
      <c r="L1094" s="45">
        <f>IF(AB1093-AA1093*(B1094-B1093)&gt;0, L1093-Y1093*(B1094-B1093)*3600-AD1094*Model!$B$16, 0)</f>
        <v>0</v>
      </c>
      <c r="M1094" s="56">
        <f t="shared" si="346"/>
        <v>0</v>
      </c>
      <c r="N1094" s="56">
        <f>Model!$B$13*I1094*K1094/(Model!$B$13*I1094-L1094*287*K1094)</f>
        <v>253</v>
      </c>
      <c r="O1094" s="56">
        <f t="shared" si="347"/>
        <v>253</v>
      </c>
      <c r="P1094" s="56">
        <f t="shared" si="348"/>
        <v>-10</v>
      </c>
      <c r="Q1094" s="62">
        <f t="shared" si="349"/>
        <v>2.2579999999999999E-2</v>
      </c>
      <c r="R1094" s="33">
        <f t="shared" si="350"/>
        <v>1.152E-5</v>
      </c>
      <c r="S1094" s="45">
        <f>0.37*Model!$B$10*(Q1094^2*(N1094-K1094)*I1094/(R1094*O1094^2))^0.33333*(N1094-K1094)</f>
        <v>0</v>
      </c>
      <c r="T1094" s="50">
        <f>Model!$B$32+(90-Model!$B$6)*SIN(RADIANS(-15*(E1094+6)))</f>
        <v>-31.619472402513487</v>
      </c>
      <c r="U1094" s="45">
        <f t="shared" si="351"/>
        <v>0</v>
      </c>
      <c r="V1094" s="50">
        <f t="shared" si="352"/>
        <v>99999</v>
      </c>
      <c r="W1094" s="45">
        <f t="shared" si="353"/>
        <v>0</v>
      </c>
      <c r="X1094" s="45">
        <f>0.3*W1094*Model!$B$9</f>
        <v>0</v>
      </c>
      <c r="Y1094" s="33">
        <f>(S1094-X1094)/Model!$B$11</f>
        <v>0</v>
      </c>
      <c r="Z1094" s="45" t="e">
        <f t="shared" si="354"/>
        <v>#DIV/0!</v>
      </c>
      <c r="AA1094" s="56">
        <f>Y1094/Model!$B$12*3600</f>
        <v>0</v>
      </c>
      <c r="AB1094" s="50">
        <f t="shared" si="360"/>
        <v>0</v>
      </c>
      <c r="AC1094" s="50">
        <f t="shared" si="355"/>
        <v>1800</v>
      </c>
      <c r="AD1094" s="15">
        <f>IF(AE1094=0, Model!$B$19, 0 )</f>
        <v>0</v>
      </c>
      <c r="AE1094" s="50">
        <f>IF(AE1093+AB1093-AB1094&lt;Model!$B$19*Model!$B$18, AE1093+AB1093-AB1094,  0)</f>
        <v>443.63457370611354</v>
      </c>
      <c r="AF1094" s="15">
        <f t="shared" si="356"/>
        <v>1</v>
      </c>
      <c r="AG1094" s="50">
        <f t="shared" si="357"/>
        <v>0</v>
      </c>
    </row>
    <row r="1095" spans="2:33" x14ac:dyDescent="0.25">
      <c r="B1095" s="13">
        <f t="shared" si="358"/>
        <v>1</v>
      </c>
      <c r="C1095" s="13">
        <f>B1095+Model!$B$4</f>
        <v>3</v>
      </c>
      <c r="D1095" s="13">
        <f t="shared" si="359"/>
        <v>1</v>
      </c>
      <c r="E1095" s="13">
        <f t="shared" si="339"/>
        <v>3</v>
      </c>
      <c r="F1095" s="14">
        <f>IF(AB1095&gt;0, VLOOKUP(B1095,Model!$A$40:$B$60, 2), 0)</f>
        <v>0</v>
      </c>
      <c r="G1095" s="13">
        <f>IF(AB1095&gt;0, VLOOKUP(B1095,Model!$A$39:$C$58, 3), 0)</f>
        <v>0</v>
      </c>
      <c r="H1095" s="13">
        <f t="shared" si="344"/>
        <v>0</v>
      </c>
      <c r="I1095" s="46">
        <f>Model!$B$21*EXP((-0.029*9.81*F1095)/(8.31*(273+J1095)))</f>
        <v>104500</v>
      </c>
      <c r="J1095" s="13">
        <f>IF(Model!$B$31="Summer",  IF(F1095&lt;=2000,  Model!$B$20-Model!$B$35*F1095/1000,  IF(F1095&lt;Model!$B$36,  Model!$B$33-6.5*F1095/1000,  Model!$B$38)),     IF(F1095&lt;=2000,  Model!$B$20-Model!$B$35*F1095/1000,  IF(F1095&lt;Model!$B$36,  Model!$B$33-5.4*F1095/1000,   Model!$B$38)))</f>
        <v>-20</v>
      </c>
      <c r="K1095" s="13">
        <f t="shared" si="345"/>
        <v>253</v>
      </c>
      <c r="L1095" s="46">
        <f>IF(AB1094-AA1094*(B1095-B1094)&gt;0, L1094-Y1094*(B1095-B1094)*3600-AD1095*Model!$B$16, 0)</f>
        <v>0</v>
      </c>
      <c r="M1095" s="57">
        <f t="shared" si="346"/>
        <v>0</v>
      </c>
      <c r="N1095" s="57">
        <f>Model!$B$13*I1095*K1095/(Model!$B$13*I1095-L1095*287*K1095)</f>
        <v>253</v>
      </c>
      <c r="O1095" s="57">
        <f t="shared" si="347"/>
        <v>253</v>
      </c>
      <c r="P1095" s="57">
        <f t="shared" si="348"/>
        <v>-10</v>
      </c>
      <c r="Q1095" s="63">
        <f t="shared" si="349"/>
        <v>2.2579999999999999E-2</v>
      </c>
      <c r="R1095" s="17">
        <f t="shared" si="350"/>
        <v>1.152E-5</v>
      </c>
      <c r="S1095" s="46">
        <f>0.37*Model!$B$10*(Q1095^2*(N1095-K1095)*I1095/(R1095*O1095^2))^0.33333*(N1095-K1095)</f>
        <v>0</v>
      </c>
      <c r="T1095" s="51">
        <f>Model!$B$32+(90-Model!$B$6)*SIN(RADIANS(-15*(E1095+6)))</f>
        <v>-31.619472402513487</v>
      </c>
      <c r="U1095" s="46">
        <f t="shared" si="351"/>
        <v>0</v>
      </c>
      <c r="V1095" s="51">
        <f t="shared" si="352"/>
        <v>99999</v>
      </c>
      <c r="W1095" s="46">
        <f t="shared" si="353"/>
        <v>0</v>
      </c>
      <c r="X1095" s="46">
        <f>0.3*W1095*Model!$B$9</f>
        <v>0</v>
      </c>
      <c r="Y1095" s="17">
        <f>(S1095-X1095)/Model!$B$11</f>
        <v>0</v>
      </c>
      <c r="Z1095" s="46" t="e">
        <f t="shared" si="354"/>
        <v>#DIV/0!</v>
      </c>
      <c r="AA1095" s="57">
        <f>Y1095/Model!$B$12*3600</f>
        <v>0</v>
      </c>
      <c r="AB1095" s="51">
        <f t="shared" si="360"/>
        <v>0</v>
      </c>
      <c r="AC1095" s="51">
        <f t="shared" si="355"/>
        <v>1800</v>
      </c>
      <c r="AD1095" s="13">
        <f>IF(AE1095=0, Model!$B$19, 0 )</f>
        <v>0</v>
      </c>
      <c r="AE1095" s="51">
        <f>IF(AE1094+AB1094-AB1095&lt;Model!$B$19*Model!$B$18, AE1094+AB1094-AB1095,  0)</f>
        <v>443.63457370611354</v>
      </c>
      <c r="AF1095" s="13">
        <f t="shared" si="356"/>
        <v>1</v>
      </c>
      <c r="AG1095" s="50">
        <f t="shared" si="357"/>
        <v>0</v>
      </c>
    </row>
    <row r="1096" spans="2:33" x14ac:dyDescent="0.25">
      <c r="B1096" s="15">
        <f t="shared" si="358"/>
        <v>1</v>
      </c>
      <c r="C1096" s="15">
        <f>B1096+Model!$B$4</f>
        <v>3</v>
      </c>
      <c r="D1096" s="15">
        <f t="shared" si="359"/>
        <v>1</v>
      </c>
      <c r="E1096" s="15">
        <f t="shared" si="339"/>
        <v>3</v>
      </c>
      <c r="F1096" s="16">
        <f>IF(AB1096&gt;0, VLOOKUP(B1096,Model!$A$40:$B$60, 2), 0)</f>
        <v>0</v>
      </c>
      <c r="G1096" s="15">
        <f>IF(AB1096&gt;0, VLOOKUP(B1096,Model!$A$39:$C$58, 3), 0)</f>
        <v>0</v>
      </c>
      <c r="H1096" s="15">
        <f t="shared" si="344"/>
        <v>0</v>
      </c>
      <c r="I1096" s="45">
        <f>Model!$B$21*EXP((-0.029*9.81*F1096)/(8.31*(273+J1096)))</f>
        <v>104500</v>
      </c>
      <c r="J1096" s="15">
        <f>IF(Model!$B$31="Summer",  IF(F1096&lt;=2000,  Model!$B$20-Model!$B$35*F1096/1000,  IF(F1096&lt;Model!$B$36,  Model!$B$33-6.5*F1096/1000,  Model!$B$38)),     IF(F1096&lt;=2000,  Model!$B$20-Model!$B$35*F1096/1000,  IF(F1096&lt;Model!$B$36,  Model!$B$33-5.4*F1096/1000,   Model!$B$38)))</f>
        <v>-20</v>
      </c>
      <c r="K1096" s="15">
        <f t="shared" ref="K1096" si="361">273+J1096</f>
        <v>253</v>
      </c>
      <c r="L1096" s="45">
        <f>IF(AB1095-AA1095*(B1096-B1095)&gt;0, L1095-Y1095*(B1096-B1095)*3600-AD1096*Model!$B$16, 0)</f>
        <v>0</v>
      </c>
      <c r="M1096" s="56">
        <f t="shared" si="346"/>
        <v>0</v>
      </c>
      <c r="N1096" s="56">
        <f>Model!$B$13*I1096*K1096/(Model!$B$13*I1096-L1096*287*K1096)</f>
        <v>253</v>
      </c>
      <c r="O1096" s="56">
        <f t="shared" si="347"/>
        <v>253</v>
      </c>
      <c r="P1096" s="56">
        <f t="shared" si="348"/>
        <v>-10</v>
      </c>
      <c r="Q1096" s="62">
        <f t="shared" ref="Q1096" si="362">(O1096-273)*7.1*0.00001+0.024</f>
        <v>2.2579999999999999E-2</v>
      </c>
      <c r="R1096" s="33">
        <f t="shared" ref="R1096" si="363">((O1096-273)*0.104+13.6)*0.000001</f>
        <v>1.152E-5</v>
      </c>
      <c r="S1096" s="45">
        <f>0.37*Model!$B$10*(Q1096^2*(N1096-K1096)*I1096/(R1096*O1096^2))^0.33333*(N1096-K1096)</f>
        <v>0</v>
      </c>
      <c r="T1096" s="50">
        <f>Model!$B$32+(90-Model!$B$6)*SIN(RADIANS(-15*(E1096+6)))</f>
        <v>-31.619472402513487</v>
      </c>
      <c r="U1096" s="45">
        <f t="shared" si="351"/>
        <v>0</v>
      </c>
      <c r="V1096" s="50">
        <f t="shared" si="352"/>
        <v>99999</v>
      </c>
      <c r="W1096" s="45">
        <f t="shared" si="353"/>
        <v>0</v>
      </c>
      <c r="X1096" s="45">
        <f>0.3*W1096*Model!$B$9</f>
        <v>0</v>
      </c>
      <c r="Y1096" s="33">
        <f>(S1096-X1096)/Model!$B$11</f>
        <v>0</v>
      </c>
      <c r="Z1096" s="45" t="e">
        <f t="shared" si="354"/>
        <v>#DIV/0!</v>
      </c>
      <c r="AA1096" s="56">
        <f>Y1096/Model!$B$12*3600</f>
        <v>0</v>
      </c>
      <c r="AB1096" s="50">
        <f t="shared" si="360"/>
        <v>0</v>
      </c>
      <c r="AC1096" s="50">
        <f t="shared" ref="AC1096" si="364">AC1095+AB1095-AB1096</f>
        <v>1800</v>
      </c>
      <c r="AD1096" s="15">
        <f>IF(AE1096=0, Model!$B$19, 0 )</f>
        <v>0</v>
      </c>
      <c r="AE1096" s="50">
        <f>IF(AE1095+AB1095-AB1096&lt;Model!$B$19*Model!$B$18, AE1095+AB1095-AB1096,  0)</f>
        <v>443.63457370611354</v>
      </c>
      <c r="AF1096" s="15">
        <f t="shared" si="356"/>
        <v>1</v>
      </c>
      <c r="AG1096" s="50">
        <f t="shared" si="357"/>
        <v>0</v>
      </c>
    </row>
    <row r="1097" spans="2:33" x14ac:dyDescent="0.25">
      <c r="B1097" s="13">
        <f t="shared" si="358"/>
        <v>1</v>
      </c>
      <c r="C1097" s="13">
        <f>B1097+Model!$B$4</f>
        <v>3</v>
      </c>
      <c r="D1097" s="13">
        <f t="shared" si="359"/>
        <v>1</v>
      </c>
      <c r="E1097" s="13">
        <f t="shared" si="339"/>
        <v>3</v>
      </c>
      <c r="F1097" s="14">
        <f>IF(AB1097&gt;0, VLOOKUP(B1097,Model!$A$40:$B$60, 2), 0)</f>
        <v>0</v>
      </c>
      <c r="G1097" s="13">
        <f>IF(AB1097&gt;0, VLOOKUP(B1097,Model!$A$39:$C$58, 3), 0)</f>
        <v>0</v>
      </c>
      <c r="H1097" s="13">
        <f t="shared" si="344"/>
        <v>0</v>
      </c>
      <c r="I1097" s="46">
        <f>Model!$B$21*EXP((-0.029*9.81*F1097)/(8.31*(273+J1097)))</f>
        <v>104500</v>
      </c>
      <c r="J1097" s="13">
        <f>IF(Model!$B$31="Summer",  IF(F1097&lt;=2000,  Model!$B$20-Model!$B$35*F1097/1000,  IF(F1097&lt;Model!$B$36,  Model!$B$33-6.5*F1097/1000,  Model!$B$38)),     IF(F1097&lt;=2000,  Model!$B$20-Model!$B$35*F1097/1000,  IF(F1097&lt;Model!$B$36,  Model!$B$33-5.4*F1097/1000,   Model!$B$38)))</f>
        <v>-20</v>
      </c>
      <c r="K1097" s="13">
        <f t="shared" ref="K1097:K1100" si="365">273+J1097</f>
        <v>253</v>
      </c>
      <c r="L1097" s="46">
        <f>IF(AB1096-AA1096*(B1097-B1096)&gt;0, L1096-Y1096*(B1097-B1096)*3600-AD1097*Model!$B$16, 0)</f>
        <v>0</v>
      </c>
      <c r="M1097" s="57">
        <f t="shared" si="346"/>
        <v>0</v>
      </c>
      <c r="N1097" s="57">
        <f>Model!$B$13*I1097*K1097/(Model!$B$13*I1097-L1097*287*K1097)</f>
        <v>253</v>
      </c>
      <c r="O1097" s="57">
        <f t="shared" si="347"/>
        <v>253</v>
      </c>
      <c r="P1097" s="57">
        <f t="shared" si="348"/>
        <v>-10</v>
      </c>
      <c r="Q1097" s="63">
        <f t="shared" ref="Q1097:Q1100" si="366">(O1097-273)*7.1*0.00001+0.024</f>
        <v>2.2579999999999999E-2</v>
      </c>
      <c r="R1097" s="17">
        <f t="shared" ref="R1097:R1100" si="367">((O1097-273)*0.104+13.6)*0.000001</f>
        <v>1.152E-5</v>
      </c>
      <c r="S1097" s="46">
        <f>0.37*Model!$B$10*(Q1097^2*(N1097-K1097)*I1097/(R1097*O1097^2))^0.33333*(N1097-K1097)</f>
        <v>0</v>
      </c>
      <c r="T1097" s="51">
        <f>Model!$B$32+(90-Model!$B$6)*SIN(RADIANS(-15*(E1097+6)))</f>
        <v>-31.619472402513487</v>
      </c>
      <c r="U1097" s="46">
        <f t="shared" si="351"/>
        <v>0</v>
      </c>
      <c r="V1097" s="51">
        <f t="shared" si="352"/>
        <v>99999</v>
      </c>
      <c r="W1097" s="46">
        <f t="shared" si="353"/>
        <v>0</v>
      </c>
      <c r="X1097" s="46">
        <f>0.3*W1097*Model!$B$9</f>
        <v>0</v>
      </c>
      <c r="Y1097" s="17">
        <f>(S1097-X1097)/Model!$B$11</f>
        <v>0</v>
      </c>
      <c r="Z1097" s="46" t="e">
        <f t="shared" si="354"/>
        <v>#DIV/0!</v>
      </c>
      <c r="AA1097" s="57">
        <f>Y1097/Model!$B$12*3600</f>
        <v>0</v>
      </c>
      <c r="AB1097" s="51">
        <f t="shared" si="360"/>
        <v>0</v>
      </c>
      <c r="AC1097" s="51">
        <f t="shared" ref="AC1097:AC1100" si="368">AC1096+AB1096-AB1097</f>
        <v>1800</v>
      </c>
      <c r="AD1097" s="13">
        <f>IF(AE1097=0, Model!$B$19, 0 )</f>
        <v>0</v>
      </c>
      <c r="AE1097" s="51">
        <f>IF(AE1096+AB1096-AB1097&lt;Model!$B$19*Model!$B$18, AE1096+AB1096-AB1097,  0)</f>
        <v>443.63457370611354</v>
      </c>
      <c r="AF1097" s="13">
        <f t="shared" si="356"/>
        <v>1</v>
      </c>
      <c r="AG1097" s="50">
        <f t="shared" si="357"/>
        <v>0</v>
      </c>
    </row>
    <row r="1098" spans="2:33" x14ac:dyDescent="0.25">
      <c r="B1098" s="15">
        <f t="shared" si="358"/>
        <v>1</v>
      </c>
      <c r="C1098" s="15">
        <f>B1098+Model!$B$4</f>
        <v>3</v>
      </c>
      <c r="D1098" s="15">
        <f t="shared" si="359"/>
        <v>1</v>
      </c>
      <c r="E1098" s="15">
        <f t="shared" si="339"/>
        <v>3</v>
      </c>
      <c r="F1098" s="16">
        <f>IF(AB1098&gt;0, VLOOKUP(B1098,Model!$A$40:$B$60, 2), 0)</f>
        <v>0</v>
      </c>
      <c r="G1098" s="15">
        <f>IF(AB1098&gt;0, VLOOKUP(B1098,Model!$A$39:$C$58, 3), 0)</f>
        <v>0</v>
      </c>
      <c r="H1098" s="15">
        <f t="shared" si="344"/>
        <v>0</v>
      </c>
      <c r="I1098" s="45">
        <f>Model!$B$21*EXP((-0.029*9.81*F1098)/(8.31*(273+J1098)))</f>
        <v>104500</v>
      </c>
      <c r="J1098" s="15">
        <f>IF(Model!$B$31="Summer",  IF(F1098&lt;=2000,  Model!$B$20-Model!$B$35*F1098/1000,  IF(F1098&lt;Model!$B$36,  Model!$B$33-6.5*F1098/1000,  Model!$B$38)),     IF(F1098&lt;=2000,  Model!$B$20-Model!$B$35*F1098/1000,  IF(F1098&lt;Model!$B$36,  Model!$B$33-5.4*F1098/1000,   Model!$B$38)))</f>
        <v>-20</v>
      </c>
      <c r="K1098" s="15">
        <f t="shared" si="365"/>
        <v>253</v>
      </c>
      <c r="L1098" s="45">
        <f>IF(AB1097-AA1097*(B1098-B1097)&gt;0, L1097-Y1097*(B1098-B1097)*3600-AD1098*Model!$B$16, 0)</f>
        <v>0</v>
      </c>
      <c r="M1098" s="56">
        <f t="shared" si="346"/>
        <v>0</v>
      </c>
      <c r="N1098" s="56">
        <f>Model!$B$13*I1098*K1098/(Model!$B$13*I1098-L1098*287*K1098)</f>
        <v>253</v>
      </c>
      <c r="O1098" s="56">
        <f t="shared" si="347"/>
        <v>253</v>
      </c>
      <c r="P1098" s="56">
        <f t="shared" si="348"/>
        <v>-10</v>
      </c>
      <c r="Q1098" s="62">
        <f t="shared" si="366"/>
        <v>2.2579999999999999E-2</v>
      </c>
      <c r="R1098" s="33">
        <f t="shared" si="367"/>
        <v>1.152E-5</v>
      </c>
      <c r="S1098" s="45">
        <f>0.37*Model!$B$10*(Q1098^2*(N1098-K1098)*I1098/(R1098*O1098^2))^0.33333*(N1098-K1098)</f>
        <v>0</v>
      </c>
      <c r="T1098" s="50">
        <f>Model!$B$32+(90-Model!$B$6)*SIN(RADIANS(-15*(E1098+6)))</f>
        <v>-31.619472402513487</v>
      </c>
      <c r="U1098" s="45">
        <f t="shared" si="351"/>
        <v>0</v>
      </c>
      <c r="V1098" s="50">
        <f t="shared" si="352"/>
        <v>99999</v>
      </c>
      <c r="W1098" s="45">
        <f t="shared" si="353"/>
        <v>0</v>
      </c>
      <c r="X1098" s="45">
        <f>0.3*W1098*Model!$B$9</f>
        <v>0</v>
      </c>
      <c r="Y1098" s="33">
        <f>(S1098-X1098)/Model!$B$11</f>
        <v>0</v>
      </c>
      <c r="Z1098" s="45" t="e">
        <f t="shared" si="354"/>
        <v>#DIV/0!</v>
      </c>
      <c r="AA1098" s="56">
        <f>Y1098/Model!$B$12*3600</f>
        <v>0</v>
      </c>
      <c r="AB1098" s="50">
        <f t="shared" si="360"/>
        <v>0</v>
      </c>
      <c r="AC1098" s="50">
        <f t="shared" si="368"/>
        <v>1800</v>
      </c>
      <c r="AD1098" s="15">
        <f>IF(AE1098=0, Model!$B$19, 0 )</f>
        <v>0</v>
      </c>
      <c r="AE1098" s="50">
        <f>IF(AE1097+AB1097-AB1098&lt;Model!$B$19*Model!$B$18, AE1097+AB1097-AB1098,  0)</f>
        <v>443.63457370611354</v>
      </c>
      <c r="AF1098" s="15">
        <f t="shared" si="356"/>
        <v>1</v>
      </c>
      <c r="AG1098" s="50">
        <f t="shared" si="357"/>
        <v>0</v>
      </c>
    </row>
    <row r="1099" spans="2:33" x14ac:dyDescent="0.25">
      <c r="B1099" s="13">
        <f t="shared" si="358"/>
        <v>1</v>
      </c>
      <c r="C1099" s="13">
        <f>B1099+Model!$B$4</f>
        <v>3</v>
      </c>
      <c r="D1099" s="13">
        <f t="shared" si="359"/>
        <v>1</v>
      </c>
      <c r="E1099" s="13">
        <f t="shared" si="339"/>
        <v>3</v>
      </c>
      <c r="F1099" s="14">
        <f>IF(AB1099&gt;0, VLOOKUP(B1099,Model!$A$40:$B$60, 2), 0)</f>
        <v>0</v>
      </c>
      <c r="G1099" s="13">
        <f>IF(AB1099&gt;0, VLOOKUP(B1099,Model!$A$39:$C$58, 3), 0)</f>
        <v>0</v>
      </c>
      <c r="H1099" s="13">
        <f t="shared" si="344"/>
        <v>0</v>
      </c>
      <c r="I1099" s="46">
        <f>Model!$B$21*EXP((-0.029*9.81*F1099)/(8.31*(273+J1099)))</f>
        <v>104500</v>
      </c>
      <c r="J1099" s="13">
        <f>IF(Model!$B$31="Summer",  IF(F1099&lt;=2000,  Model!$B$20-Model!$B$35*F1099/1000,  IF(F1099&lt;Model!$B$36,  Model!$B$33-6.5*F1099/1000,  Model!$B$38)),     IF(F1099&lt;=2000,  Model!$B$20-Model!$B$35*F1099/1000,  IF(F1099&lt;Model!$B$36,  Model!$B$33-5.4*F1099/1000,   Model!$B$38)))</f>
        <v>-20</v>
      </c>
      <c r="K1099" s="13">
        <f t="shared" si="365"/>
        <v>253</v>
      </c>
      <c r="L1099" s="46">
        <f>IF(AB1098-AA1098*(B1099-B1098)&gt;0, L1098-Y1098*(B1099-B1098)*3600-AD1099*Model!$B$16, 0)</f>
        <v>0</v>
      </c>
      <c r="M1099" s="57">
        <f t="shared" si="346"/>
        <v>0</v>
      </c>
      <c r="N1099" s="57">
        <f>Model!$B$13*I1099*K1099/(Model!$B$13*I1099-L1099*287*K1099)</f>
        <v>253</v>
      </c>
      <c r="O1099" s="57">
        <f t="shared" si="347"/>
        <v>253</v>
      </c>
      <c r="P1099" s="57">
        <f t="shared" si="348"/>
        <v>-10</v>
      </c>
      <c r="Q1099" s="63">
        <f t="shared" si="366"/>
        <v>2.2579999999999999E-2</v>
      </c>
      <c r="R1099" s="17">
        <f t="shared" si="367"/>
        <v>1.152E-5</v>
      </c>
      <c r="S1099" s="46">
        <f>0.37*Model!$B$10*(Q1099^2*(N1099-K1099)*I1099/(R1099*O1099^2))^0.33333*(N1099-K1099)</f>
        <v>0</v>
      </c>
      <c r="T1099" s="51">
        <f>Model!$B$32+(90-Model!$B$6)*SIN(RADIANS(-15*(E1099+6)))</f>
        <v>-31.619472402513487</v>
      </c>
      <c r="U1099" s="46">
        <f t="shared" si="351"/>
        <v>0</v>
      </c>
      <c r="V1099" s="51">
        <f t="shared" si="352"/>
        <v>99999</v>
      </c>
      <c r="W1099" s="46">
        <f t="shared" si="353"/>
        <v>0</v>
      </c>
      <c r="X1099" s="46">
        <f>0.3*W1099*Model!$B$9</f>
        <v>0</v>
      </c>
      <c r="Y1099" s="17">
        <f>(S1099-X1099)/Model!$B$11</f>
        <v>0</v>
      </c>
      <c r="Z1099" s="46" t="e">
        <f t="shared" si="354"/>
        <v>#DIV/0!</v>
      </c>
      <c r="AA1099" s="57">
        <f>Y1099/Model!$B$12*3600</f>
        <v>0</v>
      </c>
      <c r="AB1099" s="51">
        <f t="shared" si="360"/>
        <v>0</v>
      </c>
      <c r="AC1099" s="51">
        <f t="shared" si="368"/>
        <v>1800</v>
      </c>
      <c r="AD1099" s="13">
        <f>IF(AE1099=0, Model!$B$19, 0 )</f>
        <v>0</v>
      </c>
      <c r="AE1099" s="51">
        <f>IF(AE1098+AB1098-AB1099&lt;Model!$B$19*Model!$B$18, AE1098+AB1098-AB1099,  0)</f>
        <v>443.63457370611354</v>
      </c>
      <c r="AF1099" s="13">
        <f t="shared" si="356"/>
        <v>1</v>
      </c>
      <c r="AG1099" s="50">
        <f t="shared" si="357"/>
        <v>0</v>
      </c>
    </row>
    <row r="1100" spans="2:33" x14ac:dyDescent="0.25">
      <c r="B1100" s="15">
        <f t="shared" si="358"/>
        <v>1</v>
      </c>
      <c r="C1100" s="15">
        <f>B1100+Model!$B$4</f>
        <v>3</v>
      </c>
      <c r="D1100" s="15">
        <f t="shared" si="359"/>
        <v>1</v>
      </c>
      <c r="E1100" s="15">
        <f t="shared" si="339"/>
        <v>3</v>
      </c>
      <c r="F1100" s="16">
        <f>IF(AB1100&gt;0, VLOOKUP(B1100,Model!$A$40:$B$60, 2), 0)</f>
        <v>0</v>
      </c>
      <c r="G1100" s="15">
        <f>IF(AB1100&gt;0, VLOOKUP(B1100,Model!$A$39:$C$58, 3), 0)</f>
        <v>0</v>
      </c>
      <c r="H1100" s="15">
        <f t="shared" si="344"/>
        <v>0</v>
      </c>
      <c r="I1100" s="45">
        <f>Model!$B$21*EXP((-0.029*9.81*F1100)/(8.31*(273+J1100)))</f>
        <v>104500</v>
      </c>
      <c r="J1100" s="15">
        <f>IF(Model!$B$31="Summer",  IF(F1100&lt;=2000,  Model!$B$20-Model!$B$35*F1100/1000,  IF(F1100&lt;Model!$B$36,  Model!$B$33-6.5*F1100/1000,  Model!$B$38)),     IF(F1100&lt;=2000,  Model!$B$20-Model!$B$35*F1100/1000,  IF(F1100&lt;Model!$B$36,  Model!$B$33-5.4*F1100/1000,   Model!$B$38)))</f>
        <v>-20</v>
      </c>
      <c r="K1100" s="15">
        <f t="shared" si="365"/>
        <v>253</v>
      </c>
      <c r="L1100" s="45">
        <f>IF(AB1099-AA1099*(B1100-B1099)&gt;0, L1099-Y1099*(B1100-B1099)*3600-AD1100*Model!$B$16, 0)</f>
        <v>0</v>
      </c>
      <c r="M1100" s="56">
        <f t="shared" si="346"/>
        <v>0</v>
      </c>
      <c r="N1100" s="56">
        <f>Model!$B$13*I1100*K1100/(Model!$B$13*I1100-L1100*287*K1100)</f>
        <v>253</v>
      </c>
      <c r="O1100" s="56">
        <f t="shared" si="347"/>
        <v>253</v>
      </c>
      <c r="P1100" s="56">
        <f t="shared" si="348"/>
        <v>-10</v>
      </c>
      <c r="Q1100" s="62">
        <f t="shared" si="366"/>
        <v>2.2579999999999999E-2</v>
      </c>
      <c r="R1100" s="33">
        <f t="shared" si="367"/>
        <v>1.152E-5</v>
      </c>
      <c r="S1100" s="45">
        <f>0.37*Model!$B$10*(Q1100^2*(N1100-K1100)*I1100/(R1100*O1100^2))^0.33333*(N1100-K1100)</f>
        <v>0</v>
      </c>
      <c r="T1100" s="50">
        <f>Model!$B$32+(90-Model!$B$6)*SIN(RADIANS(-15*(E1100+6)))</f>
        <v>-31.619472402513487</v>
      </c>
      <c r="U1100" s="45">
        <f t="shared" si="351"/>
        <v>0</v>
      </c>
      <c r="V1100" s="50">
        <f t="shared" si="352"/>
        <v>99999</v>
      </c>
      <c r="W1100" s="45">
        <f t="shared" si="353"/>
        <v>0</v>
      </c>
      <c r="X1100" s="45">
        <f>0.3*W1100*Model!$B$9</f>
        <v>0</v>
      </c>
      <c r="Y1100" s="33">
        <f>(S1100-X1100)/Model!$B$11</f>
        <v>0</v>
      </c>
      <c r="Z1100" s="45" t="e">
        <f t="shared" si="354"/>
        <v>#DIV/0!</v>
      </c>
      <c r="AA1100" s="56">
        <f>Y1100/Model!$B$12*3600</f>
        <v>0</v>
      </c>
      <c r="AB1100" s="50">
        <f t="shared" si="360"/>
        <v>0</v>
      </c>
      <c r="AC1100" s="50">
        <f t="shared" si="368"/>
        <v>1800</v>
      </c>
      <c r="AD1100" s="15">
        <f>IF(AE1100=0, Model!$B$19, 0 )</f>
        <v>0</v>
      </c>
      <c r="AE1100" s="50">
        <f>IF(AE1099+AB1099-AB1100&lt;Model!$B$19*Model!$B$18, AE1099+AB1099-AB1100,  0)</f>
        <v>443.63457370611354</v>
      </c>
      <c r="AF1100" s="15">
        <f t="shared" si="356"/>
        <v>1</v>
      </c>
      <c r="AG1100" s="50">
        <f t="shared" si="357"/>
        <v>0</v>
      </c>
    </row>
    <row r="1101" spans="2:33" x14ac:dyDescent="0.25">
      <c r="B1101" s="13">
        <f t="shared" si="358"/>
        <v>1</v>
      </c>
      <c r="C1101" s="13">
        <f>B1101+Model!$B$4</f>
        <v>3</v>
      </c>
      <c r="D1101" s="13">
        <f t="shared" si="359"/>
        <v>1</v>
      </c>
      <c r="E1101" s="13">
        <f t="shared" si="339"/>
        <v>3</v>
      </c>
      <c r="F1101" s="14">
        <f>IF(AB1101&gt;0, VLOOKUP(B1101,Model!$A$40:$B$60, 2), 0)</f>
        <v>0</v>
      </c>
      <c r="G1101" s="13">
        <f>IF(AB1101&gt;0, VLOOKUP(B1101,Model!$A$39:$C$58, 3), 0)</f>
        <v>0</v>
      </c>
      <c r="H1101" s="13">
        <f t="shared" si="344"/>
        <v>0</v>
      </c>
      <c r="I1101" s="46">
        <f>Model!$B$21*EXP((-0.029*9.81*F1101)/(8.31*(273+J1101)))</f>
        <v>104500</v>
      </c>
      <c r="J1101" s="13">
        <f>IF(Model!$B$31="Summer",  IF(F1101&lt;=2000,  Model!$B$20-Model!$B$35*F1101/1000,  IF(F1101&lt;Model!$B$36,  Model!$B$33-6.5*F1101/1000,  Model!$B$38)),     IF(F1101&lt;=2000,  Model!$B$20-Model!$B$35*F1101/1000,  IF(F1101&lt;Model!$B$36,  Model!$B$33-5.4*F1101/1000,   Model!$B$38)))</f>
        <v>-20</v>
      </c>
      <c r="K1101" s="13">
        <f t="shared" ref="K1101:K1102" si="369">273+J1101</f>
        <v>253</v>
      </c>
      <c r="L1101" s="46">
        <f>IF(AB1100-AA1100*(B1101-B1100)&gt;0, L1100-Y1100*(B1101-B1100)*3600-AD1101*Model!$B$16, 0)</f>
        <v>0</v>
      </c>
      <c r="M1101" s="57">
        <f t="shared" si="346"/>
        <v>0</v>
      </c>
      <c r="N1101" s="57">
        <f>Model!$B$13*I1101*K1101/(Model!$B$13*I1101-L1101*287*K1101)</f>
        <v>253</v>
      </c>
      <c r="O1101" s="57">
        <f t="shared" si="347"/>
        <v>253</v>
      </c>
      <c r="P1101" s="57">
        <f t="shared" si="348"/>
        <v>-10</v>
      </c>
      <c r="Q1101" s="63">
        <f t="shared" ref="Q1101:Q1102" si="370">(O1101-273)*7.1*0.00001+0.024</f>
        <v>2.2579999999999999E-2</v>
      </c>
      <c r="R1101" s="17">
        <f t="shared" ref="R1101:R1102" si="371">((O1101-273)*0.104+13.6)*0.000001</f>
        <v>1.152E-5</v>
      </c>
      <c r="S1101" s="46">
        <f>0.37*Model!$B$10*(Q1101^2*(N1101-K1101)*I1101/(R1101*O1101^2))^0.33333*(N1101-K1101)</f>
        <v>0</v>
      </c>
      <c r="T1101" s="51">
        <f>Model!$B$32+(90-Model!$B$6)*SIN(RADIANS(-15*(E1101+6)))</f>
        <v>-31.619472402513487</v>
      </c>
      <c r="U1101" s="46">
        <f t="shared" si="351"/>
        <v>0</v>
      </c>
      <c r="V1101" s="51">
        <f t="shared" si="352"/>
        <v>99999</v>
      </c>
      <c r="W1101" s="46">
        <f t="shared" si="353"/>
        <v>0</v>
      </c>
      <c r="X1101" s="46">
        <f>0.3*W1101*Model!$B$9</f>
        <v>0</v>
      </c>
      <c r="Y1101" s="17">
        <f>(S1101-X1101)/Model!$B$11</f>
        <v>0</v>
      </c>
      <c r="Z1101" s="46" t="e">
        <f t="shared" si="354"/>
        <v>#DIV/0!</v>
      </c>
      <c r="AA1101" s="57">
        <f>Y1101/Model!$B$12*3600</f>
        <v>0</v>
      </c>
      <c r="AB1101" s="51">
        <f t="shared" si="360"/>
        <v>0</v>
      </c>
      <c r="AC1101" s="51">
        <f t="shared" ref="AC1101:AC1102" si="372">AC1100+AB1100-AB1101</f>
        <v>1800</v>
      </c>
      <c r="AD1101" s="13">
        <f>IF(AE1101=0, Model!$B$19, 0 )</f>
        <v>0</v>
      </c>
      <c r="AE1101" s="51">
        <f>IF(AE1100+AB1100-AB1101&lt;Model!$B$19*Model!$B$18, AE1100+AB1100-AB1101,  0)</f>
        <v>443.63457370611354</v>
      </c>
      <c r="AF1101" s="13">
        <f t="shared" si="356"/>
        <v>1</v>
      </c>
      <c r="AG1101" s="50">
        <f t="shared" si="357"/>
        <v>0</v>
      </c>
    </row>
    <row r="1102" spans="2:33" x14ac:dyDescent="0.25">
      <c r="B1102" s="15">
        <f t="shared" si="358"/>
        <v>1</v>
      </c>
      <c r="C1102" s="15">
        <f>B1102+Model!$B$4</f>
        <v>3</v>
      </c>
      <c r="D1102" s="15">
        <f t="shared" si="359"/>
        <v>1</v>
      </c>
      <c r="E1102" s="15">
        <f t="shared" si="339"/>
        <v>3</v>
      </c>
      <c r="F1102" s="16">
        <f>IF(AB1102&gt;0, VLOOKUP(B1102,Model!$A$40:$B$60, 2), 0)</f>
        <v>0</v>
      </c>
      <c r="G1102" s="15">
        <f>IF(AB1102&gt;0, VLOOKUP(B1102,Model!$A$39:$C$58, 3), 0)</f>
        <v>0</v>
      </c>
      <c r="H1102" s="15">
        <f t="shared" si="344"/>
        <v>0</v>
      </c>
      <c r="I1102" s="45">
        <f>Model!$B$21*EXP((-0.029*9.81*F1102)/(8.31*(273+J1102)))</f>
        <v>104500</v>
      </c>
      <c r="J1102" s="15">
        <f>IF(Model!$B$31="Summer",  IF(F1102&lt;=2000,  Model!$B$20-Model!$B$35*F1102/1000,  IF(F1102&lt;Model!$B$36,  Model!$B$33-6.5*F1102/1000,  Model!$B$38)),     IF(F1102&lt;=2000,  Model!$B$20-Model!$B$35*F1102/1000,  IF(F1102&lt;Model!$B$36,  Model!$B$33-5.4*F1102/1000,   Model!$B$38)))</f>
        <v>-20</v>
      </c>
      <c r="K1102" s="15">
        <f t="shared" si="369"/>
        <v>253</v>
      </c>
      <c r="L1102" s="45">
        <f>IF(AB1101-AA1101*(B1102-B1101)&gt;0, L1101-Y1101*(B1102-B1101)*3600-AD1102*Model!$B$16, 0)</f>
        <v>0</v>
      </c>
      <c r="M1102" s="56">
        <f t="shared" si="346"/>
        <v>0</v>
      </c>
      <c r="N1102" s="56">
        <f>Model!$B$13*I1102*K1102/(Model!$B$13*I1102-L1102*287*K1102)</f>
        <v>253</v>
      </c>
      <c r="O1102" s="56">
        <f t="shared" si="347"/>
        <v>253</v>
      </c>
      <c r="P1102" s="56">
        <f t="shared" si="348"/>
        <v>-10</v>
      </c>
      <c r="Q1102" s="62">
        <f t="shared" si="370"/>
        <v>2.2579999999999999E-2</v>
      </c>
      <c r="R1102" s="33">
        <f t="shared" si="371"/>
        <v>1.152E-5</v>
      </c>
      <c r="S1102" s="45">
        <f>0.37*Model!$B$10*(Q1102^2*(N1102-K1102)*I1102/(R1102*O1102^2))^0.33333*(N1102-K1102)</f>
        <v>0</v>
      </c>
      <c r="T1102" s="50">
        <f>Model!$B$32+(90-Model!$B$6)*SIN(RADIANS(-15*(E1102+6)))</f>
        <v>-31.619472402513487</v>
      </c>
      <c r="U1102" s="45">
        <f t="shared" si="351"/>
        <v>0</v>
      </c>
      <c r="V1102" s="50">
        <f t="shared" si="352"/>
        <v>99999</v>
      </c>
      <c r="W1102" s="45">
        <f t="shared" si="353"/>
        <v>0</v>
      </c>
      <c r="X1102" s="45">
        <f>0.3*W1102*Model!$B$9</f>
        <v>0</v>
      </c>
      <c r="Y1102" s="33">
        <f>(S1102-X1102)/Model!$B$11</f>
        <v>0</v>
      </c>
      <c r="Z1102" s="45" t="e">
        <f t="shared" si="354"/>
        <v>#DIV/0!</v>
      </c>
      <c r="AA1102" s="56">
        <f>Y1102/Model!$B$12*3600</f>
        <v>0</v>
      </c>
      <c r="AB1102" s="50">
        <f t="shared" si="360"/>
        <v>0</v>
      </c>
      <c r="AC1102" s="50">
        <f t="shared" si="372"/>
        <v>1800</v>
      </c>
      <c r="AD1102" s="15">
        <f>IF(AE1102=0, Model!$B$19, 0 )</f>
        <v>0</v>
      </c>
      <c r="AE1102" s="50">
        <f>IF(AE1101+AB1101-AB1102&lt;Model!$B$19*Model!$B$18, AE1101+AB1101-AB1102,  0)</f>
        <v>443.63457370611354</v>
      </c>
      <c r="AF1102" s="15">
        <f t="shared" si="356"/>
        <v>1</v>
      </c>
      <c r="AG1102" s="50">
        <f t="shared" si="357"/>
        <v>0</v>
      </c>
    </row>
    <row r="1103" spans="2:33" x14ac:dyDescent="0.25">
      <c r="B1103" s="13">
        <f t="shared" si="358"/>
        <v>1</v>
      </c>
      <c r="C1103" s="13">
        <f>B1103+Model!$B$4</f>
        <v>3</v>
      </c>
      <c r="D1103" s="13">
        <f t="shared" si="359"/>
        <v>1</v>
      </c>
      <c r="E1103" s="13">
        <f t="shared" si="339"/>
        <v>3</v>
      </c>
      <c r="F1103" s="14">
        <f>IF(AB1103&gt;0, VLOOKUP(B1103,Model!$A$40:$B$60, 2), 0)</f>
        <v>0</v>
      </c>
      <c r="G1103" s="13">
        <f>IF(AB1103&gt;0, VLOOKUP(B1103,Model!$A$39:$C$58, 3), 0)</f>
        <v>0</v>
      </c>
      <c r="H1103" s="13">
        <f t="shared" si="344"/>
        <v>0</v>
      </c>
      <c r="I1103" s="46">
        <f>Model!$B$21*EXP((-0.029*9.81*F1103)/(8.31*(273+J1103)))</f>
        <v>104500</v>
      </c>
      <c r="J1103" s="13">
        <f>IF(Model!$B$31="Summer",  IF(F1103&lt;=2000,  Model!$B$20-Model!$B$35*F1103/1000,  IF(F1103&lt;Model!$B$36,  Model!$B$33-6.5*F1103/1000,  Model!$B$38)),     IF(F1103&lt;=2000,  Model!$B$20-Model!$B$35*F1103/1000,  IF(F1103&lt;Model!$B$36,  Model!$B$33-5.4*F1103/1000,   Model!$B$38)))</f>
        <v>-20</v>
      </c>
      <c r="K1103" s="13">
        <f t="shared" ref="K1103:K1104" si="373">273+J1103</f>
        <v>253</v>
      </c>
      <c r="L1103" s="46">
        <f>IF(AB1102-AA1102*(B1103-B1102)&gt;0, L1102-Y1102*(B1103-B1102)*3600-AD1103*Model!$B$16, 0)</f>
        <v>0</v>
      </c>
      <c r="M1103" s="57">
        <f t="shared" si="346"/>
        <v>0</v>
      </c>
      <c r="N1103" s="57">
        <f>Model!$B$13*I1103*K1103/(Model!$B$13*I1103-L1103*287*K1103)</f>
        <v>253</v>
      </c>
      <c r="O1103" s="57">
        <f t="shared" si="347"/>
        <v>253</v>
      </c>
      <c r="P1103" s="57">
        <f t="shared" si="348"/>
        <v>-10</v>
      </c>
      <c r="Q1103" s="63">
        <f t="shared" ref="Q1103:Q1104" si="374">(O1103-273)*7.1*0.00001+0.024</f>
        <v>2.2579999999999999E-2</v>
      </c>
      <c r="R1103" s="17">
        <f t="shared" ref="R1103:R1104" si="375">((O1103-273)*0.104+13.6)*0.000001</f>
        <v>1.152E-5</v>
      </c>
      <c r="S1103" s="46">
        <f>0.37*Model!$B$10*(Q1103^2*(N1103-K1103)*I1103/(R1103*O1103^2))^0.33333*(N1103-K1103)</f>
        <v>0</v>
      </c>
      <c r="T1103" s="51">
        <f>Model!$B$32+(90-Model!$B$6)*SIN(RADIANS(-15*(E1103+6)))</f>
        <v>-31.619472402513487</v>
      </c>
      <c r="U1103" s="46">
        <f t="shared" si="351"/>
        <v>0</v>
      </c>
      <c r="V1103" s="51">
        <f t="shared" si="352"/>
        <v>99999</v>
      </c>
      <c r="W1103" s="46">
        <f t="shared" si="353"/>
        <v>0</v>
      </c>
      <c r="X1103" s="46">
        <f>0.3*W1103*Model!$B$9</f>
        <v>0</v>
      </c>
      <c r="Y1103" s="17">
        <f>(S1103-X1103)/Model!$B$11</f>
        <v>0</v>
      </c>
      <c r="Z1103" s="46" t="e">
        <f t="shared" si="354"/>
        <v>#DIV/0!</v>
      </c>
      <c r="AA1103" s="57">
        <f>Y1103/Model!$B$12*3600</f>
        <v>0</v>
      </c>
      <c r="AB1103" s="51">
        <f t="shared" si="360"/>
        <v>0</v>
      </c>
      <c r="AC1103" s="51">
        <f t="shared" ref="AC1103:AC1104" si="376">AC1102+AB1102-AB1103</f>
        <v>1800</v>
      </c>
      <c r="AD1103" s="13">
        <f>IF(AE1103=0, Model!$B$19, 0 )</f>
        <v>0</v>
      </c>
      <c r="AE1103" s="51">
        <f>IF(AE1102+AB1102-AB1103&lt;Model!$B$19*Model!$B$18, AE1102+AB1102-AB1103,  0)</f>
        <v>443.63457370611354</v>
      </c>
      <c r="AF1103" s="13">
        <f t="shared" si="356"/>
        <v>1</v>
      </c>
      <c r="AG1103" s="50">
        <f t="shared" si="357"/>
        <v>0</v>
      </c>
    </row>
    <row r="1104" spans="2:33" x14ac:dyDescent="0.25">
      <c r="B1104" s="15">
        <f t="shared" si="358"/>
        <v>1</v>
      </c>
      <c r="C1104" s="15">
        <f>B1104+Model!$B$4</f>
        <v>3</v>
      </c>
      <c r="D1104" s="15">
        <f t="shared" si="359"/>
        <v>1</v>
      </c>
      <c r="E1104" s="15">
        <f t="shared" si="339"/>
        <v>3</v>
      </c>
      <c r="F1104" s="16">
        <f>IF(AB1104&gt;0, VLOOKUP(B1104,Model!$A$40:$B$60, 2), 0)</f>
        <v>0</v>
      </c>
      <c r="G1104" s="15">
        <f>IF(AB1104&gt;0, VLOOKUP(B1104,Model!$A$39:$C$58, 3), 0)</f>
        <v>0</v>
      </c>
      <c r="H1104" s="15">
        <f t="shared" si="344"/>
        <v>0</v>
      </c>
      <c r="I1104" s="45">
        <f>Model!$B$21*EXP((-0.029*9.81*F1104)/(8.31*(273+J1104)))</f>
        <v>104500</v>
      </c>
      <c r="J1104" s="15">
        <f>IF(Model!$B$31="Summer",  IF(F1104&lt;=2000,  Model!$B$20-Model!$B$35*F1104/1000,  IF(F1104&lt;Model!$B$36,  Model!$B$33-6.5*F1104/1000,  Model!$B$38)),     IF(F1104&lt;=2000,  Model!$B$20-Model!$B$35*F1104/1000,  IF(F1104&lt;Model!$B$36,  Model!$B$33-5.4*F1104/1000,   Model!$B$38)))</f>
        <v>-20</v>
      </c>
      <c r="K1104" s="15">
        <f t="shared" si="373"/>
        <v>253</v>
      </c>
      <c r="L1104" s="45">
        <f>IF(AB1103-AA1103*(B1104-B1103)&gt;0, L1103-Y1103*(B1104-B1103)*3600-AD1104*Model!$B$16, 0)</f>
        <v>0</v>
      </c>
      <c r="M1104" s="56">
        <f t="shared" si="346"/>
        <v>0</v>
      </c>
      <c r="N1104" s="56">
        <f>Model!$B$13*I1104*K1104/(Model!$B$13*I1104-L1104*287*K1104)</f>
        <v>253</v>
      </c>
      <c r="O1104" s="56">
        <f t="shared" si="347"/>
        <v>253</v>
      </c>
      <c r="P1104" s="56">
        <f t="shared" si="348"/>
        <v>-10</v>
      </c>
      <c r="Q1104" s="62">
        <f t="shared" si="374"/>
        <v>2.2579999999999999E-2</v>
      </c>
      <c r="R1104" s="33">
        <f t="shared" si="375"/>
        <v>1.152E-5</v>
      </c>
      <c r="S1104" s="45">
        <f>0.37*Model!$B$10*(Q1104^2*(N1104-K1104)*I1104/(R1104*O1104^2))^0.33333*(N1104-K1104)</f>
        <v>0</v>
      </c>
      <c r="T1104" s="50">
        <f>Model!$B$32+(90-Model!$B$6)*SIN(RADIANS(-15*(E1104+6)))</f>
        <v>-31.619472402513487</v>
      </c>
      <c r="U1104" s="45">
        <f t="shared" si="351"/>
        <v>0</v>
      </c>
      <c r="V1104" s="50">
        <f t="shared" si="352"/>
        <v>99999</v>
      </c>
      <c r="W1104" s="45">
        <f t="shared" si="353"/>
        <v>0</v>
      </c>
      <c r="X1104" s="45">
        <f>0.3*W1104*Model!$B$9</f>
        <v>0</v>
      </c>
      <c r="Y1104" s="33">
        <f>(S1104-X1104)/Model!$B$11</f>
        <v>0</v>
      </c>
      <c r="Z1104" s="45" t="e">
        <f t="shared" si="354"/>
        <v>#DIV/0!</v>
      </c>
      <c r="AA1104" s="56">
        <f>Y1104/Model!$B$12*3600</f>
        <v>0</v>
      </c>
      <c r="AB1104" s="50">
        <f t="shared" si="360"/>
        <v>0</v>
      </c>
      <c r="AC1104" s="50">
        <f t="shared" si="376"/>
        <v>1800</v>
      </c>
      <c r="AD1104" s="15">
        <f>IF(AE1104=0, Model!$B$19, 0 )</f>
        <v>0</v>
      </c>
      <c r="AE1104" s="50">
        <f>IF(AE1103+AB1103-AB1104&lt;Model!$B$19*Model!$B$18, AE1103+AB1103-AB1104,  0)</f>
        <v>443.63457370611354</v>
      </c>
      <c r="AF1104" s="15">
        <f t="shared" si="356"/>
        <v>1</v>
      </c>
      <c r="AG1104" s="50">
        <f t="shared" si="357"/>
        <v>0</v>
      </c>
    </row>
    <row r="1105" spans="2:33" x14ac:dyDescent="0.25">
      <c r="B1105" s="13">
        <f t="shared" si="358"/>
        <v>1</v>
      </c>
      <c r="C1105" s="13">
        <f>B1105+Model!$B$4</f>
        <v>3</v>
      </c>
      <c r="D1105" s="13">
        <f t="shared" si="359"/>
        <v>1</v>
      </c>
      <c r="E1105" s="13">
        <f t="shared" si="339"/>
        <v>3</v>
      </c>
      <c r="F1105" s="14">
        <f>IF(AB1105&gt;0, VLOOKUP(B1105,Model!$A$40:$B$60, 2), 0)</f>
        <v>0</v>
      </c>
      <c r="G1105" s="13">
        <f>IF(AB1105&gt;0, VLOOKUP(B1105,Model!$A$39:$C$58, 3), 0)</f>
        <v>0</v>
      </c>
      <c r="H1105" s="13">
        <f t="shared" si="344"/>
        <v>0</v>
      </c>
      <c r="I1105" s="46">
        <f>Model!$B$21*EXP((-0.029*9.81*F1105)/(8.31*(273+J1105)))</f>
        <v>104500</v>
      </c>
      <c r="J1105" s="13">
        <f>IF(Model!$B$31="Summer",  IF(F1105&lt;=2000,  Model!$B$20-Model!$B$35*F1105/1000,  IF(F1105&lt;Model!$B$36,  Model!$B$33-6.5*F1105/1000,  Model!$B$38)),     IF(F1105&lt;=2000,  Model!$B$20-Model!$B$35*F1105/1000,  IF(F1105&lt;Model!$B$36,  Model!$B$33-5.4*F1105/1000,   Model!$B$38)))</f>
        <v>-20</v>
      </c>
      <c r="K1105" s="13">
        <f t="shared" ref="K1105:K1168" si="377">273+J1105</f>
        <v>253</v>
      </c>
      <c r="L1105" s="46">
        <f>IF(AB1104-AA1104*(B1105-B1104)&gt;0, L1104-Y1104*(B1105-B1104)*3600-AD1105*Model!$B$16, 0)</f>
        <v>0</v>
      </c>
      <c r="M1105" s="57">
        <f t="shared" si="346"/>
        <v>0</v>
      </c>
      <c r="N1105" s="57">
        <f>Model!$B$13*I1105*K1105/(Model!$B$13*I1105-L1105*287*K1105)</f>
        <v>253</v>
      </c>
      <c r="O1105" s="57">
        <f t="shared" si="347"/>
        <v>253</v>
      </c>
      <c r="P1105" s="57">
        <f t="shared" si="348"/>
        <v>-10</v>
      </c>
      <c r="Q1105" s="63">
        <f t="shared" ref="Q1105:Q1168" si="378">(O1105-273)*7.1*0.00001+0.024</f>
        <v>2.2579999999999999E-2</v>
      </c>
      <c r="R1105" s="17">
        <f t="shared" ref="R1105:R1168" si="379">((O1105-273)*0.104+13.6)*0.000001</f>
        <v>1.152E-5</v>
      </c>
      <c r="S1105" s="46">
        <f>0.37*Model!$B$10*(Q1105^2*(N1105-K1105)*I1105/(R1105*O1105^2))^0.33333*(N1105-K1105)</f>
        <v>0</v>
      </c>
      <c r="T1105" s="51">
        <f>Model!$B$32+(90-Model!$B$6)*SIN(RADIANS(-15*(E1105+6)))</f>
        <v>-31.619472402513487</v>
      </c>
      <c r="U1105" s="46">
        <f t="shared" si="351"/>
        <v>0</v>
      </c>
      <c r="V1105" s="51">
        <f t="shared" si="352"/>
        <v>99999</v>
      </c>
      <c r="W1105" s="46">
        <f t="shared" si="353"/>
        <v>0</v>
      </c>
      <c r="X1105" s="46">
        <f>0.3*W1105*Model!$B$9</f>
        <v>0</v>
      </c>
      <c r="Y1105" s="17">
        <f>(S1105-X1105)/Model!$B$11</f>
        <v>0</v>
      </c>
      <c r="Z1105" s="46" t="e">
        <f t="shared" si="354"/>
        <v>#DIV/0!</v>
      </c>
      <c r="AA1105" s="57">
        <f>Y1105/Model!$B$12*3600</f>
        <v>0</v>
      </c>
      <c r="AB1105" s="51">
        <f t="shared" si="360"/>
        <v>0</v>
      </c>
      <c r="AC1105" s="51">
        <f t="shared" ref="AC1105:AC1168" si="380">AC1104+AB1104-AB1105</f>
        <v>1800</v>
      </c>
      <c r="AD1105" s="13">
        <f>IF(AE1105=0, Model!$B$19, 0 )</f>
        <v>0</v>
      </c>
      <c r="AE1105" s="51">
        <f>IF(AE1104+AB1104-AB1105&lt;Model!$B$19*Model!$B$18, AE1104+AB1104-AB1105,  0)</f>
        <v>443.63457370611354</v>
      </c>
      <c r="AF1105" s="13">
        <f t="shared" si="356"/>
        <v>1</v>
      </c>
      <c r="AG1105" s="50">
        <f t="shared" si="357"/>
        <v>0</v>
      </c>
    </row>
    <row r="1106" spans="2:33" x14ac:dyDescent="0.25">
      <c r="B1106" s="15">
        <f t="shared" si="358"/>
        <v>1</v>
      </c>
      <c r="C1106" s="15">
        <f>B1106+Model!$B$4</f>
        <v>3</v>
      </c>
      <c r="D1106" s="15">
        <f t="shared" si="359"/>
        <v>1</v>
      </c>
      <c r="E1106" s="15">
        <f t="shared" si="339"/>
        <v>3</v>
      </c>
      <c r="F1106" s="16">
        <f>IF(AB1106&gt;0, VLOOKUP(B1106,Model!$A$40:$B$60, 2), 0)</f>
        <v>0</v>
      </c>
      <c r="G1106" s="15">
        <f>IF(AB1106&gt;0, VLOOKUP(B1106,Model!$A$39:$C$58, 3), 0)</f>
        <v>0</v>
      </c>
      <c r="H1106" s="15">
        <f t="shared" si="344"/>
        <v>0</v>
      </c>
      <c r="I1106" s="45">
        <f>Model!$B$21*EXP((-0.029*9.81*F1106)/(8.31*(273+J1106)))</f>
        <v>104500</v>
      </c>
      <c r="J1106" s="15">
        <f>IF(Model!$B$31="Summer",  IF(F1106&lt;=2000,  Model!$B$20-Model!$B$35*F1106/1000,  IF(F1106&lt;Model!$B$36,  Model!$B$33-6.5*F1106/1000,  Model!$B$38)),     IF(F1106&lt;=2000,  Model!$B$20-Model!$B$35*F1106/1000,  IF(F1106&lt;Model!$B$36,  Model!$B$33-5.4*F1106/1000,   Model!$B$38)))</f>
        <v>-20</v>
      </c>
      <c r="K1106" s="15">
        <f t="shared" si="377"/>
        <v>253</v>
      </c>
      <c r="L1106" s="45">
        <f>IF(AB1105-AA1105*(B1106-B1105)&gt;0, L1105-Y1105*(B1106-B1105)*3600-AD1106*Model!$B$16, 0)</f>
        <v>0</v>
      </c>
      <c r="M1106" s="56">
        <f t="shared" si="346"/>
        <v>0</v>
      </c>
      <c r="N1106" s="56">
        <f>Model!$B$13*I1106*K1106/(Model!$B$13*I1106-L1106*287*K1106)</f>
        <v>253</v>
      </c>
      <c r="O1106" s="56">
        <f t="shared" si="347"/>
        <v>253</v>
      </c>
      <c r="P1106" s="56">
        <f t="shared" si="348"/>
        <v>-10</v>
      </c>
      <c r="Q1106" s="62">
        <f t="shared" si="378"/>
        <v>2.2579999999999999E-2</v>
      </c>
      <c r="R1106" s="33">
        <f t="shared" si="379"/>
        <v>1.152E-5</v>
      </c>
      <c r="S1106" s="45">
        <f>0.37*Model!$B$10*(Q1106^2*(N1106-K1106)*I1106/(R1106*O1106^2))^0.33333*(N1106-K1106)</f>
        <v>0</v>
      </c>
      <c r="T1106" s="50">
        <f>Model!$B$32+(90-Model!$B$6)*SIN(RADIANS(-15*(E1106+6)))</f>
        <v>-31.619472402513487</v>
      </c>
      <c r="U1106" s="45">
        <f t="shared" si="351"/>
        <v>0</v>
      </c>
      <c r="V1106" s="50">
        <f t="shared" si="352"/>
        <v>99999</v>
      </c>
      <c r="W1106" s="45">
        <f t="shared" si="353"/>
        <v>0</v>
      </c>
      <c r="X1106" s="45">
        <f>0.3*W1106*Model!$B$9</f>
        <v>0</v>
      </c>
      <c r="Y1106" s="33">
        <f>(S1106-X1106)/Model!$B$11</f>
        <v>0</v>
      </c>
      <c r="Z1106" s="45" t="e">
        <f t="shared" si="354"/>
        <v>#DIV/0!</v>
      </c>
      <c r="AA1106" s="56">
        <f>Y1106/Model!$B$12*3600</f>
        <v>0</v>
      </c>
      <c r="AB1106" s="50">
        <f t="shared" si="360"/>
        <v>0</v>
      </c>
      <c r="AC1106" s="50">
        <f t="shared" si="380"/>
        <v>1800</v>
      </c>
      <c r="AD1106" s="15">
        <f>IF(AE1106=0, Model!$B$19, 0 )</f>
        <v>0</v>
      </c>
      <c r="AE1106" s="50">
        <f>IF(AE1105+AB1105-AB1106&lt;Model!$B$19*Model!$B$18, AE1105+AB1105-AB1106,  0)</f>
        <v>443.63457370611354</v>
      </c>
      <c r="AF1106" s="15">
        <f t="shared" si="356"/>
        <v>1</v>
      </c>
      <c r="AG1106" s="50">
        <f t="shared" si="357"/>
        <v>0</v>
      </c>
    </row>
    <row r="1107" spans="2:33" x14ac:dyDescent="0.25">
      <c r="B1107" s="13">
        <f t="shared" si="358"/>
        <v>1</v>
      </c>
      <c r="C1107" s="13">
        <f>B1107+Model!$B$4</f>
        <v>3</v>
      </c>
      <c r="D1107" s="13">
        <f t="shared" si="359"/>
        <v>1</v>
      </c>
      <c r="E1107" s="13">
        <f t="shared" si="339"/>
        <v>3</v>
      </c>
      <c r="F1107" s="14">
        <f>IF(AB1107&gt;0, VLOOKUP(B1107,Model!$A$40:$B$60, 2), 0)</f>
        <v>0</v>
      </c>
      <c r="G1107" s="13">
        <f>IF(AB1107&gt;0, VLOOKUP(B1107,Model!$A$39:$C$58, 3), 0)</f>
        <v>0</v>
      </c>
      <c r="H1107" s="13">
        <f t="shared" si="344"/>
        <v>0</v>
      </c>
      <c r="I1107" s="46">
        <f>Model!$B$21*EXP((-0.029*9.81*F1107)/(8.31*(273+J1107)))</f>
        <v>104500</v>
      </c>
      <c r="J1107" s="13">
        <f>IF(Model!$B$31="Summer",  IF(F1107&lt;=2000,  Model!$B$20-Model!$B$35*F1107/1000,  IF(F1107&lt;Model!$B$36,  Model!$B$33-6.5*F1107/1000,  Model!$B$38)),     IF(F1107&lt;=2000,  Model!$B$20-Model!$B$35*F1107/1000,  IF(F1107&lt;Model!$B$36,  Model!$B$33-5.4*F1107/1000,   Model!$B$38)))</f>
        <v>-20</v>
      </c>
      <c r="K1107" s="13">
        <f t="shared" si="377"/>
        <v>253</v>
      </c>
      <c r="L1107" s="46">
        <f>IF(AB1106-AA1106*(B1107-B1106)&gt;0, L1106-Y1106*(B1107-B1106)*3600-AD1107*Model!$B$16, 0)</f>
        <v>0</v>
      </c>
      <c r="M1107" s="57">
        <f t="shared" si="346"/>
        <v>0</v>
      </c>
      <c r="N1107" s="57">
        <f>Model!$B$13*I1107*K1107/(Model!$B$13*I1107-L1107*287*K1107)</f>
        <v>253</v>
      </c>
      <c r="O1107" s="57">
        <f t="shared" si="347"/>
        <v>253</v>
      </c>
      <c r="P1107" s="57">
        <f t="shared" si="348"/>
        <v>-10</v>
      </c>
      <c r="Q1107" s="63">
        <f t="shared" si="378"/>
        <v>2.2579999999999999E-2</v>
      </c>
      <c r="R1107" s="17">
        <f t="shared" si="379"/>
        <v>1.152E-5</v>
      </c>
      <c r="S1107" s="46">
        <f>0.37*Model!$B$10*(Q1107^2*(N1107-K1107)*I1107/(R1107*O1107^2))^0.33333*(N1107-K1107)</f>
        <v>0</v>
      </c>
      <c r="T1107" s="51">
        <f>Model!$B$32+(90-Model!$B$6)*SIN(RADIANS(-15*(E1107+6)))</f>
        <v>-31.619472402513487</v>
      </c>
      <c r="U1107" s="46">
        <f t="shared" si="351"/>
        <v>0</v>
      </c>
      <c r="V1107" s="51">
        <f t="shared" si="352"/>
        <v>99999</v>
      </c>
      <c r="W1107" s="46">
        <f t="shared" si="353"/>
        <v>0</v>
      </c>
      <c r="X1107" s="46">
        <f>0.3*W1107*Model!$B$9</f>
        <v>0</v>
      </c>
      <c r="Y1107" s="17">
        <f>(S1107-X1107)/Model!$B$11</f>
        <v>0</v>
      </c>
      <c r="Z1107" s="46" t="e">
        <f t="shared" si="354"/>
        <v>#DIV/0!</v>
      </c>
      <c r="AA1107" s="57">
        <f>Y1107/Model!$B$12*3600</f>
        <v>0</v>
      </c>
      <c r="AB1107" s="51">
        <f t="shared" si="360"/>
        <v>0</v>
      </c>
      <c r="AC1107" s="51">
        <f t="shared" si="380"/>
        <v>1800</v>
      </c>
      <c r="AD1107" s="13">
        <f>IF(AE1107=0, Model!$B$19, 0 )</f>
        <v>0</v>
      </c>
      <c r="AE1107" s="51">
        <f>IF(AE1106+AB1106-AB1107&lt;Model!$B$19*Model!$B$18, AE1106+AB1106-AB1107,  0)</f>
        <v>443.63457370611354</v>
      </c>
      <c r="AF1107" s="13">
        <f t="shared" si="356"/>
        <v>1</v>
      </c>
      <c r="AG1107" s="50">
        <f t="shared" si="357"/>
        <v>0</v>
      </c>
    </row>
    <row r="1108" spans="2:33" x14ac:dyDescent="0.25">
      <c r="B1108" s="15">
        <f t="shared" si="358"/>
        <v>1</v>
      </c>
      <c r="C1108" s="15">
        <f>B1108+Model!$B$4</f>
        <v>3</v>
      </c>
      <c r="D1108" s="15">
        <f t="shared" si="359"/>
        <v>1</v>
      </c>
      <c r="E1108" s="15">
        <f t="shared" si="339"/>
        <v>3</v>
      </c>
      <c r="F1108" s="16">
        <f>IF(AB1108&gt;0, VLOOKUP(B1108,Model!$A$40:$B$60, 2), 0)</f>
        <v>0</v>
      </c>
      <c r="G1108" s="15">
        <f>IF(AB1108&gt;0, VLOOKUP(B1108,Model!$A$39:$C$58, 3), 0)</f>
        <v>0</v>
      </c>
      <c r="H1108" s="15">
        <f t="shared" si="344"/>
        <v>0</v>
      </c>
      <c r="I1108" s="45">
        <f>Model!$B$21*EXP((-0.029*9.81*F1108)/(8.31*(273+J1108)))</f>
        <v>104500</v>
      </c>
      <c r="J1108" s="15">
        <f>IF(Model!$B$31="Summer",  IF(F1108&lt;=2000,  Model!$B$20-Model!$B$35*F1108/1000,  IF(F1108&lt;Model!$B$36,  Model!$B$33-6.5*F1108/1000,  Model!$B$38)),     IF(F1108&lt;=2000,  Model!$B$20-Model!$B$35*F1108/1000,  IF(F1108&lt;Model!$B$36,  Model!$B$33-5.4*F1108/1000,   Model!$B$38)))</f>
        <v>-20</v>
      </c>
      <c r="K1108" s="15">
        <f t="shared" si="377"/>
        <v>253</v>
      </c>
      <c r="L1108" s="45">
        <f>IF(AB1107-AA1107*(B1108-B1107)&gt;0, L1107-Y1107*(B1108-B1107)*3600-AD1108*Model!$B$16, 0)</f>
        <v>0</v>
      </c>
      <c r="M1108" s="56">
        <f t="shared" si="346"/>
        <v>0</v>
      </c>
      <c r="N1108" s="56">
        <f>Model!$B$13*I1108*K1108/(Model!$B$13*I1108-L1108*287*K1108)</f>
        <v>253</v>
      </c>
      <c r="O1108" s="56">
        <f t="shared" si="347"/>
        <v>253</v>
      </c>
      <c r="P1108" s="56">
        <f t="shared" si="348"/>
        <v>-10</v>
      </c>
      <c r="Q1108" s="62">
        <f t="shared" si="378"/>
        <v>2.2579999999999999E-2</v>
      </c>
      <c r="R1108" s="33">
        <f t="shared" si="379"/>
        <v>1.152E-5</v>
      </c>
      <c r="S1108" s="45">
        <f>0.37*Model!$B$10*(Q1108^2*(N1108-K1108)*I1108/(R1108*O1108^2))^0.33333*(N1108-K1108)</f>
        <v>0</v>
      </c>
      <c r="T1108" s="50">
        <f>Model!$B$32+(90-Model!$B$6)*SIN(RADIANS(-15*(E1108+6)))</f>
        <v>-31.619472402513487</v>
      </c>
      <c r="U1108" s="45">
        <f t="shared" si="351"/>
        <v>0</v>
      </c>
      <c r="V1108" s="50">
        <f t="shared" si="352"/>
        <v>99999</v>
      </c>
      <c r="W1108" s="45">
        <f t="shared" si="353"/>
        <v>0</v>
      </c>
      <c r="X1108" s="45">
        <f>0.3*W1108*Model!$B$9</f>
        <v>0</v>
      </c>
      <c r="Y1108" s="33">
        <f>(S1108-X1108)/Model!$B$11</f>
        <v>0</v>
      </c>
      <c r="Z1108" s="45" t="e">
        <f t="shared" si="354"/>
        <v>#DIV/0!</v>
      </c>
      <c r="AA1108" s="56">
        <f>Y1108/Model!$B$12*3600</f>
        <v>0</v>
      </c>
      <c r="AB1108" s="50">
        <f t="shared" si="360"/>
        <v>0</v>
      </c>
      <c r="AC1108" s="50">
        <f t="shared" si="380"/>
        <v>1800</v>
      </c>
      <c r="AD1108" s="15">
        <f>IF(AE1108=0, Model!$B$19, 0 )</f>
        <v>0</v>
      </c>
      <c r="AE1108" s="50">
        <f>IF(AE1107+AB1107-AB1108&lt;Model!$B$19*Model!$B$18, AE1107+AB1107-AB1108,  0)</f>
        <v>443.63457370611354</v>
      </c>
      <c r="AF1108" s="15">
        <f t="shared" si="356"/>
        <v>1</v>
      </c>
      <c r="AG1108" s="50">
        <f t="shared" si="357"/>
        <v>0</v>
      </c>
    </row>
    <row r="1109" spans="2:33" x14ac:dyDescent="0.25">
      <c r="B1109" s="13">
        <f t="shared" si="358"/>
        <v>1</v>
      </c>
      <c r="C1109" s="13">
        <f>B1109+Model!$B$4</f>
        <v>3</v>
      </c>
      <c r="D1109" s="13">
        <f t="shared" si="359"/>
        <v>1</v>
      </c>
      <c r="E1109" s="13">
        <f t="shared" si="339"/>
        <v>3</v>
      </c>
      <c r="F1109" s="14">
        <f>IF(AB1109&gt;0, VLOOKUP(B1109,Model!$A$40:$B$60, 2), 0)</f>
        <v>0</v>
      </c>
      <c r="G1109" s="13">
        <f>IF(AB1109&gt;0, VLOOKUP(B1109,Model!$A$39:$C$58, 3), 0)</f>
        <v>0</v>
      </c>
      <c r="H1109" s="13">
        <f t="shared" si="344"/>
        <v>0</v>
      </c>
      <c r="I1109" s="46">
        <f>Model!$B$21*EXP((-0.029*9.81*F1109)/(8.31*(273+J1109)))</f>
        <v>104500</v>
      </c>
      <c r="J1109" s="13">
        <f>IF(Model!$B$31="Summer",  IF(F1109&lt;=2000,  Model!$B$20-Model!$B$35*F1109/1000,  IF(F1109&lt;Model!$B$36,  Model!$B$33-6.5*F1109/1000,  Model!$B$38)),     IF(F1109&lt;=2000,  Model!$B$20-Model!$B$35*F1109/1000,  IF(F1109&lt;Model!$B$36,  Model!$B$33-5.4*F1109/1000,   Model!$B$38)))</f>
        <v>-20</v>
      </c>
      <c r="K1109" s="13">
        <f t="shared" si="377"/>
        <v>253</v>
      </c>
      <c r="L1109" s="46">
        <f>IF(AB1108-AA1108*(B1109-B1108)&gt;0, L1108-Y1108*(B1109-B1108)*3600-AD1109*Model!$B$16, 0)</f>
        <v>0</v>
      </c>
      <c r="M1109" s="57">
        <f t="shared" si="346"/>
        <v>0</v>
      </c>
      <c r="N1109" s="57">
        <f>Model!$B$13*I1109*K1109/(Model!$B$13*I1109-L1109*287*K1109)</f>
        <v>253</v>
      </c>
      <c r="O1109" s="57">
        <f t="shared" si="347"/>
        <v>253</v>
      </c>
      <c r="P1109" s="57">
        <f t="shared" si="348"/>
        <v>-10</v>
      </c>
      <c r="Q1109" s="63">
        <f t="shared" si="378"/>
        <v>2.2579999999999999E-2</v>
      </c>
      <c r="R1109" s="17">
        <f t="shared" si="379"/>
        <v>1.152E-5</v>
      </c>
      <c r="S1109" s="46">
        <f>0.37*Model!$B$10*(Q1109^2*(N1109-K1109)*I1109/(R1109*O1109^2))^0.33333*(N1109-K1109)</f>
        <v>0</v>
      </c>
      <c r="T1109" s="51">
        <f>Model!$B$32+(90-Model!$B$6)*SIN(RADIANS(-15*(E1109+6)))</f>
        <v>-31.619472402513487</v>
      </c>
      <c r="U1109" s="46">
        <f t="shared" si="351"/>
        <v>0</v>
      </c>
      <c r="V1109" s="51">
        <f t="shared" si="352"/>
        <v>99999</v>
      </c>
      <c r="W1109" s="46">
        <f t="shared" si="353"/>
        <v>0</v>
      </c>
      <c r="X1109" s="46">
        <f>0.3*W1109*Model!$B$9</f>
        <v>0</v>
      </c>
      <c r="Y1109" s="17">
        <f>(S1109-X1109)/Model!$B$11</f>
        <v>0</v>
      </c>
      <c r="Z1109" s="46" t="e">
        <f t="shared" si="354"/>
        <v>#DIV/0!</v>
      </c>
      <c r="AA1109" s="57">
        <f>Y1109/Model!$B$12*3600</f>
        <v>0</v>
      </c>
      <c r="AB1109" s="51">
        <f t="shared" si="360"/>
        <v>0</v>
      </c>
      <c r="AC1109" s="51">
        <f t="shared" si="380"/>
        <v>1800</v>
      </c>
      <c r="AD1109" s="13">
        <f>IF(AE1109=0, Model!$B$19, 0 )</f>
        <v>0</v>
      </c>
      <c r="AE1109" s="51">
        <f>IF(AE1108+AB1108-AB1109&lt;Model!$B$19*Model!$B$18, AE1108+AB1108-AB1109,  0)</f>
        <v>443.63457370611354</v>
      </c>
      <c r="AF1109" s="13">
        <f t="shared" si="356"/>
        <v>1</v>
      </c>
      <c r="AG1109" s="50">
        <f t="shared" si="357"/>
        <v>0</v>
      </c>
    </row>
    <row r="1110" spans="2:33" x14ac:dyDescent="0.25">
      <c r="B1110" s="15">
        <f t="shared" si="358"/>
        <v>1</v>
      </c>
      <c r="C1110" s="15">
        <f>B1110+Model!$B$4</f>
        <v>3</v>
      </c>
      <c r="D1110" s="15">
        <f t="shared" si="359"/>
        <v>1</v>
      </c>
      <c r="E1110" s="15">
        <f t="shared" si="339"/>
        <v>3</v>
      </c>
      <c r="F1110" s="16">
        <f>IF(AB1110&gt;0, VLOOKUP(B1110,Model!$A$40:$B$60, 2), 0)</f>
        <v>0</v>
      </c>
      <c r="G1110" s="15">
        <f>IF(AB1110&gt;0, VLOOKUP(B1110,Model!$A$39:$C$58, 3), 0)</f>
        <v>0</v>
      </c>
      <c r="H1110" s="15">
        <f t="shared" si="344"/>
        <v>0</v>
      </c>
      <c r="I1110" s="45">
        <f>Model!$B$21*EXP((-0.029*9.81*F1110)/(8.31*(273+J1110)))</f>
        <v>104500</v>
      </c>
      <c r="J1110" s="15">
        <f>IF(Model!$B$31="Summer",  IF(F1110&lt;=2000,  Model!$B$20-Model!$B$35*F1110/1000,  IF(F1110&lt;Model!$B$36,  Model!$B$33-6.5*F1110/1000,  Model!$B$38)),     IF(F1110&lt;=2000,  Model!$B$20-Model!$B$35*F1110/1000,  IF(F1110&lt;Model!$B$36,  Model!$B$33-5.4*F1110/1000,   Model!$B$38)))</f>
        <v>-20</v>
      </c>
      <c r="K1110" s="15">
        <f t="shared" si="377"/>
        <v>253</v>
      </c>
      <c r="L1110" s="45">
        <f>IF(AB1109-AA1109*(B1110-B1109)&gt;0, L1109-Y1109*(B1110-B1109)*3600-AD1110*Model!$B$16, 0)</f>
        <v>0</v>
      </c>
      <c r="M1110" s="56">
        <f t="shared" si="346"/>
        <v>0</v>
      </c>
      <c r="N1110" s="56">
        <f>Model!$B$13*I1110*K1110/(Model!$B$13*I1110-L1110*287*K1110)</f>
        <v>253</v>
      </c>
      <c r="O1110" s="56">
        <f t="shared" si="347"/>
        <v>253</v>
      </c>
      <c r="P1110" s="56">
        <f t="shared" si="348"/>
        <v>-10</v>
      </c>
      <c r="Q1110" s="62">
        <f t="shared" si="378"/>
        <v>2.2579999999999999E-2</v>
      </c>
      <c r="R1110" s="33">
        <f t="shared" si="379"/>
        <v>1.152E-5</v>
      </c>
      <c r="S1110" s="45">
        <f>0.37*Model!$B$10*(Q1110^2*(N1110-K1110)*I1110/(R1110*O1110^2))^0.33333*(N1110-K1110)</f>
        <v>0</v>
      </c>
      <c r="T1110" s="50">
        <f>Model!$B$32+(90-Model!$B$6)*SIN(RADIANS(-15*(E1110+6)))</f>
        <v>-31.619472402513487</v>
      </c>
      <c r="U1110" s="45">
        <f t="shared" si="351"/>
        <v>0</v>
      </c>
      <c r="V1110" s="50">
        <f t="shared" si="352"/>
        <v>99999</v>
      </c>
      <c r="W1110" s="45">
        <f t="shared" si="353"/>
        <v>0</v>
      </c>
      <c r="X1110" s="45">
        <f>0.3*W1110*Model!$B$9</f>
        <v>0</v>
      </c>
      <c r="Y1110" s="33">
        <f>(S1110-X1110)/Model!$B$11</f>
        <v>0</v>
      </c>
      <c r="Z1110" s="45" t="e">
        <f t="shared" si="354"/>
        <v>#DIV/0!</v>
      </c>
      <c r="AA1110" s="56">
        <f>Y1110/Model!$B$12*3600</f>
        <v>0</v>
      </c>
      <c r="AB1110" s="50">
        <f t="shared" si="360"/>
        <v>0</v>
      </c>
      <c r="AC1110" s="50">
        <f t="shared" si="380"/>
        <v>1800</v>
      </c>
      <c r="AD1110" s="15">
        <f>IF(AE1110=0, Model!$B$19, 0 )</f>
        <v>0</v>
      </c>
      <c r="AE1110" s="50">
        <f>IF(AE1109+AB1109-AB1110&lt;Model!$B$19*Model!$B$18, AE1109+AB1109-AB1110,  0)</f>
        <v>443.63457370611354</v>
      </c>
      <c r="AF1110" s="15">
        <f t="shared" si="356"/>
        <v>1</v>
      </c>
      <c r="AG1110" s="50">
        <f t="shared" si="357"/>
        <v>0</v>
      </c>
    </row>
    <row r="1111" spans="2:33" x14ac:dyDescent="0.25">
      <c r="B1111" s="13">
        <f t="shared" si="358"/>
        <v>1</v>
      </c>
      <c r="C1111" s="13">
        <f>B1111+Model!$B$4</f>
        <v>3</v>
      </c>
      <c r="D1111" s="13">
        <f t="shared" si="359"/>
        <v>1</v>
      </c>
      <c r="E1111" s="13">
        <f t="shared" si="339"/>
        <v>3</v>
      </c>
      <c r="F1111" s="14">
        <f>IF(AB1111&gt;0, VLOOKUP(B1111,Model!$A$40:$B$60, 2), 0)</f>
        <v>0</v>
      </c>
      <c r="G1111" s="13">
        <f>IF(AB1111&gt;0, VLOOKUP(B1111,Model!$A$39:$C$58, 3), 0)</f>
        <v>0</v>
      </c>
      <c r="H1111" s="13">
        <f t="shared" si="344"/>
        <v>0</v>
      </c>
      <c r="I1111" s="46">
        <f>Model!$B$21*EXP((-0.029*9.81*F1111)/(8.31*(273+J1111)))</f>
        <v>104500</v>
      </c>
      <c r="J1111" s="13">
        <f>IF(Model!$B$31="Summer",  IF(F1111&lt;=2000,  Model!$B$20-Model!$B$35*F1111/1000,  IF(F1111&lt;Model!$B$36,  Model!$B$33-6.5*F1111/1000,  Model!$B$38)),     IF(F1111&lt;=2000,  Model!$B$20-Model!$B$35*F1111/1000,  IF(F1111&lt;Model!$B$36,  Model!$B$33-5.4*F1111/1000,   Model!$B$38)))</f>
        <v>-20</v>
      </c>
      <c r="K1111" s="13">
        <f t="shared" si="377"/>
        <v>253</v>
      </c>
      <c r="L1111" s="46">
        <f>IF(AB1110-AA1110*(B1111-B1110)&gt;0, L1110-Y1110*(B1111-B1110)*3600-AD1111*Model!$B$16, 0)</f>
        <v>0</v>
      </c>
      <c r="M1111" s="57">
        <f t="shared" si="346"/>
        <v>0</v>
      </c>
      <c r="N1111" s="57">
        <f>Model!$B$13*I1111*K1111/(Model!$B$13*I1111-L1111*287*K1111)</f>
        <v>253</v>
      </c>
      <c r="O1111" s="57">
        <f t="shared" si="347"/>
        <v>253</v>
      </c>
      <c r="P1111" s="57">
        <f t="shared" si="348"/>
        <v>-10</v>
      </c>
      <c r="Q1111" s="63">
        <f t="shared" si="378"/>
        <v>2.2579999999999999E-2</v>
      </c>
      <c r="R1111" s="17">
        <f t="shared" si="379"/>
        <v>1.152E-5</v>
      </c>
      <c r="S1111" s="46">
        <f>0.37*Model!$B$10*(Q1111^2*(N1111-K1111)*I1111/(R1111*O1111^2))^0.33333*(N1111-K1111)</f>
        <v>0</v>
      </c>
      <c r="T1111" s="51">
        <f>Model!$B$32+(90-Model!$B$6)*SIN(RADIANS(-15*(E1111+6)))</f>
        <v>-31.619472402513487</v>
      </c>
      <c r="U1111" s="46">
        <f t="shared" si="351"/>
        <v>0</v>
      </c>
      <c r="V1111" s="51">
        <f t="shared" si="352"/>
        <v>99999</v>
      </c>
      <c r="W1111" s="46">
        <f t="shared" si="353"/>
        <v>0</v>
      </c>
      <c r="X1111" s="46">
        <f>0.3*W1111*Model!$B$9</f>
        <v>0</v>
      </c>
      <c r="Y1111" s="17">
        <f>(S1111-X1111)/Model!$B$11</f>
        <v>0</v>
      </c>
      <c r="Z1111" s="46" t="e">
        <f t="shared" si="354"/>
        <v>#DIV/0!</v>
      </c>
      <c r="AA1111" s="57">
        <f>Y1111/Model!$B$12*3600</f>
        <v>0</v>
      </c>
      <c r="AB1111" s="51">
        <f t="shared" si="360"/>
        <v>0</v>
      </c>
      <c r="AC1111" s="51">
        <f t="shared" si="380"/>
        <v>1800</v>
      </c>
      <c r="AD1111" s="13">
        <f>IF(AE1111=0, Model!$B$19, 0 )</f>
        <v>0</v>
      </c>
      <c r="AE1111" s="51">
        <f>IF(AE1110+AB1110-AB1111&lt;Model!$B$19*Model!$B$18, AE1110+AB1110-AB1111,  0)</f>
        <v>443.63457370611354</v>
      </c>
      <c r="AF1111" s="13">
        <f t="shared" si="356"/>
        <v>1</v>
      </c>
      <c r="AG1111" s="50">
        <f t="shared" si="357"/>
        <v>0</v>
      </c>
    </row>
    <row r="1112" spans="2:33" x14ac:dyDescent="0.25">
      <c r="B1112" s="15">
        <f t="shared" si="358"/>
        <v>1</v>
      </c>
      <c r="C1112" s="15">
        <f>B1112+Model!$B$4</f>
        <v>3</v>
      </c>
      <c r="D1112" s="15">
        <f t="shared" si="359"/>
        <v>1</v>
      </c>
      <c r="E1112" s="15">
        <f t="shared" si="339"/>
        <v>3</v>
      </c>
      <c r="F1112" s="16">
        <f>IF(AB1112&gt;0, VLOOKUP(B1112,Model!$A$40:$B$60, 2), 0)</f>
        <v>0</v>
      </c>
      <c r="G1112" s="15">
        <f>IF(AB1112&gt;0, VLOOKUP(B1112,Model!$A$39:$C$58, 3), 0)</f>
        <v>0</v>
      </c>
      <c r="H1112" s="15">
        <f t="shared" si="344"/>
        <v>0</v>
      </c>
      <c r="I1112" s="45">
        <f>Model!$B$21*EXP((-0.029*9.81*F1112)/(8.31*(273+J1112)))</f>
        <v>104500</v>
      </c>
      <c r="J1112" s="15">
        <f>IF(Model!$B$31="Summer",  IF(F1112&lt;=2000,  Model!$B$20-Model!$B$35*F1112/1000,  IF(F1112&lt;Model!$B$36,  Model!$B$33-6.5*F1112/1000,  Model!$B$38)),     IF(F1112&lt;=2000,  Model!$B$20-Model!$B$35*F1112/1000,  IF(F1112&lt;Model!$B$36,  Model!$B$33-5.4*F1112/1000,   Model!$B$38)))</f>
        <v>-20</v>
      </c>
      <c r="K1112" s="15">
        <f t="shared" si="377"/>
        <v>253</v>
      </c>
      <c r="L1112" s="45">
        <f>IF(AB1111-AA1111*(B1112-B1111)&gt;0, L1111-Y1111*(B1112-B1111)*3600-AD1112*Model!$B$16, 0)</f>
        <v>0</v>
      </c>
      <c r="M1112" s="56">
        <f t="shared" si="346"/>
        <v>0</v>
      </c>
      <c r="N1112" s="56">
        <f>Model!$B$13*I1112*K1112/(Model!$B$13*I1112-L1112*287*K1112)</f>
        <v>253</v>
      </c>
      <c r="O1112" s="56">
        <f t="shared" si="347"/>
        <v>253</v>
      </c>
      <c r="P1112" s="56">
        <f t="shared" si="348"/>
        <v>-10</v>
      </c>
      <c r="Q1112" s="62">
        <f t="shared" si="378"/>
        <v>2.2579999999999999E-2</v>
      </c>
      <c r="R1112" s="33">
        <f t="shared" si="379"/>
        <v>1.152E-5</v>
      </c>
      <c r="S1112" s="45">
        <f>0.37*Model!$B$10*(Q1112^2*(N1112-K1112)*I1112/(R1112*O1112^2))^0.33333*(N1112-K1112)</f>
        <v>0</v>
      </c>
      <c r="T1112" s="50">
        <f>Model!$B$32+(90-Model!$B$6)*SIN(RADIANS(-15*(E1112+6)))</f>
        <v>-31.619472402513487</v>
      </c>
      <c r="U1112" s="45">
        <f t="shared" si="351"/>
        <v>0</v>
      </c>
      <c r="V1112" s="50">
        <f t="shared" si="352"/>
        <v>99999</v>
      </c>
      <c r="W1112" s="45">
        <f t="shared" si="353"/>
        <v>0</v>
      </c>
      <c r="X1112" s="45">
        <f>0.3*W1112*Model!$B$9</f>
        <v>0</v>
      </c>
      <c r="Y1112" s="33">
        <f>(S1112-X1112)/Model!$B$11</f>
        <v>0</v>
      </c>
      <c r="Z1112" s="45" t="e">
        <f t="shared" si="354"/>
        <v>#DIV/0!</v>
      </c>
      <c r="AA1112" s="56">
        <f>Y1112/Model!$B$12*3600</f>
        <v>0</v>
      </c>
      <c r="AB1112" s="50">
        <f t="shared" si="360"/>
        <v>0</v>
      </c>
      <c r="AC1112" s="50">
        <f t="shared" si="380"/>
        <v>1800</v>
      </c>
      <c r="AD1112" s="15">
        <f>IF(AE1112=0, Model!$B$19, 0 )</f>
        <v>0</v>
      </c>
      <c r="AE1112" s="50">
        <f>IF(AE1111+AB1111-AB1112&lt;Model!$B$19*Model!$B$18, AE1111+AB1111-AB1112,  0)</f>
        <v>443.63457370611354</v>
      </c>
      <c r="AF1112" s="15">
        <f t="shared" si="356"/>
        <v>1</v>
      </c>
      <c r="AG1112" s="50">
        <f t="shared" si="357"/>
        <v>0</v>
      </c>
    </row>
    <row r="1113" spans="2:33" x14ac:dyDescent="0.25">
      <c r="B1113" s="13">
        <f t="shared" si="358"/>
        <v>1</v>
      </c>
      <c r="C1113" s="13">
        <f>B1113+Model!$B$4</f>
        <v>3</v>
      </c>
      <c r="D1113" s="13">
        <f t="shared" si="359"/>
        <v>1</v>
      </c>
      <c r="E1113" s="13">
        <f t="shared" si="339"/>
        <v>3</v>
      </c>
      <c r="F1113" s="14">
        <f>IF(AB1113&gt;0, VLOOKUP(B1113,Model!$A$40:$B$60, 2), 0)</f>
        <v>0</v>
      </c>
      <c r="G1113" s="13">
        <f>IF(AB1113&gt;0, VLOOKUP(B1113,Model!$A$39:$C$58, 3), 0)</f>
        <v>0</v>
      </c>
      <c r="H1113" s="13">
        <f t="shared" si="344"/>
        <v>0</v>
      </c>
      <c r="I1113" s="46">
        <f>Model!$B$21*EXP((-0.029*9.81*F1113)/(8.31*(273+J1113)))</f>
        <v>104500</v>
      </c>
      <c r="J1113" s="13">
        <f>IF(Model!$B$31="Summer",  IF(F1113&lt;=2000,  Model!$B$20-Model!$B$35*F1113/1000,  IF(F1113&lt;Model!$B$36,  Model!$B$33-6.5*F1113/1000,  Model!$B$38)),     IF(F1113&lt;=2000,  Model!$B$20-Model!$B$35*F1113/1000,  IF(F1113&lt;Model!$B$36,  Model!$B$33-5.4*F1113/1000,   Model!$B$38)))</f>
        <v>-20</v>
      </c>
      <c r="K1113" s="13">
        <f t="shared" si="377"/>
        <v>253</v>
      </c>
      <c r="L1113" s="46">
        <f>IF(AB1112-AA1112*(B1113-B1112)&gt;0, L1112-Y1112*(B1113-B1112)*3600-AD1113*Model!$B$16, 0)</f>
        <v>0</v>
      </c>
      <c r="M1113" s="57">
        <f t="shared" si="346"/>
        <v>0</v>
      </c>
      <c r="N1113" s="57">
        <f>Model!$B$13*I1113*K1113/(Model!$B$13*I1113-L1113*287*K1113)</f>
        <v>253</v>
      </c>
      <c r="O1113" s="57">
        <f t="shared" si="347"/>
        <v>253</v>
      </c>
      <c r="P1113" s="57">
        <f t="shared" si="348"/>
        <v>-10</v>
      </c>
      <c r="Q1113" s="63">
        <f t="shared" si="378"/>
        <v>2.2579999999999999E-2</v>
      </c>
      <c r="R1113" s="17">
        <f t="shared" si="379"/>
        <v>1.152E-5</v>
      </c>
      <c r="S1113" s="46">
        <f>0.37*Model!$B$10*(Q1113^2*(N1113-K1113)*I1113/(R1113*O1113^2))^0.33333*(N1113-K1113)</f>
        <v>0</v>
      </c>
      <c r="T1113" s="51">
        <f>Model!$B$32+(90-Model!$B$6)*SIN(RADIANS(-15*(E1113+6)))</f>
        <v>-31.619472402513487</v>
      </c>
      <c r="U1113" s="46">
        <f t="shared" si="351"/>
        <v>0</v>
      </c>
      <c r="V1113" s="51">
        <f t="shared" si="352"/>
        <v>99999</v>
      </c>
      <c r="W1113" s="46">
        <f t="shared" si="353"/>
        <v>0</v>
      </c>
      <c r="X1113" s="46">
        <f>0.3*W1113*Model!$B$9</f>
        <v>0</v>
      </c>
      <c r="Y1113" s="17">
        <f>(S1113-X1113)/Model!$B$11</f>
        <v>0</v>
      </c>
      <c r="Z1113" s="46" t="e">
        <f t="shared" si="354"/>
        <v>#DIV/0!</v>
      </c>
      <c r="AA1113" s="57">
        <f>Y1113/Model!$B$12*3600</f>
        <v>0</v>
      </c>
      <c r="AB1113" s="51">
        <f t="shared" si="360"/>
        <v>0</v>
      </c>
      <c r="AC1113" s="51">
        <f t="shared" si="380"/>
        <v>1800</v>
      </c>
      <c r="AD1113" s="13">
        <f>IF(AE1113=0, Model!$B$19, 0 )</f>
        <v>0</v>
      </c>
      <c r="AE1113" s="51">
        <f>IF(AE1112+AB1112-AB1113&lt;Model!$B$19*Model!$B$18, AE1112+AB1112-AB1113,  0)</f>
        <v>443.63457370611354</v>
      </c>
      <c r="AF1113" s="13">
        <f t="shared" si="356"/>
        <v>1</v>
      </c>
      <c r="AG1113" s="50">
        <f t="shared" si="357"/>
        <v>0</v>
      </c>
    </row>
    <row r="1114" spans="2:33" x14ac:dyDescent="0.25">
      <c r="B1114" s="15">
        <f t="shared" si="358"/>
        <v>1</v>
      </c>
      <c r="C1114" s="15">
        <f>B1114+Model!$B$4</f>
        <v>3</v>
      </c>
      <c r="D1114" s="15">
        <f t="shared" si="359"/>
        <v>1</v>
      </c>
      <c r="E1114" s="15">
        <f t="shared" si="339"/>
        <v>3</v>
      </c>
      <c r="F1114" s="16">
        <f>IF(AB1114&gt;0, VLOOKUP(B1114,Model!$A$40:$B$60, 2), 0)</f>
        <v>0</v>
      </c>
      <c r="G1114" s="15">
        <f>IF(AB1114&gt;0, VLOOKUP(B1114,Model!$A$39:$C$58, 3), 0)</f>
        <v>0</v>
      </c>
      <c r="H1114" s="15">
        <f t="shared" si="344"/>
        <v>0</v>
      </c>
      <c r="I1114" s="45">
        <f>Model!$B$21*EXP((-0.029*9.81*F1114)/(8.31*(273+J1114)))</f>
        <v>104500</v>
      </c>
      <c r="J1114" s="15">
        <f>IF(Model!$B$31="Summer",  IF(F1114&lt;=2000,  Model!$B$20-Model!$B$35*F1114/1000,  IF(F1114&lt;Model!$B$36,  Model!$B$33-6.5*F1114/1000,  Model!$B$38)),     IF(F1114&lt;=2000,  Model!$B$20-Model!$B$35*F1114/1000,  IF(F1114&lt;Model!$B$36,  Model!$B$33-5.4*F1114/1000,   Model!$B$38)))</f>
        <v>-20</v>
      </c>
      <c r="K1114" s="15">
        <f t="shared" si="377"/>
        <v>253</v>
      </c>
      <c r="L1114" s="45">
        <f>IF(AB1113-AA1113*(B1114-B1113)&gt;0, L1113-Y1113*(B1114-B1113)*3600-AD1114*Model!$B$16, 0)</f>
        <v>0</v>
      </c>
      <c r="M1114" s="56">
        <f t="shared" si="346"/>
        <v>0</v>
      </c>
      <c r="N1114" s="56">
        <f>Model!$B$13*I1114*K1114/(Model!$B$13*I1114-L1114*287*K1114)</f>
        <v>253</v>
      </c>
      <c r="O1114" s="56">
        <f t="shared" si="347"/>
        <v>253</v>
      </c>
      <c r="P1114" s="56">
        <f t="shared" si="348"/>
        <v>-10</v>
      </c>
      <c r="Q1114" s="62">
        <f t="shared" si="378"/>
        <v>2.2579999999999999E-2</v>
      </c>
      <c r="R1114" s="33">
        <f t="shared" si="379"/>
        <v>1.152E-5</v>
      </c>
      <c r="S1114" s="45">
        <f>0.37*Model!$B$10*(Q1114^2*(N1114-K1114)*I1114/(R1114*O1114^2))^0.33333*(N1114-K1114)</f>
        <v>0</v>
      </c>
      <c r="T1114" s="50">
        <f>Model!$B$32+(90-Model!$B$6)*SIN(RADIANS(-15*(E1114+6)))</f>
        <v>-31.619472402513487</v>
      </c>
      <c r="U1114" s="45">
        <f t="shared" si="351"/>
        <v>0</v>
      </c>
      <c r="V1114" s="50">
        <f t="shared" si="352"/>
        <v>99999</v>
      </c>
      <c r="W1114" s="45">
        <f t="shared" si="353"/>
        <v>0</v>
      </c>
      <c r="X1114" s="45">
        <f>0.3*W1114*Model!$B$9</f>
        <v>0</v>
      </c>
      <c r="Y1114" s="33">
        <f>(S1114-X1114)/Model!$B$11</f>
        <v>0</v>
      </c>
      <c r="Z1114" s="45" t="e">
        <f t="shared" si="354"/>
        <v>#DIV/0!</v>
      </c>
      <c r="AA1114" s="56">
        <f>Y1114/Model!$B$12*3600</f>
        <v>0</v>
      </c>
      <c r="AB1114" s="50">
        <f t="shared" si="360"/>
        <v>0</v>
      </c>
      <c r="AC1114" s="50">
        <f t="shared" si="380"/>
        <v>1800</v>
      </c>
      <c r="AD1114" s="15">
        <f>IF(AE1114=0, Model!$B$19, 0 )</f>
        <v>0</v>
      </c>
      <c r="AE1114" s="50">
        <f>IF(AE1113+AB1113-AB1114&lt;Model!$B$19*Model!$B$18, AE1113+AB1113-AB1114,  0)</f>
        <v>443.63457370611354</v>
      </c>
      <c r="AF1114" s="15">
        <f t="shared" si="356"/>
        <v>1</v>
      </c>
      <c r="AG1114" s="50">
        <f t="shared" si="357"/>
        <v>0</v>
      </c>
    </row>
    <row r="1115" spans="2:33" x14ac:dyDescent="0.25">
      <c r="B1115" s="13">
        <f t="shared" si="358"/>
        <v>1</v>
      </c>
      <c r="C1115" s="13">
        <f>B1115+Model!$B$4</f>
        <v>3</v>
      </c>
      <c r="D1115" s="13">
        <f t="shared" si="359"/>
        <v>1</v>
      </c>
      <c r="E1115" s="13">
        <f t="shared" si="339"/>
        <v>3</v>
      </c>
      <c r="F1115" s="14">
        <f>IF(AB1115&gt;0, VLOOKUP(B1115,Model!$A$40:$B$60, 2), 0)</f>
        <v>0</v>
      </c>
      <c r="G1115" s="13">
        <f>IF(AB1115&gt;0, VLOOKUP(B1115,Model!$A$39:$C$58, 3), 0)</f>
        <v>0</v>
      </c>
      <c r="H1115" s="13">
        <f t="shared" si="344"/>
        <v>0</v>
      </c>
      <c r="I1115" s="46">
        <f>Model!$B$21*EXP((-0.029*9.81*F1115)/(8.31*(273+J1115)))</f>
        <v>104500</v>
      </c>
      <c r="J1115" s="13">
        <f>IF(Model!$B$31="Summer",  IF(F1115&lt;=2000,  Model!$B$20-Model!$B$35*F1115/1000,  IF(F1115&lt;Model!$B$36,  Model!$B$33-6.5*F1115/1000,  Model!$B$38)),     IF(F1115&lt;=2000,  Model!$B$20-Model!$B$35*F1115/1000,  IF(F1115&lt;Model!$B$36,  Model!$B$33-5.4*F1115/1000,   Model!$B$38)))</f>
        <v>-20</v>
      </c>
      <c r="K1115" s="13">
        <f t="shared" si="377"/>
        <v>253</v>
      </c>
      <c r="L1115" s="46">
        <f>IF(AB1114-AA1114*(B1115-B1114)&gt;0, L1114-Y1114*(B1115-B1114)*3600-AD1115*Model!$B$16, 0)</f>
        <v>0</v>
      </c>
      <c r="M1115" s="57">
        <f t="shared" si="346"/>
        <v>0</v>
      </c>
      <c r="N1115" s="57">
        <f>Model!$B$13*I1115*K1115/(Model!$B$13*I1115-L1115*287*K1115)</f>
        <v>253</v>
      </c>
      <c r="O1115" s="57">
        <f t="shared" si="347"/>
        <v>253</v>
      </c>
      <c r="P1115" s="57">
        <f t="shared" si="348"/>
        <v>-10</v>
      </c>
      <c r="Q1115" s="63">
        <f t="shared" si="378"/>
        <v>2.2579999999999999E-2</v>
      </c>
      <c r="R1115" s="17">
        <f t="shared" si="379"/>
        <v>1.152E-5</v>
      </c>
      <c r="S1115" s="46">
        <f>0.37*Model!$B$10*(Q1115^2*(N1115-K1115)*I1115/(R1115*O1115^2))^0.33333*(N1115-K1115)</f>
        <v>0</v>
      </c>
      <c r="T1115" s="51">
        <f>Model!$B$32+(90-Model!$B$6)*SIN(RADIANS(-15*(E1115+6)))</f>
        <v>-31.619472402513487</v>
      </c>
      <c r="U1115" s="46">
        <f t="shared" si="351"/>
        <v>0</v>
      </c>
      <c r="V1115" s="51">
        <f t="shared" si="352"/>
        <v>99999</v>
      </c>
      <c r="W1115" s="46">
        <f t="shared" si="353"/>
        <v>0</v>
      </c>
      <c r="X1115" s="46">
        <f>0.3*W1115*Model!$B$9</f>
        <v>0</v>
      </c>
      <c r="Y1115" s="17">
        <f>(S1115-X1115)/Model!$B$11</f>
        <v>0</v>
      </c>
      <c r="Z1115" s="46" t="e">
        <f t="shared" si="354"/>
        <v>#DIV/0!</v>
      </c>
      <c r="AA1115" s="57">
        <f>Y1115/Model!$B$12*3600</f>
        <v>0</v>
      </c>
      <c r="AB1115" s="51">
        <f t="shared" si="360"/>
        <v>0</v>
      </c>
      <c r="AC1115" s="51">
        <f t="shared" si="380"/>
        <v>1800</v>
      </c>
      <c r="AD1115" s="13">
        <f>IF(AE1115=0, Model!$B$19, 0 )</f>
        <v>0</v>
      </c>
      <c r="AE1115" s="51">
        <f>IF(AE1114+AB1114-AB1115&lt;Model!$B$19*Model!$B$18, AE1114+AB1114-AB1115,  0)</f>
        <v>443.63457370611354</v>
      </c>
      <c r="AF1115" s="13">
        <f t="shared" si="356"/>
        <v>1</v>
      </c>
      <c r="AG1115" s="50">
        <f t="shared" si="357"/>
        <v>0</v>
      </c>
    </row>
    <row r="1116" spans="2:33" x14ac:dyDescent="0.25">
      <c r="B1116" s="15">
        <f t="shared" si="358"/>
        <v>1</v>
      </c>
      <c r="C1116" s="15">
        <f>B1116+Model!$B$4</f>
        <v>3</v>
      </c>
      <c r="D1116" s="15">
        <f t="shared" si="359"/>
        <v>1</v>
      </c>
      <c r="E1116" s="15">
        <f t="shared" si="339"/>
        <v>3</v>
      </c>
      <c r="F1116" s="16">
        <f>IF(AB1116&gt;0, VLOOKUP(B1116,Model!$A$40:$B$60, 2), 0)</f>
        <v>0</v>
      </c>
      <c r="G1116" s="15">
        <f>IF(AB1116&gt;0, VLOOKUP(B1116,Model!$A$39:$C$58, 3), 0)</f>
        <v>0</v>
      </c>
      <c r="H1116" s="15">
        <f t="shared" si="344"/>
        <v>0</v>
      </c>
      <c r="I1116" s="45">
        <f>Model!$B$21*EXP((-0.029*9.81*F1116)/(8.31*(273+J1116)))</f>
        <v>104500</v>
      </c>
      <c r="J1116" s="15">
        <f>IF(Model!$B$31="Summer",  IF(F1116&lt;=2000,  Model!$B$20-Model!$B$35*F1116/1000,  IF(F1116&lt;Model!$B$36,  Model!$B$33-6.5*F1116/1000,  Model!$B$38)),     IF(F1116&lt;=2000,  Model!$B$20-Model!$B$35*F1116/1000,  IF(F1116&lt;Model!$B$36,  Model!$B$33-5.4*F1116/1000,   Model!$B$38)))</f>
        <v>-20</v>
      </c>
      <c r="K1116" s="15">
        <f t="shared" si="377"/>
        <v>253</v>
      </c>
      <c r="L1116" s="45">
        <f>IF(AB1115-AA1115*(B1116-B1115)&gt;0, L1115-Y1115*(B1116-B1115)*3600-AD1116*Model!$B$16, 0)</f>
        <v>0</v>
      </c>
      <c r="M1116" s="56">
        <f t="shared" si="346"/>
        <v>0</v>
      </c>
      <c r="N1116" s="56">
        <f>Model!$B$13*I1116*K1116/(Model!$B$13*I1116-L1116*287*K1116)</f>
        <v>253</v>
      </c>
      <c r="O1116" s="56">
        <f t="shared" si="347"/>
        <v>253</v>
      </c>
      <c r="P1116" s="56">
        <f t="shared" si="348"/>
        <v>-10</v>
      </c>
      <c r="Q1116" s="62">
        <f t="shared" si="378"/>
        <v>2.2579999999999999E-2</v>
      </c>
      <c r="R1116" s="33">
        <f t="shared" si="379"/>
        <v>1.152E-5</v>
      </c>
      <c r="S1116" s="45">
        <f>0.37*Model!$B$10*(Q1116^2*(N1116-K1116)*I1116/(R1116*O1116^2))^0.33333*(N1116-K1116)</f>
        <v>0</v>
      </c>
      <c r="T1116" s="50">
        <f>Model!$B$32+(90-Model!$B$6)*SIN(RADIANS(-15*(E1116+6)))</f>
        <v>-31.619472402513487</v>
      </c>
      <c r="U1116" s="45">
        <f t="shared" si="351"/>
        <v>0</v>
      </c>
      <c r="V1116" s="50">
        <f t="shared" si="352"/>
        <v>99999</v>
      </c>
      <c r="W1116" s="45">
        <f t="shared" si="353"/>
        <v>0</v>
      </c>
      <c r="X1116" s="45">
        <f>0.3*W1116*Model!$B$9</f>
        <v>0</v>
      </c>
      <c r="Y1116" s="33">
        <f>(S1116-X1116)/Model!$B$11</f>
        <v>0</v>
      </c>
      <c r="Z1116" s="45" t="e">
        <f t="shared" si="354"/>
        <v>#DIV/0!</v>
      </c>
      <c r="AA1116" s="56">
        <f>Y1116/Model!$B$12*3600</f>
        <v>0</v>
      </c>
      <c r="AB1116" s="50">
        <f t="shared" si="360"/>
        <v>0</v>
      </c>
      <c r="AC1116" s="50">
        <f t="shared" si="380"/>
        <v>1800</v>
      </c>
      <c r="AD1116" s="15">
        <f>IF(AE1116=0, Model!$B$19, 0 )</f>
        <v>0</v>
      </c>
      <c r="AE1116" s="50">
        <f>IF(AE1115+AB1115-AB1116&lt;Model!$B$19*Model!$B$18, AE1115+AB1115-AB1116,  0)</f>
        <v>443.63457370611354</v>
      </c>
      <c r="AF1116" s="15">
        <f t="shared" si="356"/>
        <v>1</v>
      </c>
      <c r="AG1116" s="50">
        <f t="shared" si="357"/>
        <v>0</v>
      </c>
    </row>
    <row r="1117" spans="2:33" x14ac:dyDescent="0.25">
      <c r="B1117" s="13">
        <f t="shared" si="358"/>
        <v>1</v>
      </c>
      <c r="C1117" s="13">
        <f>B1117+Model!$B$4</f>
        <v>3</v>
      </c>
      <c r="D1117" s="13">
        <f t="shared" si="359"/>
        <v>1</v>
      </c>
      <c r="E1117" s="13">
        <f t="shared" si="339"/>
        <v>3</v>
      </c>
      <c r="F1117" s="14">
        <f>IF(AB1117&gt;0, VLOOKUP(B1117,Model!$A$40:$B$60, 2), 0)</f>
        <v>0</v>
      </c>
      <c r="G1117" s="13">
        <f>IF(AB1117&gt;0, VLOOKUP(B1117,Model!$A$39:$C$58, 3), 0)</f>
        <v>0</v>
      </c>
      <c r="H1117" s="13">
        <f t="shared" si="344"/>
        <v>0</v>
      </c>
      <c r="I1117" s="46">
        <f>Model!$B$21*EXP((-0.029*9.81*F1117)/(8.31*(273+J1117)))</f>
        <v>104500</v>
      </c>
      <c r="J1117" s="13">
        <f>IF(Model!$B$31="Summer",  IF(F1117&lt;=2000,  Model!$B$20-Model!$B$35*F1117/1000,  IF(F1117&lt;Model!$B$36,  Model!$B$33-6.5*F1117/1000,  Model!$B$38)),     IF(F1117&lt;=2000,  Model!$B$20-Model!$B$35*F1117/1000,  IF(F1117&lt;Model!$B$36,  Model!$B$33-5.4*F1117/1000,   Model!$B$38)))</f>
        <v>-20</v>
      </c>
      <c r="K1117" s="13">
        <f t="shared" si="377"/>
        <v>253</v>
      </c>
      <c r="L1117" s="46">
        <f>IF(AB1116-AA1116*(B1117-B1116)&gt;0, L1116-Y1116*(B1117-B1116)*3600-AD1117*Model!$B$16, 0)</f>
        <v>0</v>
      </c>
      <c r="M1117" s="57">
        <f t="shared" si="346"/>
        <v>0</v>
      </c>
      <c r="N1117" s="57">
        <f>Model!$B$13*I1117*K1117/(Model!$B$13*I1117-L1117*287*K1117)</f>
        <v>253</v>
      </c>
      <c r="O1117" s="57">
        <f t="shared" si="347"/>
        <v>253</v>
      </c>
      <c r="P1117" s="57">
        <f t="shared" si="348"/>
        <v>-10</v>
      </c>
      <c r="Q1117" s="63">
        <f t="shared" si="378"/>
        <v>2.2579999999999999E-2</v>
      </c>
      <c r="R1117" s="17">
        <f t="shared" si="379"/>
        <v>1.152E-5</v>
      </c>
      <c r="S1117" s="46">
        <f>0.37*Model!$B$10*(Q1117^2*(N1117-K1117)*I1117/(R1117*O1117^2))^0.33333*(N1117-K1117)</f>
        <v>0</v>
      </c>
      <c r="T1117" s="51">
        <f>Model!$B$32+(90-Model!$B$6)*SIN(RADIANS(-15*(E1117+6)))</f>
        <v>-31.619472402513487</v>
      </c>
      <c r="U1117" s="46">
        <f t="shared" si="351"/>
        <v>0</v>
      </c>
      <c r="V1117" s="51">
        <f t="shared" si="352"/>
        <v>99999</v>
      </c>
      <c r="W1117" s="46">
        <f t="shared" si="353"/>
        <v>0</v>
      </c>
      <c r="X1117" s="46">
        <f>0.3*W1117*Model!$B$9</f>
        <v>0</v>
      </c>
      <c r="Y1117" s="17">
        <f>(S1117-X1117)/Model!$B$11</f>
        <v>0</v>
      </c>
      <c r="Z1117" s="46" t="e">
        <f t="shared" si="354"/>
        <v>#DIV/0!</v>
      </c>
      <c r="AA1117" s="57">
        <f>Y1117/Model!$B$12*3600</f>
        <v>0</v>
      </c>
      <c r="AB1117" s="51">
        <f t="shared" si="360"/>
        <v>0</v>
      </c>
      <c r="AC1117" s="51">
        <f t="shared" si="380"/>
        <v>1800</v>
      </c>
      <c r="AD1117" s="13">
        <f>IF(AE1117=0, Model!$B$19, 0 )</f>
        <v>0</v>
      </c>
      <c r="AE1117" s="51">
        <f>IF(AE1116+AB1116-AB1117&lt;Model!$B$19*Model!$B$18, AE1116+AB1116-AB1117,  0)</f>
        <v>443.63457370611354</v>
      </c>
      <c r="AF1117" s="13">
        <f t="shared" si="356"/>
        <v>1</v>
      </c>
      <c r="AG1117" s="50">
        <f t="shared" si="357"/>
        <v>0</v>
      </c>
    </row>
    <row r="1118" spans="2:33" x14ac:dyDescent="0.25">
      <c r="B1118" s="15">
        <f t="shared" si="358"/>
        <v>1</v>
      </c>
      <c r="C1118" s="15">
        <f>B1118+Model!$B$4</f>
        <v>3</v>
      </c>
      <c r="D1118" s="15">
        <f t="shared" si="359"/>
        <v>1</v>
      </c>
      <c r="E1118" s="15">
        <f t="shared" si="339"/>
        <v>3</v>
      </c>
      <c r="F1118" s="16">
        <f>IF(AB1118&gt;0, VLOOKUP(B1118,Model!$A$40:$B$60, 2), 0)</f>
        <v>0</v>
      </c>
      <c r="G1118" s="15">
        <f>IF(AB1118&gt;0, VLOOKUP(B1118,Model!$A$39:$C$58, 3), 0)</f>
        <v>0</v>
      </c>
      <c r="H1118" s="15">
        <f t="shared" si="344"/>
        <v>0</v>
      </c>
      <c r="I1118" s="45">
        <f>Model!$B$21*EXP((-0.029*9.81*F1118)/(8.31*(273+J1118)))</f>
        <v>104500</v>
      </c>
      <c r="J1118" s="15">
        <f>IF(Model!$B$31="Summer",  IF(F1118&lt;=2000,  Model!$B$20-Model!$B$35*F1118/1000,  IF(F1118&lt;Model!$B$36,  Model!$B$33-6.5*F1118/1000,  Model!$B$38)),     IF(F1118&lt;=2000,  Model!$B$20-Model!$B$35*F1118/1000,  IF(F1118&lt;Model!$B$36,  Model!$B$33-5.4*F1118/1000,   Model!$B$38)))</f>
        <v>-20</v>
      </c>
      <c r="K1118" s="15">
        <f t="shared" si="377"/>
        <v>253</v>
      </c>
      <c r="L1118" s="45">
        <f>IF(AB1117-AA1117*(B1118-B1117)&gt;0, L1117-Y1117*(B1118-B1117)*3600-AD1118*Model!$B$16, 0)</f>
        <v>0</v>
      </c>
      <c r="M1118" s="56">
        <f t="shared" si="346"/>
        <v>0</v>
      </c>
      <c r="N1118" s="56">
        <f>Model!$B$13*I1118*K1118/(Model!$B$13*I1118-L1118*287*K1118)</f>
        <v>253</v>
      </c>
      <c r="O1118" s="56">
        <f t="shared" si="347"/>
        <v>253</v>
      </c>
      <c r="P1118" s="56">
        <f t="shared" si="348"/>
        <v>-10</v>
      </c>
      <c r="Q1118" s="62">
        <f t="shared" si="378"/>
        <v>2.2579999999999999E-2</v>
      </c>
      <c r="R1118" s="33">
        <f t="shared" si="379"/>
        <v>1.152E-5</v>
      </c>
      <c r="S1118" s="45">
        <f>0.37*Model!$B$10*(Q1118^2*(N1118-K1118)*I1118/(R1118*O1118^2))^0.33333*(N1118-K1118)</f>
        <v>0</v>
      </c>
      <c r="T1118" s="50">
        <f>Model!$B$32+(90-Model!$B$6)*SIN(RADIANS(-15*(E1118+6)))</f>
        <v>-31.619472402513487</v>
      </c>
      <c r="U1118" s="45">
        <f t="shared" si="351"/>
        <v>0</v>
      </c>
      <c r="V1118" s="50">
        <f t="shared" si="352"/>
        <v>99999</v>
      </c>
      <c r="W1118" s="45">
        <f t="shared" si="353"/>
        <v>0</v>
      </c>
      <c r="X1118" s="45">
        <f>0.3*W1118*Model!$B$9</f>
        <v>0</v>
      </c>
      <c r="Y1118" s="33">
        <f>(S1118-X1118)/Model!$B$11</f>
        <v>0</v>
      </c>
      <c r="Z1118" s="45" t="e">
        <f t="shared" si="354"/>
        <v>#DIV/0!</v>
      </c>
      <c r="AA1118" s="56">
        <f>Y1118/Model!$B$12*3600</f>
        <v>0</v>
      </c>
      <c r="AB1118" s="50">
        <f t="shared" si="360"/>
        <v>0</v>
      </c>
      <c r="AC1118" s="50">
        <f t="shared" si="380"/>
        <v>1800</v>
      </c>
      <c r="AD1118" s="15">
        <f>IF(AE1118=0, Model!$B$19, 0 )</f>
        <v>0</v>
      </c>
      <c r="AE1118" s="50">
        <f>IF(AE1117+AB1117-AB1118&lt;Model!$B$19*Model!$B$18, AE1117+AB1117-AB1118,  0)</f>
        <v>443.63457370611354</v>
      </c>
      <c r="AF1118" s="15">
        <f t="shared" si="356"/>
        <v>1</v>
      </c>
      <c r="AG1118" s="50">
        <f t="shared" si="357"/>
        <v>0</v>
      </c>
    </row>
    <row r="1119" spans="2:33" x14ac:dyDescent="0.25">
      <c r="B1119" s="13">
        <f t="shared" si="358"/>
        <v>1</v>
      </c>
      <c r="C1119" s="13">
        <f>B1119+Model!$B$4</f>
        <v>3</v>
      </c>
      <c r="D1119" s="13">
        <f t="shared" si="359"/>
        <v>1</v>
      </c>
      <c r="E1119" s="13">
        <f t="shared" si="339"/>
        <v>3</v>
      </c>
      <c r="F1119" s="14">
        <f>IF(AB1119&gt;0, VLOOKUP(B1119,Model!$A$40:$B$60, 2), 0)</f>
        <v>0</v>
      </c>
      <c r="G1119" s="13">
        <f>IF(AB1119&gt;0, VLOOKUP(B1119,Model!$A$39:$C$58, 3), 0)</f>
        <v>0</v>
      </c>
      <c r="H1119" s="13">
        <f t="shared" si="344"/>
        <v>0</v>
      </c>
      <c r="I1119" s="46">
        <f>Model!$B$21*EXP((-0.029*9.81*F1119)/(8.31*(273+J1119)))</f>
        <v>104500</v>
      </c>
      <c r="J1119" s="13">
        <f>IF(Model!$B$31="Summer",  IF(F1119&lt;=2000,  Model!$B$20-Model!$B$35*F1119/1000,  IF(F1119&lt;Model!$B$36,  Model!$B$33-6.5*F1119/1000,  Model!$B$38)),     IF(F1119&lt;=2000,  Model!$B$20-Model!$B$35*F1119/1000,  IF(F1119&lt;Model!$B$36,  Model!$B$33-5.4*F1119/1000,   Model!$B$38)))</f>
        <v>-20</v>
      </c>
      <c r="K1119" s="13">
        <f t="shared" si="377"/>
        <v>253</v>
      </c>
      <c r="L1119" s="46">
        <f>IF(AB1118-AA1118*(B1119-B1118)&gt;0, L1118-Y1118*(B1119-B1118)*3600-AD1119*Model!$B$16, 0)</f>
        <v>0</v>
      </c>
      <c r="M1119" s="57">
        <f t="shared" si="346"/>
        <v>0</v>
      </c>
      <c r="N1119" s="57">
        <f>Model!$B$13*I1119*K1119/(Model!$B$13*I1119-L1119*287*K1119)</f>
        <v>253</v>
      </c>
      <c r="O1119" s="57">
        <f t="shared" si="347"/>
        <v>253</v>
      </c>
      <c r="P1119" s="57">
        <f t="shared" si="348"/>
        <v>-10</v>
      </c>
      <c r="Q1119" s="63">
        <f t="shared" si="378"/>
        <v>2.2579999999999999E-2</v>
      </c>
      <c r="R1119" s="17">
        <f t="shared" si="379"/>
        <v>1.152E-5</v>
      </c>
      <c r="S1119" s="46">
        <f>0.37*Model!$B$10*(Q1119^2*(N1119-K1119)*I1119/(R1119*O1119^2))^0.33333*(N1119-K1119)</f>
        <v>0</v>
      </c>
      <c r="T1119" s="51">
        <f>Model!$B$32+(90-Model!$B$6)*SIN(RADIANS(-15*(E1119+6)))</f>
        <v>-31.619472402513487</v>
      </c>
      <c r="U1119" s="46">
        <f t="shared" si="351"/>
        <v>0</v>
      </c>
      <c r="V1119" s="51">
        <f t="shared" si="352"/>
        <v>99999</v>
      </c>
      <c r="W1119" s="46">
        <f t="shared" si="353"/>
        <v>0</v>
      </c>
      <c r="X1119" s="46">
        <f>0.3*W1119*Model!$B$9</f>
        <v>0</v>
      </c>
      <c r="Y1119" s="17">
        <f>(S1119-X1119)/Model!$B$11</f>
        <v>0</v>
      </c>
      <c r="Z1119" s="46" t="e">
        <f t="shared" si="354"/>
        <v>#DIV/0!</v>
      </c>
      <c r="AA1119" s="57">
        <f>Y1119/Model!$B$12*3600</f>
        <v>0</v>
      </c>
      <c r="AB1119" s="51">
        <f t="shared" si="360"/>
        <v>0</v>
      </c>
      <c r="AC1119" s="51">
        <f t="shared" si="380"/>
        <v>1800</v>
      </c>
      <c r="AD1119" s="13">
        <f>IF(AE1119=0, Model!$B$19, 0 )</f>
        <v>0</v>
      </c>
      <c r="AE1119" s="51">
        <f>IF(AE1118+AB1118-AB1119&lt;Model!$B$19*Model!$B$18, AE1118+AB1118-AB1119,  0)</f>
        <v>443.63457370611354</v>
      </c>
      <c r="AF1119" s="13">
        <f t="shared" si="356"/>
        <v>1</v>
      </c>
      <c r="AG1119" s="50">
        <f t="shared" si="357"/>
        <v>0</v>
      </c>
    </row>
    <row r="1120" spans="2:33" x14ac:dyDescent="0.25">
      <c r="B1120" s="15">
        <f t="shared" si="358"/>
        <v>1</v>
      </c>
      <c r="C1120" s="15">
        <f>B1120+Model!$B$4</f>
        <v>3</v>
      </c>
      <c r="D1120" s="15">
        <f t="shared" si="359"/>
        <v>1</v>
      </c>
      <c r="E1120" s="15">
        <f t="shared" si="339"/>
        <v>3</v>
      </c>
      <c r="F1120" s="16">
        <f>IF(AB1120&gt;0, VLOOKUP(B1120,Model!$A$40:$B$60, 2), 0)</f>
        <v>0</v>
      </c>
      <c r="G1120" s="15">
        <f>IF(AB1120&gt;0, VLOOKUP(B1120,Model!$A$39:$C$58, 3), 0)</f>
        <v>0</v>
      </c>
      <c r="H1120" s="15">
        <f t="shared" si="344"/>
        <v>0</v>
      </c>
      <c r="I1120" s="45">
        <f>Model!$B$21*EXP((-0.029*9.81*F1120)/(8.31*(273+J1120)))</f>
        <v>104500</v>
      </c>
      <c r="J1120" s="15">
        <f>IF(Model!$B$31="Summer",  IF(F1120&lt;=2000,  Model!$B$20-Model!$B$35*F1120/1000,  IF(F1120&lt;Model!$B$36,  Model!$B$33-6.5*F1120/1000,  Model!$B$38)),     IF(F1120&lt;=2000,  Model!$B$20-Model!$B$35*F1120/1000,  IF(F1120&lt;Model!$B$36,  Model!$B$33-5.4*F1120/1000,   Model!$B$38)))</f>
        <v>-20</v>
      </c>
      <c r="K1120" s="15">
        <f t="shared" si="377"/>
        <v>253</v>
      </c>
      <c r="L1120" s="45">
        <f>IF(AB1119-AA1119*(B1120-B1119)&gt;0, L1119-Y1119*(B1120-B1119)*3600-AD1120*Model!$B$16, 0)</f>
        <v>0</v>
      </c>
      <c r="M1120" s="56">
        <f t="shared" si="346"/>
        <v>0</v>
      </c>
      <c r="N1120" s="56">
        <f>Model!$B$13*I1120*K1120/(Model!$B$13*I1120-L1120*287*K1120)</f>
        <v>253</v>
      </c>
      <c r="O1120" s="56">
        <f t="shared" si="347"/>
        <v>253</v>
      </c>
      <c r="P1120" s="56">
        <f t="shared" si="348"/>
        <v>-10</v>
      </c>
      <c r="Q1120" s="62">
        <f t="shared" si="378"/>
        <v>2.2579999999999999E-2</v>
      </c>
      <c r="R1120" s="33">
        <f t="shared" si="379"/>
        <v>1.152E-5</v>
      </c>
      <c r="S1120" s="45">
        <f>0.37*Model!$B$10*(Q1120^2*(N1120-K1120)*I1120/(R1120*O1120^2))^0.33333*(N1120-K1120)</f>
        <v>0</v>
      </c>
      <c r="T1120" s="50">
        <f>Model!$B$32+(90-Model!$B$6)*SIN(RADIANS(-15*(E1120+6)))</f>
        <v>-31.619472402513487</v>
      </c>
      <c r="U1120" s="45">
        <f t="shared" si="351"/>
        <v>0</v>
      </c>
      <c r="V1120" s="50">
        <f t="shared" si="352"/>
        <v>99999</v>
      </c>
      <c r="W1120" s="45">
        <f t="shared" si="353"/>
        <v>0</v>
      </c>
      <c r="X1120" s="45">
        <f>0.3*W1120*Model!$B$9</f>
        <v>0</v>
      </c>
      <c r="Y1120" s="33">
        <f>(S1120-X1120)/Model!$B$11</f>
        <v>0</v>
      </c>
      <c r="Z1120" s="45" t="e">
        <f t="shared" si="354"/>
        <v>#DIV/0!</v>
      </c>
      <c r="AA1120" s="56">
        <f>Y1120/Model!$B$12*3600</f>
        <v>0</v>
      </c>
      <c r="AB1120" s="50">
        <f t="shared" si="360"/>
        <v>0</v>
      </c>
      <c r="AC1120" s="50">
        <f t="shared" si="380"/>
        <v>1800</v>
      </c>
      <c r="AD1120" s="15">
        <f>IF(AE1120=0, Model!$B$19, 0 )</f>
        <v>0</v>
      </c>
      <c r="AE1120" s="50">
        <f>IF(AE1119+AB1119-AB1120&lt;Model!$B$19*Model!$B$18, AE1119+AB1119-AB1120,  0)</f>
        <v>443.63457370611354</v>
      </c>
      <c r="AF1120" s="15">
        <f t="shared" si="356"/>
        <v>1</v>
      </c>
      <c r="AG1120" s="50">
        <f t="shared" si="357"/>
        <v>0</v>
      </c>
    </row>
    <row r="1121" spans="2:33" x14ac:dyDescent="0.25">
      <c r="B1121" s="13">
        <f t="shared" si="358"/>
        <v>1</v>
      </c>
      <c r="C1121" s="13">
        <f>B1121+Model!$B$4</f>
        <v>3</v>
      </c>
      <c r="D1121" s="13">
        <f t="shared" si="359"/>
        <v>1</v>
      </c>
      <c r="E1121" s="13">
        <f t="shared" si="339"/>
        <v>3</v>
      </c>
      <c r="F1121" s="14">
        <f>IF(AB1121&gt;0, VLOOKUP(B1121,Model!$A$40:$B$60, 2), 0)</f>
        <v>0</v>
      </c>
      <c r="G1121" s="13">
        <f>IF(AB1121&gt;0, VLOOKUP(B1121,Model!$A$39:$C$58, 3), 0)</f>
        <v>0</v>
      </c>
      <c r="H1121" s="13">
        <f t="shared" si="344"/>
        <v>0</v>
      </c>
      <c r="I1121" s="46">
        <f>Model!$B$21*EXP((-0.029*9.81*F1121)/(8.31*(273+J1121)))</f>
        <v>104500</v>
      </c>
      <c r="J1121" s="13">
        <f>IF(Model!$B$31="Summer",  IF(F1121&lt;=2000,  Model!$B$20-Model!$B$35*F1121/1000,  IF(F1121&lt;Model!$B$36,  Model!$B$33-6.5*F1121/1000,  Model!$B$38)),     IF(F1121&lt;=2000,  Model!$B$20-Model!$B$35*F1121/1000,  IF(F1121&lt;Model!$B$36,  Model!$B$33-5.4*F1121/1000,   Model!$B$38)))</f>
        <v>-20</v>
      </c>
      <c r="K1121" s="13">
        <f t="shared" si="377"/>
        <v>253</v>
      </c>
      <c r="L1121" s="46">
        <f>IF(AB1120-AA1120*(B1121-B1120)&gt;0, L1120-Y1120*(B1121-B1120)*3600-AD1121*Model!$B$16, 0)</f>
        <v>0</v>
      </c>
      <c r="M1121" s="57">
        <f t="shared" si="346"/>
        <v>0</v>
      </c>
      <c r="N1121" s="57">
        <f>Model!$B$13*I1121*K1121/(Model!$B$13*I1121-L1121*287*K1121)</f>
        <v>253</v>
      </c>
      <c r="O1121" s="57">
        <f t="shared" si="347"/>
        <v>253</v>
      </c>
      <c r="P1121" s="57">
        <f t="shared" si="348"/>
        <v>-10</v>
      </c>
      <c r="Q1121" s="63">
        <f t="shared" si="378"/>
        <v>2.2579999999999999E-2</v>
      </c>
      <c r="R1121" s="17">
        <f t="shared" si="379"/>
        <v>1.152E-5</v>
      </c>
      <c r="S1121" s="46">
        <f>0.37*Model!$B$10*(Q1121^2*(N1121-K1121)*I1121/(R1121*O1121^2))^0.33333*(N1121-K1121)</f>
        <v>0</v>
      </c>
      <c r="T1121" s="51">
        <f>Model!$B$32+(90-Model!$B$6)*SIN(RADIANS(-15*(E1121+6)))</f>
        <v>-31.619472402513487</v>
      </c>
      <c r="U1121" s="46">
        <f t="shared" si="351"/>
        <v>0</v>
      </c>
      <c r="V1121" s="51">
        <f t="shared" si="352"/>
        <v>99999</v>
      </c>
      <c r="W1121" s="46">
        <f t="shared" si="353"/>
        <v>0</v>
      </c>
      <c r="X1121" s="46">
        <f>0.3*W1121*Model!$B$9</f>
        <v>0</v>
      </c>
      <c r="Y1121" s="17">
        <f>(S1121-X1121)/Model!$B$11</f>
        <v>0</v>
      </c>
      <c r="Z1121" s="46" t="e">
        <f t="shared" si="354"/>
        <v>#DIV/0!</v>
      </c>
      <c r="AA1121" s="57">
        <f>Y1121/Model!$B$12*3600</f>
        <v>0</v>
      </c>
      <c r="AB1121" s="51">
        <f t="shared" si="360"/>
        <v>0</v>
      </c>
      <c r="AC1121" s="51">
        <f t="shared" si="380"/>
        <v>1800</v>
      </c>
      <c r="AD1121" s="13">
        <f>IF(AE1121=0, Model!$B$19, 0 )</f>
        <v>0</v>
      </c>
      <c r="AE1121" s="51">
        <f>IF(AE1120+AB1120-AB1121&lt;Model!$B$19*Model!$B$18, AE1120+AB1120-AB1121,  0)</f>
        <v>443.63457370611354</v>
      </c>
      <c r="AF1121" s="13">
        <f t="shared" si="356"/>
        <v>1</v>
      </c>
      <c r="AG1121" s="50">
        <f t="shared" si="357"/>
        <v>0</v>
      </c>
    </row>
    <row r="1122" spans="2:33" x14ac:dyDescent="0.25">
      <c r="B1122" s="15">
        <f t="shared" si="358"/>
        <v>1</v>
      </c>
      <c r="C1122" s="15">
        <f>B1122+Model!$B$4</f>
        <v>3</v>
      </c>
      <c r="D1122" s="15">
        <f t="shared" si="359"/>
        <v>1</v>
      </c>
      <c r="E1122" s="15">
        <f t="shared" si="339"/>
        <v>3</v>
      </c>
      <c r="F1122" s="16">
        <f>IF(AB1122&gt;0, VLOOKUP(B1122,Model!$A$40:$B$60, 2), 0)</f>
        <v>0</v>
      </c>
      <c r="G1122" s="15">
        <f>IF(AB1122&gt;0, VLOOKUP(B1122,Model!$A$39:$C$58, 3), 0)</f>
        <v>0</v>
      </c>
      <c r="H1122" s="15">
        <f t="shared" si="344"/>
        <v>0</v>
      </c>
      <c r="I1122" s="45">
        <f>Model!$B$21*EXP((-0.029*9.81*F1122)/(8.31*(273+J1122)))</f>
        <v>104500</v>
      </c>
      <c r="J1122" s="15">
        <f>IF(Model!$B$31="Summer",  IF(F1122&lt;=2000,  Model!$B$20-Model!$B$35*F1122/1000,  IF(F1122&lt;Model!$B$36,  Model!$B$33-6.5*F1122/1000,  Model!$B$38)),     IF(F1122&lt;=2000,  Model!$B$20-Model!$B$35*F1122/1000,  IF(F1122&lt;Model!$B$36,  Model!$B$33-5.4*F1122/1000,   Model!$B$38)))</f>
        <v>-20</v>
      </c>
      <c r="K1122" s="15">
        <f t="shared" si="377"/>
        <v>253</v>
      </c>
      <c r="L1122" s="45">
        <f>IF(AB1121-AA1121*(B1122-B1121)&gt;0, L1121-Y1121*(B1122-B1121)*3600-AD1122*Model!$B$16, 0)</f>
        <v>0</v>
      </c>
      <c r="M1122" s="56">
        <f t="shared" si="346"/>
        <v>0</v>
      </c>
      <c r="N1122" s="56">
        <f>Model!$B$13*I1122*K1122/(Model!$B$13*I1122-L1122*287*K1122)</f>
        <v>253</v>
      </c>
      <c r="O1122" s="56">
        <f t="shared" si="347"/>
        <v>253</v>
      </c>
      <c r="P1122" s="56">
        <f t="shared" si="348"/>
        <v>-10</v>
      </c>
      <c r="Q1122" s="62">
        <f t="shared" si="378"/>
        <v>2.2579999999999999E-2</v>
      </c>
      <c r="R1122" s="33">
        <f t="shared" si="379"/>
        <v>1.152E-5</v>
      </c>
      <c r="S1122" s="45">
        <f>0.37*Model!$B$10*(Q1122^2*(N1122-K1122)*I1122/(R1122*O1122^2))^0.33333*(N1122-K1122)</f>
        <v>0</v>
      </c>
      <c r="T1122" s="50">
        <f>Model!$B$32+(90-Model!$B$6)*SIN(RADIANS(-15*(E1122+6)))</f>
        <v>-31.619472402513487</v>
      </c>
      <c r="U1122" s="45">
        <f t="shared" si="351"/>
        <v>0</v>
      </c>
      <c r="V1122" s="50">
        <f t="shared" si="352"/>
        <v>99999</v>
      </c>
      <c r="W1122" s="45">
        <f t="shared" si="353"/>
        <v>0</v>
      </c>
      <c r="X1122" s="45">
        <f>0.3*W1122*Model!$B$9</f>
        <v>0</v>
      </c>
      <c r="Y1122" s="33">
        <f>(S1122-X1122)/Model!$B$11</f>
        <v>0</v>
      </c>
      <c r="Z1122" s="45" t="e">
        <f t="shared" si="354"/>
        <v>#DIV/0!</v>
      </c>
      <c r="AA1122" s="56">
        <f>Y1122/Model!$B$12*3600</f>
        <v>0</v>
      </c>
      <c r="AB1122" s="50">
        <f t="shared" si="360"/>
        <v>0</v>
      </c>
      <c r="AC1122" s="50">
        <f t="shared" si="380"/>
        <v>1800</v>
      </c>
      <c r="AD1122" s="15">
        <f>IF(AE1122=0, Model!$B$19, 0 )</f>
        <v>0</v>
      </c>
      <c r="AE1122" s="50">
        <f>IF(AE1121+AB1121-AB1122&lt;Model!$B$19*Model!$B$18, AE1121+AB1121-AB1122,  0)</f>
        <v>443.63457370611354</v>
      </c>
      <c r="AF1122" s="15">
        <f t="shared" si="356"/>
        <v>1</v>
      </c>
      <c r="AG1122" s="50">
        <f t="shared" si="357"/>
        <v>0</v>
      </c>
    </row>
    <row r="1123" spans="2:33" x14ac:dyDescent="0.25">
      <c r="B1123" s="13">
        <f t="shared" si="358"/>
        <v>1</v>
      </c>
      <c r="C1123" s="13">
        <f>B1123+Model!$B$4</f>
        <v>3</v>
      </c>
      <c r="D1123" s="13">
        <f t="shared" si="359"/>
        <v>1</v>
      </c>
      <c r="E1123" s="13">
        <f t="shared" ref="E1123:E1186" si="381">C1123-24*(D1123-1)</f>
        <v>3</v>
      </c>
      <c r="F1123" s="14">
        <f>IF(AB1123&gt;0, VLOOKUP(B1123,Model!$A$40:$B$60, 2), 0)</f>
        <v>0</v>
      </c>
      <c r="G1123" s="13">
        <f>IF(AB1123&gt;0, VLOOKUP(B1123,Model!$A$39:$C$58, 3), 0)</f>
        <v>0</v>
      </c>
      <c r="H1123" s="13">
        <f t="shared" si="344"/>
        <v>0</v>
      </c>
      <c r="I1123" s="46">
        <f>Model!$B$21*EXP((-0.029*9.81*F1123)/(8.31*(273+J1123)))</f>
        <v>104500</v>
      </c>
      <c r="J1123" s="13">
        <f>IF(Model!$B$31="Summer",  IF(F1123&lt;=2000,  Model!$B$20-Model!$B$35*F1123/1000,  IF(F1123&lt;Model!$B$36,  Model!$B$33-6.5*F1123/1000,  Model!$B$38)),     IF(F1123&lt;=2000,  Model!$B$20-Model!$B$35*F1123/1000,  IF(F1123&lt;Model!$B$36,  Model!$B$33-5.4*F1123/1000,   Model!$B$38)))</f>
        <v>-20</v>
      </c>
      <c r="K1123" s="13">
        <f t="shared" si="377"/>
        <v>253</v>
      </c>
      <c r="L1123" s="46">
        <f>IF(AB1122-AA1122*(B1123-B1122)&gt;0, L1122-Y1122*(B1123-B1122)*3600-AD1123*Model!$B$16, 0)</f>
        <v>0</v>
      </c>
      <c r="M1123" s="57">
        <f t="shared" si="346"/>
        <v>0</v>
      </c>
      <c r="N1123" s="57">
        <f>Model!$B$13*I1123*K1123/(Model!$B$13*I1123-L1123*287*K1123)</f>
        <v>253</v>
      </c>
      <c r="O1123" s="57">
        <f t="shared" si="347"/>
        <v>253</v>
      </c>
      <c r="P1123" s="57">
        <f t="shared" si="348"/>
        <v>-10</v>
      </c>
      <c r="Q1123" s="63">
        <f t="shared" si="378"/>
        <v>2.2579999999999999E-2</v>
      </c>
      <c r="R1123" s="17">
        <f t="shared" si="379"/>
        <v>1.152E-5</v>
      </c>
      <c r="S1123" s="46">
        <f>0.37*Model!$B$10*(Q1123^2*(N1123-K1123)*I1123/(R1123*O1123^2))^0.33333*(N1123-K1123)</f>
        <v>0</v>
      </c>
      <c r="T1123" s="51">
        <f>Model!$B$32+(90-Model!$B$6)*SIN(RADIANS(-15*(E1123+6)))</f>
        <v>-31.619472402513487</v>
      </c>
      <c r="U1123" s="46">
        <f t="shared" si="351"/>
        <v>0</v>
      </c>
      <c r="V1123" s="51">
        <f t="shared" si="352"/>
        <v>99999</v>
      </c>
      <c r="W1123" s="46">
        <f t="shared" si="353"/>
        <v>0</v>
      </c>
      <c r="X1123" s="46">
        <f>0.3*W1123*Model!$B$9</f>
        <v>0</v>
      </c>
      <c r="Y1123" s="17">
        <f>(S1123-X1123)/Model!$B$11</f>
        <v>0</v>
      </c>
      <c r="Z1123" s="46" t="e">
        <f t="shared" si="354"/>
        <v>#DIV/0!</v>
      </c>
      <c r="AA1123" s="57">
        <f>Y1123/Model!$B$12*3600</f>
        <v>0</v>
      </c>
      <c r="AB1123" s="51">
        <f t="shared" si="360"/>
        <v>0</v>
      </c>
      <c r="AC1123" s="51">
        <f t="shared" si="380"/>
        <v>1800</v>
      </c>
      <c r="AD1123" s="13">
        <f>IF(AE1123=0, Model!$B$19, 0 )</f>
        <v>0</v>
      </c>
      <c r="AE1123" s="51">
        <f>IF(AE1122+AB1122-AB1123&lt;Model!$B$19*Model!$B$18, AE1122+AB1122-AB1123,  0)</f>
        <v>443.63457370611354</v>
      </c>
      <c r="AF1123" s="13">
        <f t="shared" si="356"/>
        <v>1</v>
      </c>
      <c r="AG1123" s="50">
        <f t="shared" si="357"/>
        <v>0</v>
      </c>
    </row>
    <row r="1124" spans="2:33" x14ac:dyDescent="0.25">
      <c r="B1124" s="15">
        <f t="shared" si="358"/>
        <v>1</v>
      </c>
      <c r="C1124" s="15">
        <f>B1124+Model!$B$4</f>
        <v>3</v>
      </c>
      <c r="D1124" s="15">
        <f t="shared" si="359"/>
        <v>1</v>
      </c>
      <c r="E1124" s="15">
        <f t="shared" si="381"/>
        <v>3</v>
      </c>
      <c r="F1124" s="16">
        <f>IF(AB1124&gt;0, VLOOKUP(B1124,Model!$A$40:$B$60, 2), 0)</f>
        <v>0</v>
      </c>
      <c r="G1124" s="15">
        <f>IF(AB1124&gt;0, VLOOKUP(B1124,Model!$A$39:$C$58, 3), 0)</f>
        <v>0</v>
      </c>
      <c r="H1124" s="15">
        <f t="shared" si="344"/>
        <v>0</v>
      </c>
      <c r="I1124" s="45">
        <f>Model!$B$21*EXP((-0.029*9.81*F1124)/(8.31*(273+J1124)))</f>
        <v>104500</v>
      </c>
      <c r="J1124" s="15">
        <f>IF(Model!$B$31="Summer",  IF(F1124&lt;=2000,  Model!$B$20-Model!$B$35*F1124/1000,  IF(F1124&lt;Model!$B$36,  Model!$B$33-6.5*F1124/1000,  Model!$B$38)),     IF(F1124&lt;=2000,  Model!$B$20-Model!$B$35*F1124/1000,  IF(F1124&lt;Model!$B$36,  Model!$B$33-5.4*F1124/1000,   Model!$B$38)))</f>
        <v>-20</v>
      </c>
      <c r="K1124" s="15">
        <f t="shared" si="377"/>
        <v>253</v>
      </c>
      <c r="L1124" s="45">
        <f>IF(AB1123-AA1123*(B1124-B1123)&gt;0, L1123-Y1123*(B1124-B1123)*3600-AD1124*Model!$B$16, 0)</f>
        <v>0</v>
      </c>
      <c r="M1124" s="56">
        <f t="shared" si="346"/>
        <v>0</v>
      </c>
      <c r="N1124" s="56">
        <f>Model!$B$13*I1124*K1124/(Model!$B$13*I1124-L1124*287*K1124)</f>
        <v>253</v>
      </c>
      <c r="O1124" s="56">
        <f t="shared" si="347"/>
        <v>253</v>
      </c>
      <c r="P1124" s="56">
        <f t="shared" si="348"/>
        <v>-10</v>
      </c>
      <c r="Q1124" s="62">
        <f t="shared" si="378"/>
        <v>2.2579999999999999E-2</v>
      </c>
      <c r="R1124" s="33">
        <f t="shared" si="379"/>
        <v>1.152E-5</v>
      </c>
      <c r="S1124" s="45">
        <f>0.37*Model!$B$10*(Q1124^2*(N1124-K1124)*I1124/(R1124*O1124^2))^0.33333*(N1124-K1124)</f>
        <v>0</v>
      </c>
      <c r="T1124" s="50">
        <f>Model!$B$32+(90-Model!$B$6)*SIN(RADIANS(-15*(E1124+6)))</f>
        <v>-31.619472402513487</v>
      </c>
      <c r="U1124" s="45">
        <f t="shared" si="351"/>
        <v>0</v>
      </c>
      <c r="V1124" s="50">
        <f t="shared" si="352"/>
        <v>99999</v>
      </c>
      <c r="W1124" s="45">
        <f t="shared" si="353"/>
        <v>0</v>
      </c>
      <c r="X1124" s="45">
        <f>0.3*W1124*Model!$B$9</f>
        <v>0</v>
      </c>
      <c r="Y1124" s="33">
        <f>(S1124-X1124)/Model!$B$11</f>
        <v>0</v>
      </c>
      <c r="Z1124" s="45" t="e">
        <f t="shared" si="354"/>
        <v>#DIV/0!</v>
      </c>
      <c r="AA1124" s="56">
        <f>Y1124/Model!$B$12*3600</f>
        <v>0</v>
      </c>
      <c r="AB1124" s="50">
        <f t="shared" si="360"/>
        <v>0</v>
      </c>
      <c r="AC1124" s="50">
        <f t="shared" si="380"/>
        <v>1800</v>
      </c>
      <c r="AD1124" s="15">
        <f>IF(AE1124=0, Model!$B$19, 0 )</f>
        <v>0</v>
      </c>
      <c r="AE1124" s="50">
        <f>IF(AE1123+AB1123-AB1124&lt;Model!$B$19*Model!$B$18, AE1123+AB1123-AB1124,  0)</f>
        <v>443.63457370611354</v>
      </c>
      <c r="AF1124" s="15">
        <f t="shared" si="356"/>
        <v>1</v>
      </c>
      <c r="AG1124" s="50">
        <f t="shared" si="357"/>
        <v>0</v>
      </c>
    </row>
    <row r="1125" spans="2:33" x14ac:dyDescent="0.25">
      <c r="B1125" s="13">
        <f t="shared" si="358"/>
        <v>1</v>
      </c>
      <c r="C1125" s="13">
        <f>B1125+Model!$B$4</f>
        <v>3</v>
      </c>
      <c r="D1125" s="13">
        <f t="shared" si="359"/>
        <v>1</v>
      </c>
      <c r="E1125" s="13">
        <f t="shared" si="381"/>
        <v>3</v>
      </c>
      <c r="F1125" s="14">
        <f>IF(AB1125&gt;0, VLOOKUP(B1125,Model!$A$40:$B$60, 2), 0)</f>
        <v>0</v>
      </c>
      <c r="G1125" s="13">
        <f>IF(AB1125&gt;0, VLOOKUP(B1125,Model!$A$39:$C$58, 3), 0)</f>
        <v>0</v>
      </c>
      <c r="H1125" s="13">
        <f t="shared" si="344"/>
        <v>0</v>
      </c>
      <c r="I1125" s="46">
        <f>Model!$B$21*EXP((-0.029*9.81*F1125)/(8.31*(273+J1125)))</f>
        <v>104500</v>
      </c>
      <c r="J1125" s="13">
        <f>IF(Model!$B$31="Summer",  IF(F1125&lt;=2000,  Model!$B$20-Model!$B$35*F1125/1000,  IF(F1125&lt;Model!$B$36,  Model!$B$33-6.5*F1125/1000,  Model!$B$38)),     IF(F1125&lt;=2000,  Model!$B$20-Model!$B$35*F1125/1000,  IF(F1125&lt;Model!$B$36,  Model!$B$33-5.4*F1125/1000,   Model!$B$38)))</f>
        <v>-20</v>
      </c>
      <c r="K1125" s="13">
        <f t="shared" si="377"/>
        <v>253</v>
      </c>
      <c r="L1125" s="46">
        <f>IF(AB1124-AA1124*(B1125-B1124)&gt;0, L1124-Y1124*(B1125-B1124)*3600-AD1125*Model!$B$16, 0)</f>
        <v>0</v>
      </c>
      <c r="M1125" s="57">
        <f t="shared" si="346"/>
        <v>0</v>
      </c>
      <c r="N1125" s="57">
        <f>Model!$B$13*I1125*K1125/(Model!$B$13*I1125-L1125*287*K1125)</f>
        <v>253</v>
      </c>
      <c r="O1125" s="57">
        <f t="shared" si="347"/>
        <v>253</v>
      </c>
      <c r="P1125" s="57">
        <f t="shared" si="348"/>
        <v>-10</v>
      </c>
      <c r="Q1125" s="63">
        <f t="shared" si="378"/>
        <v>2.2579999999999999E-2</v>
      </c>
      <c r="R1125" s="17">
        <f t="shared" si="379"/>
        <v>1.152E-5</v>
      </c>
      <c r="S1125" s="46">
        <f>0.37*Model!$B$10*(Q1125^2*(N1125-K1125)*I1125/(R1125*O1125^2))^0.33333*(N1125-K1125)</f>
        <v>0</v>
      </c>
      <c r="T1125" s="51">
        <f>Model!$B$32+(90-Model!$B$6)*SIN(RADIANS(-15*(E1125+6)))</f>
        <v>-31.619472402513487</v>
      </c>
      <c r="U1125" s="46">
        <f t="shared" si="351"/>
        <v>0</v>
      </c>
      <c r="V1125" s="51">
        <f t="shared" si="352"/>
        <v>99999</v>
      </c>
      <c r="W1125" s="46">
        <f t="shared" si="353"/>
        <v>0</v>
      </c>
      <c r="X1125" s="46">
        <f>0.3*W1125*Model!$B$9</f>
        <v>0</v>
      </c>
      <c r="Y1125" s="17">
        <f>(S1125-X1125)/Model!$B$11</f>
        <v>0</v>
      </c>
      <c r="Z1125" s="46" t="e">
        <f t="shared" si="354"/>
        <v>#DIV/0!</v>
      </c>
      <c r="AA1125" s="57">
        <f>Y1125/Model!$B$12*3600</f>
        <v>0</v>
      </c>
      <c r="AB1125" s="51">
        <f t="shared" si="360"/>
        <v>0</v>
      </c>
      <c r="AC1125" s="51">
        <f t="shared" si="380"/>
        <v>1800</v>
      </c>
      <c r="AD1125" s="13">
        <f>IF(AE1125=0, Model!$B$19, 0 )</f>
        <v>0</v>
      </c>
      <c r="AE1125" s="51">
        <f>IF(AE1124+AB1124-AB1125&lt;Model!$B$19*Model!$B$18, AE1124+AB1124-AB1125,  0)</f>
        <v>443.63457370611354</v>
      </c>
      <c r="AF1125" s="13">
        <f t="shared" si="356"/>
        <v>1</v>
      </c>
      <c r="AG1125" s="50">
        <f t="shared" si="357"/>
        <v>0</v>
      </c>
    </row>
    <row r="1126" spans="2:33" x14ac:dyDescent="0.25">
      <c r="B1126" s="15">
        <f t="shared" si="358"/>
        <v>1</v>
      </c>
      <c r="C1126" s="15">
        <f>B1126+Model!$B$4</f>
        <v>3</v>
      </c>
      <c r="D1126" s="15">
        <f t="shared" si="359"/>
        <v>1</v>
      </c>
      <c r="E1126" s="15">
        <f t="shared" si="381"/>
        <v>3</v>
      </c>
      <c r="F1126" s="16">
        <f>IF(AB1126&gt;0, VLOOKUP(B1126,Model!$A$40:$B$60, 2), 0)</f>
        <v>0</v>
      </c>
      <c r="G1126" s="15">
        <f>IF(AB1126&gt;0, VLOOKUP(B1126,Model!$A$39:$C$58, 3), 0)</f>
        <v>0</v>
      </c>
      <c r="H1126" s="15">
        <f t="shared" si="344"/>
        <v>0</v>
      </c>
      <c r="I1126" s="45">
        <f>Model!$B$21*EXP((-0.029*9.81*F1126)/(8.31*(273+J1126)))</f>
        <v>104500</v>
      </c>
      <c r="J1126" s="15">
        <f>IF(Model!$B$31="Summer",  IF(F1126&lt;=2000,  Model!$B$20-Model!$B$35*F1126/1000,  IF(F1126&lt;Model!$B$36,  Model!$B$33-6.5*F1126/1000,  Model!$B$38)),     IF(F1126&lt;=2000,  Model!$B$20-Model!$B$35*F1126/1000,  IF(F1126&lt;Model!$B$36,  Model!$B$33-5.4*F1126/1000,   Model!$B$38)))</f>
        <v>-20</v>
      </c>
      <c r="K1126" s="15">
        <f t="shared" si="377"/>
        <v>253</v>
      </c>
      <c r="L1126" s="45">
        <f>IF(AB1125-AA1125*(B1126-B1125)&gt;0, L1125-Y1125*(B1126-B1125)*3600-AD1126*Model!$B$16, 0)</f>
        <v>0</v>
      </c>
      <c r="M1126" s="56">
        <f t="shared" si="346"/>
        <v>0</v>
      </c>
      <c r="N1126" s="56">
        <f>Model!$B$13*I1126*K1126/(Model!$B$13*I1126-L1126*287*K1126)</f>
        <v>253</v>
      </c>
      <c r="O1126" s="56">
        <f t="shared" si="347"/>
        <v>253</v>
      </c>
      <c r="P1126" s="56">
        <f t="shared" si="348"/>
        <v>-10</v>
      </c>
      <c r="Q1126" s="62">
        <f t="shared" si="378"/>
        <v>2.2579999999999999E-2</v>
      </c>
      <c r="R1126" s="33">
        <f t="shared" si="379"/>
        <v>1.152E-5</v>
      </c>
      <c r="S1126" s="45">
        <f>0.37*Model!$B$10*(Q1126^2*(N1126-K1126)*I1126/(R1126*O1126^2))^0.33333*(N1126-K1126)</f>
        <v>0</v>
      </c>
      <c r="T1126" s="50">
        <f>Model!$B$32+(90-Model!$B$6)*SIN(RADIANS(-15*(E1126+6)))</f>
        <v>-31.619472402513487</v>
      </c>
      <c r="U1126" s="45">
        <f t="shared" si="351"/>
        <v>0</v>
      </c>
      <c r="V1126" s="50">
        <f t="shared" si="352"/>
        <v>99999</v>
      </c>
      <c r="W1126" s="45">
        <f t="shared" si="353"/>
        <v>0</v>
      </c>
      <c r="X1126" s="45">
        <f>0.3*W1126*Model!$B$9</f>
        <v>0</v>
      </c>
      <c r="Y1126" s="33">
        <f>(S1126-X1126)/Model!$B$11</f>
        <v>0</v>
      </c>
      <c r="Z1126" s="45" t="e">
        <f t="shared" si="354"/>
        <v>#DIV/0!</v>
      </c>
      <c r="AA1126" s="56">
        <f>Y1126/Model!$B$12*3600</f>
        <v>0</v>
      </c>
      <c r="AB1126" s="50">
        <f t="shared" si="360"/>
        <v>0</v>
      </c>
      <c r="AC1126" s="50">
        <f t="shared" si="380"/>
        <v>1800</v>
      </c>
      <c r="AD1126" s="15">
        <f>IF(AE1126=0, Model!$B$19, 0 )</f>
        <v>0</v>
      </c>
      <c r="AE1126" s="50">
        <f>IF(AE1125+AB1125-AB1126&lt;Model!$B$19*Model!$B$18, AE1125+AB1125-AB1126,  0)</f>
        <v>443.63457370611354</v>
      </c>
      <c r="AF1126" s="15">
        <f t="shared" si="356"/>
        <v>1</v>
      </c>
      <c r="AG1126" s="50">
        <f t="shared" si="357"/>
        <v>0</v>
      </c>
    </row>
    <row r="1127" spans="2:33" x14ac:dyDescent="0.25">
      <c r="B1127" s="13">
        <f t="shared" si="358"/>
        <v>1</v>
      </c>
      <c r="C1127" s="13">
        <f>B1127+Model!$B$4</f>
        <v>3</v>
      </c>
      <c r="D1127" s="13">
        <f t="shared" si="359"/>
        <v>1</v>
      </c>
      <c r="E1127" s="13">
        <f t="shared" si="381"/>
        <v>3</v>
      </c>
      <c r="F1127" s="14">
        <f>IF(AB1127&gt;0, VLOOKUP(B1127,Model!$A$40:$B$60, 2), 0)</f>
        <v>0</v>
      </c>
      <c r="G1127" s="13">
        <f>IF(AB1127&gt;0, VLOOKUP(B1127,Model!$A$39:$C$58, 3), 0)</f>
        <v>0</v>
      </c>
      <c r="H1127" s="13">
        <f t="shared" si="344"/>
        <v>0</v>
      </c>
      <c r="I1127" s="46">
        <f>Model!$B$21*EXP((-0.029*9.81*F1127)/(8.31*(273+J1127)))</f>
        <v>104500</v>
      </c>
      <c r="J1127" s="13">
        <f>IF(Model!$B$31="Summer",  IF(F1127&lt;=2000,  Model!$B$20-Model!$B$35*F1127/1000,  IF(F1127&lt;Model!$B$36,  Model!$B$33-6.5*F1127/1000,  Model!$B$38)),     IF(F1127&lt;=2000,  Model!$B$20-Model!$B$35*F1127/1000,  IF(F1127&lt;Model!$B$36,  Model!$B$33-5.4*F1127/1000,   Model!$B$38)))</f>
        <v>-20</v>
      </c>
      <c r="K1127" s="13">
        <f t="shared" si="377"/>
        <v>253</v>
      </c>
      <c r="L1127" s="46">
        <f>IF(AB1126-AA1126*(B1127-B1126)&gt;0, L1126-Y1126*(B1127-B1126)*3600-AD1127*Model!$B$16, 0)</f>
        <v>0</v>
      </c>
      <c r="M1127" s="57">
        <f t="shared" si="346"/>
        <v>0</v>
      </c>
      <c r="N1127" s="57">
        <f>Model!$B$13*I1127*K1127/(Model!$B$13*I1127-L1127*287*K1127)</f>
        <v>253</v>
      </c>
      <c r="O1127" s="57">
        <f t="shared" si="347"/>
        <v>253</v>
      </c>
      <c r="P1127" s="57">
        <f t="shared" si="348"/>
        <v>-10</v>
      </c>
      <c r="Q1127" s="63">
        <f t="shared" si="378"/>
        <v>2.2579999999999999E-2</v>
      </c>
      <c r="R1127" s="17">
        <f t="shared" si="379"/>
        <v>1.152E-5</v>
      </c>
      <c r="S1127" s="46">
        <f>0.37*Model!$B$10*(Q1127^2*(N1127-K1127)*I1127/(R1127*O1127^2))^0.33333*(N1127-K1127)</f>
        <v>0</v>
      </c>
      <c r="T1127" s="51">
        <f>Model!$B$32+(90-Model!$B$6)*SIN(RADIANS(-15*(E1127+6)))</f>
        <v>-31.619472402513487</v>
      </c>
      <c r="U1127" s="46">
        <f t="shared" si="351"/>
        <v>0</v>
      </c>
      <c r="V1127" s="51">
        <f t="shared" si="352"/>
        <v>99999</v>
      </c>
      <c r="W1127" s="46">
        <f t="shared" si="353"/>
        <v>0</v>
      </c>
      <c r="X1127" s="46">
        <f>0.3*W1127*Model!$B$9</f>
        <v>0</v>
      </c>
      <c r="Y1127" s="17">
        <f>(S1127-X1127)/Model!$B$11</f>
        <v>0</v>
      </c>
      <c r="Z1127" s="46" t="e">
        <f t="shared" si="354"/>
        <v>#DIV/0!</v>
      </c>
      <c r="AA1127" s="57">
        <f>Y1127/Model!$B$12*3600</f>
        <v>0</v>
      </c>
      <c r="AB1127" s="51">
        <f t="shared" si="360"/>
        <v>0</v>
      </c>
      <c r="AC1127" s="51">
        <f t="shared" si="380"/>
        <v>1800</v>
      </c>
      <c r="AD1127" s="13">
        <f>IF(AE1127=0, Model!$B$19, 0 )</f>
        <v>0</v>
      </c>
      <c r="AE1127" s="51">
        <f>IF(AE1126+AB1126-AB1127&lt;Model!$B$19*Model!$B$18, AE1126+AB1126-AB1127,  0)</f>
        <v>443.63457370611354</v>
      </c>
      <c r="AF1127" s="13">
        <f t="shared" si="356"/>
        <v>1</v>
      </c>
      <c r="AG1127" s="50">
        <f t="shared" si="357"/>
        <v>0</v>
      </c>
    </row>
    <row r="1128" spans="2:33" x14ac:dyDescent="0.25">
      <c r="B1128" s="15">
        <f t="shared" si="358"/>
        <v>1</v>
      </c>
      <c r="C1128" s="15">
        <f>B1128+Model!$B$4</f>
        <v>3</v>
      </c>
      <c r="D1128" s="15">
        <f t="shared" si="359"/>
        <v>1</v>
      </c>
      <c r="E1128" s="15">
        <f t="shared" si="381"/>
        <v>3</v>
      </c>
      <c r="F1128" s="16">
        <f>IF(AB1128&gt;0, VLOOKUP(B1128,Model!$A$40:$B$60, 2), 0)</f>
        <v>0</v>
      </c>
      <c r="G1128" s="15">
        <f>IF(AB1128&gt;0, VLOOKUP(B1128,Model!$A$39:$C$58, 3), 0)</f>
        <v>0</v>
      </c>
      <c r="H1128" s="15">
        <f t="shared" si="344"/>
        <v>0</v>
      </c>
      <c r="I1128" s="45">
        <f>Model!$B$21*EXP((-0.029*9.81*F1128)/(8.31*(273+J1128)))</f>
        <v>104500</v>
      </c>
      <c r="J1128" s="15">
        <f>IF(Model!$B$31="Summer",  IF(F1128&lt;=2000,  Model!$B$20-Model!$B$35*F1128/1000,  IF(F1128&lt;Model!$B$36,  Model!$B$33-6.5*F1128/1000,  Model!$B$38)),     IF(F1128&lt;=2000,  Model!$B$20-Model!$B$35*F1128/1000,  IF(F1128&lt;Model!$B$36,  Model!$B$33-5.4*F1128/1000,   Model!$B$38)))</f>
        <v>-20</v>
      </c>
      <c r="K1128" s="15">
        <f t="shared" si="377"/>
        <v>253</v>
      </c>
      <c r="L1128" s="45">
        <f>IF(AB1127-AA1127*(B1128-B1127)&gt;0, L1127-Y1127*(B1128-B1127)*3600-AD1128*Model!$B$16, 0)</f>
        <v>0</v>
      </c>
      <c r="M1128" s="56">
        <f t="shared" si="346"/>
        <v>0</v>
      </c>
      <c r="N1128" s="56">
        <f>Model!$B$13*I1128*K1128/(Model!$B$13*I1128-L1128*287*K1128)</f>
        <v>253</v>
      </c>
      <c r="O1128" s="56">
        <f t="shared" si="347"/>
        <v>253</v>
      </c>
      <c r="P1128" s="56">
        <f t="shared" si="348"/>
        <v>-10</v>
      </c>
      <c r="Q1128" s="62">
        <f t="shared" si="378"/>
        <v>2.2579999999999999E-2</v>
      </c>
      <c r="R1128" s="33">
        <f t="shared" si="379"/>
        <v>1.152E-5</v>
      </c>
      <c r="S1128" s="45">
        <f>0.37*Model!$B$10*(Q1128^2*(N1128-K1128)*I1128/(R1128*O1128^2))^0.33333*(N1128-K1128)</f>
        <v>0</v>
      </c>
      <c r="T1128" s="50">
        <f>Model!$B$32+(90-Model!$B$6)*SIN(RADIANS(-15*(E1128+6)))</f>
        <v>-31.619472402513487</v>
      </c>
      <c r="U1128" s="45">
        <f t="shared" si="351"/>
        <v>0</v>
      </c>
      <c r="V1128" s="50">
        <f t="shared" si="352"/>
        <v>99999</v>
      </c>
      <c r="W1128" s="45">
        <f t="shared" si="353"/>
        <v>0</v>
      </c>
      <c r="X1128" s="45">
        <f>0.3*W1128*Model!$B$9</f>
        <v>0</v>
      </c>
      <c r="Y1128" s="33">
        <f>(S1128-X1128)/Model!$B$11</f>
        <v>0</v>
      </c>
      <c r="Z1128" s="45" t="e">
        <f t="shared" si="354"/>
        <v>#DIV/0!</v>
      </c>
      <c r="AA1128" s="56">
        <f>Y1128/Model!$B$12*3600</f>
        <v>0</v>
      </c>
      <c r="AB1128" s="50">
        <f t="shared" si="360"/>
        <v>0</v>
      </c>
      <c r="AC1128" s="50">
        <f t="shared" si="380"/>
        <v>1800</v>
      </c>
      <c r="AD1128" s="15">
        <f>IF(AE1128=0, Model!$B$19, 0 )</f>
        <v>0</v>
      </c>
      <c r="AE1128" s="50">
        <f>IF(AE1127+AB1127-AB1128&lt;Model!$B$19*Model!$B$18, AE1127+AB1127-AB1128,  0)</f>
        <v>443.63457370611354</v>
      </c>
      <c r="AF1128" s="15">
        <f t="shared" si="356"/>
        <v>1</v>
      </c>
      <c r="AG1128" s="50">
        <f t="shared" si="357"/>
        <v>0</v>
      </c>
    </row>
    <row r="1129" spans="2:33" x14ac:dyDescent="0.25">
      <c r="B1129" s="13">
        <f t="shared" si="358"/>
        <v>1</v>
      </c>
      <c r="C1129" s="13">
        <f>B1129+Model!$B$4</f>
        <v>3</v>
      </c>
      <c r="D1129" s="13">
        <f t="shared" si="359"/>
        <v>1</v>
      </c>
      <c r="E1129" s="13">
        <f t="shared" si="381"/>
        <v>3</v>
      </c>
      <c r="F1129" s="14">
        <f>IF(AB1129&gt;0, VLOOKUP(B1129,Model!$A$40:$B$60, 2), 0)</f>
        <v>0</v>
      </c>
      <c r="G1129" s="13">
        <f>IF(AB1129&gt;0, VLOOKUP(B1129,Model!$A$39:$C$58, 3), 0)</f>
        <v>0</v>
      </c>
      <c r="H1129" s="13">
        <f t="shared" si="344"/>
        <v>0</v>
      </c>
      <c r="I1129" s="46">
        <f>Model!$B$21*EXP((-0.029*9.81*F1129)/(8.31*(273+J1129)))</f>
        <v>104500</v>
      </c>
      <c r="J1129" s="13">
        <f>IF(Model!$B$31="Summer",  IF(F1129&lt;=2000,  Model!$B$20-Model!$B$35*F1129/1000,  IF(F1129&lt;Model!$B$36,  Model!$B$33-6.5*F1129/1000,  Model!$B$38)),     IF(F1129&lt;=2000,  Model!$B$20-Model!$B$35*F1129/1000,  IF(F1129&lt;Model!$B$36,  Model!$B$33-5.4*F1129/1000,   Model!$B$38)))</f>
        <v>-20</v>
      </c>
      <c r="K1129" s="13">
        <f t="shared" si="377"/>
        <v>253</v>
      </c>
      <c r="L1129" s="46">
        <f>IF(AB1128-AA1128*(B1129-B1128)&gt;0, L1128-Y1128*(B1129-B1128)*3600-AD1129*Model!$B$16, 0)</f>
        <v>0</v>
      </c>
      <c r="M1129" s="57">
        <f t="shared" si="346"/>
        <v>0</v>
      </c>
      <c r="N1129" s="57">
        <f>Model!$B$13*I1129*K1129/(Model!$B$13*I1129-L1129*287*K1129)</f>
        <v>253</v>
      </c>
      <c r="O1129" s="57">
        <f t="shared" si="347"/>
        <v>253</v>
      </c>
      <c r="P1129" s="57">
        <f t="shared" si="348"/>
        <v>-10</v>
      </c>
      <c r="Q1129" s="63">
        <f t="shared" si="378"/>
        <v>2.2579999999999999E-2</v>
      </c>
      <c r="R1129" s="17">
        <f t="shared" si="379"/>
        <v>1.152E-5</v>
      </c>
      <c r="S1129" s="46">
        <f>0.37*Model!$B$10*(Q1129^2*(N1129-K1129)*I1129/(R1129*O1129^2))^0.33333*(N1129-K1129)</f>
        <v>0</v>
      </c>
      <c r="T1129" s="51">
        <f>Model!$B$32+(90-Model!$B$6)*SIN(RADIANS(-15*(E1129+6)))</f>
        <v>-31.619472402513487</v>
      </c>
      <c r="U1129" s="46">
        <f t="shared" si="351"/>
        <v>0</v>
      </c>
      <c r="V1129" s="51">
        <f t="shared" si="352"/>
        <v>99999</v>
      </c>
      <c r="W1129" s="46">
        <f t="shared" si="353"/>
        <v>0</v>
      </c>
      <c r="X1129" s="46">
        <f>0.3*W1129*Model!$B$9</f>
        <v>0</v>
      </c>
      <c r="Y1129" s="17">
        <f>(S1129-X1129)/Model!$B$11</f>
        <v>0</v>
      </c>
      <c r="Z1129" s="46" t="e">
        <f t="shared" si="354"/>
        <v>#DIV/0!</v>
      </c>
      <c r="AA1129" s="57">
        <f>Y1129/Model!$B$12*3600</f>
        <v>0</v>
      </c>
      <c r="AB1129" s="51">
        <f t="shared" si="360"/>
        <v>0</v>
      </c>
      <c r="AC1129" s="51">
        <f t="shared" si="380"/>
        <v>1800</v>
      </c>
      <c r="AD1129" s="13">
        <f>IF(AE1129=0, Model!$B$19, 0 )</f>
        <v>0</v>
      </c>
      <c r="AE1129" s="51">
        <f>IF(AE1128+AB1128-AB1129&lt;Model!$B$19*Model!$B$18, AE1128+AB1128-AB1129,  0)</f>
        <v>443.63457370611354</v>
      </c>
      <c r="AF1129" s="13">
        <f t="shared" si="356"/>
        <v>1</v>
      </c>
      <c r="AG1129" s="50">
        <f t="shared" si="357"/>
        <v>0</v>
      </c>
    </row>
    <row r="1130" spans="2:33" x14ac:dyDescent="0.25">
      <c r="B1130" s="15">
        <f t="shared" si="358"/>
        <v>1</v>
      </c>
      <c r="C1130" s="15">
        <f>B1130+Model!$B$4</f>
        <v>3</v>
      </c>
      <c r="D1130" s="15">
        <f t="shared" si="359"/>
        <v>1</v>
      </c>
      <c r="E1130" s="15">
        <f t="shared" si="381"/>
        <v>3</v>
      </c>
      <c r="F1130" s="16">
        <f>IF(AB1130&gt;0, VLOOKUP(B1130,Model!$A$40:$B$60, 2), 0)</f>
        <v>0</v>
      </c>
      <c r="G1130" s="15">
        <f>IF(AB1130&gt;0, VLOOKUP(B1130,Model!$A$39:$C$58, 3), 0)</f>
        <v>0</v>
      </c>
      <c r="H1130" s="15">
        <f t="shared" si="344"/>
        <v>0</v>
      </c>
      <c r="I1130" s="45">
        <f>Model!$B$21*EXP((-0.029*9.81*F1130)/(8.31*(273+J1130)))</f>
        <v>104500</v>
      </c>
      <c r="J1130" s="15">
        <f>IF(Model!$B$31="Summer",  IF(F1130&lt;=2000,  Model!$B$20-Model!$B$35*F1130/1000,  IF(F1130&lt;Model!$B$36,  Model!$B$33-6.5*F1130/1000,  Model!$B$38)),     IF(F1130&lt;=2000,  Model!$B$20-Model!$B$35*F1130/1000,  IF(F1130&lt;Model!$B$36,  Model!$B$33-5.4*F1130/1000,   Model!$B$38)))</f>
        <v>-20</v>
      </c>
      <c r="K1130" s="15">
        <f t="shared" si="377"/>
        <v>253</v>
      </c>
      <c r="L1130" s="45">
        <f>IF(AB1129-AA1129*(B1130-B1129)&gt;0, L1129-Y1129*(B1130-B1129)*3600-AD1130*Model!$B$16, 0)</f>
        <v>0</v>
      </c>
      <c r="M1130" s="56">
        <f t="shared" si="346"/>
        <v>0</v>
      </c>
      <c r="N1130" s="56">
        <f>Model!$B$13*I1130*K1130/(Model!$B$13*I1130-L1130*287*K1130)</f>
        <v>253</v>
      </c>
      <c r="O1130" s="56">
        <f t="shared" si="347"/>
        <v>253</v>
      </c>
      <c r="P1130" s="56">
        <f t="shared" si="348"/>
        <v>-10</v>
      </c>
      <c r="Q1130" s="62">
        <f t="shared" si="378"/>
        <v>2.2579999999999999E-2</v>
      </c>
      <c r="R1130" s="33">
        <f t="shared" si="379"/>
        <v>1.152E-5</v>
      </c>
      <c r="S1130" s="45">
        <f>0.37*Model!$B$10*(Q1130^2*(N1130-K1130)*I1130/(R1130*O1130^2))^0.33333*(N1130-K1130)</f>
        <v>0</v>
      </c>
      <c r="T1130" s="50">
        <f>Model!$B$32+(90-Model!$B$6)*SIN(RADIANS(-15*(E1130+6)))</f>
        <v>-31.619472402513487</v>
      </c>
      <c r="U1130" s="45">
        <f t="shared" si="351"/>
        <v>0</v>
      </c>
      <c r="V1130" s="50">
        <f t="shared" si="352"/>
        <v>99999</v>
      </c>
      <c r="W1130" s="45">
        <f t="shared" si="353"/>
        <v>0</v>
      </c>
      <c r="X1130" s="45">
        <f>0.3*W1130*Model!$B$9</f>
        <v>0</v>
      </c>
      <c r="Y1130" s="33">
        <f>(S1130-X1130)/Model!$B$11</f>
        <v>0</v>
      </c>
      <c r="Z1130" s="45" t="e">
        <f t="shared" si="354"/>
        <v>#DIV/0!</v>
      </c>
      <c r="AA1130" s="56">
        <f>Y1130/Model!$B$12*3600</f>
        <v>0</v>
      </c>
      <c r="AB1130" s="50">
        <f t="shared" si="360"/>
        <v>0</v>
      </c>
      <c r="AC1130" s="50">
        <f t="shared" si="380"/>
        <v>1800</v>
      </c>
      <c r="AD1130" s="15">
        <f>IF(AE1130=0, Model!$B$19, 0 )</f>
        <v>0</v>
      </c>
      <c r="AE1130" s="50">
        <f>IF(AE1129+AB1129-AB1130&lt;Model!$B$19*Model!$B$18, AE1129+AB1129-AB1130,  0)</f>
        <v>443.63457370611354</v>
      </c>
      <c r="AF1130" s="15">
        <f t="shared" si="356"/>
        <v>1</v>
      </c>
      <c r="AG1130" s="50">
        <f t="shared" si="357"/>
        <v>0</v>
      </c>
    </row>
    <row r="1131" spans="2:33" x14ac:dyDescent="0.25">
      <c r="B1131" s="13">
        <f t="shared" si="358"/>
        <v>1</v>
      </c>
      <c r="C1131" s="13">
        <f>B1131+Model!$B$4</f>
        <v>3</v>
      </c>
      <c r="D1131" s="13">
        <f t="shared" si="359"/>
        <v>1</v>
      </c>
      <c r="E1131" s="13">
        <f t="shared" si="381"/>
        <v>3</v>
      </c>
      <c r="F1131" s="14">
        <f>IF(AB1131&gt;0, VLOOKUP(B1131,Model!$A$40:$B$60, 2), 0)</f>
        <v>0</v>
      </c>
      <c r="G1131" s="13">
        <f>IF(AB1131&gt;0, VLOOKUP(B1131,Model!$A$39:$C$58, 3), 0)</f>
        <v>0</v>
      </c>
      <c r="H1131" s="13">
        <f t="shared" si="344"/>
        <v>0</v>
      </c>
      <c r="I1131" s="46">
        <f>Model!$B$21*EXP((-0.029*9.81*F1131)/(8.31*(273+J1131)))</f>
        <v>104500</v>
      </c>
      <c r="J1131" s="13">
        <f>IF(Model!$B$31="Summer",  IF(F1131&lt;=2000,  Model!$B$20-Model!$B$35*F1131/1000,  IF(F1131&lt;Model!$B$36,  Model!$B$33-6.5*F1131/1000,  Model!$B$38)),     IF(F1131&lt;=2000,  Model!$B$20-Model!$B$35*F1131/1000,  IF(F1131&lt;Model!$B$36,  Model!$B$33-5.4*F1131/1000,   Model!$B$38)))</f>
        <v>-20</v>
      </c>
      <c r="K1131" s="13">
        <f t="shared" si="377"/>
        <v>253</v>
      </c>
      <c r="L1131" s="46">
        <f>IF(AB1130-AA1130*(B1131-B1130)&gt;0, L1130-Y1130*(B1131-B1130)*3600-AD1131*Model!$B$16, 0)</f>
        <v>0</v>
      </c>
      <c r="M1131" s="57">
        <f t="shared" si="346"/>
        <v>0</v>
      </c>
      <c r="N1131" s="57">
        <f>Model!$B$13*I1131*K1131/(Model!$B$13*I1131-L1131*287*K1131)</f>
        <v>253</v>
      </c>
      <c r="O1131" s="57">
        <f t="shared" si="347"/>
        <v>253</v>
      </c>
      <c r="P1131" s="57">
        <f t="shared" si="348"/>
        <v>-10</v>
      </c>
      <c r="Q1131" s="63">
        <f t="shared" si="378"/>
        <v>2.2579999999999999E-2</v>
      </c>
      <c r="R1131" s="17">
        <f t="shared" si="379"/>
        <v>1.152E-5</v>
      </c>
      <c r="S1131" s="46">
        <f>0.37*Model!$B$10*(Q1131^2*(N1131-K1131)*I1131/(R1131*O1131^2))^0.33333*(N1131-K1131)</f>
        <v>0</v>
      </c>
      <c r="T1131" s="51">
        <f>Model!$B$32+(90-Model!$B$6)*SIN(RADIANS(-15*(E1131+6)))</f>
        <v>-31.619472402513487</v>
      </c>
      <c r="U1131" s="46">
        <f t="shared" si="351"/>
        <v>0</v>
      </c>
      <c r="V1131" s="51">
        <f t="shared" si="352"/>
        <v>99999</v>
      </c>
      <c r="W1131" s="46">
        <f t="shared" si="353"/>
        <v>0</v>
      </c>
      <c r="X1131" s="46">
        <f>0.3*W1131*Model!$B$9</f>
        <v>0</v>
      </c>
      <c r="Y1131" s="17">
        <f>(S1131-X1131)/Model!$B$11</f>
        <v>0</v>
      </c>
      <c r="Z1131" s="46" t="e">
        <f t="shared" si="354"/>
        <v>#DIV/0!</v>
      </c>
      <c r="AA1131" s="57">
        <f>Y1131/Model!$B$12*3600</f>
        <v>0</v>
      </c>
      <c r="AB1131" s="51">
        <f t="shared" si="360"/>
        <v>0</v>
      </c>
      <c r="AC1131" s="51">
        <f t="shared" si="380"/>
        <v>1800</v>
      </c>
      <c r="AD1131" s="13">
        <f>IF(AE1131=0, Model!$B$19, 0 )</f>
        <v>0</v>
      </c>
      <c r="AE1131" s="51">
        <f>IF(AE1130+AB1130-AB1131&lt;Model!$B$19*Model!$B$18, AE1130+AB1130-AB1131,  0)</f>
        <v>443.63457370611354</v>
      </c>
      <c r="AF1131" s="13">
        <f t="shared" si="356"/>
        <v>1</v>
      </c>
      <c r="AG1131" s="50">
        <f t="shared" si="357"/>
        <v>0</v>
      </c>
    </row>
    <row r="1132" spans="2:33" x14ac:dyDescent="0.25">
      <c r="B1132" s="15">
        <f t="shared" si="358"/>
        <v>1</v>
      </c>
      <c r="C1132" s="15">
        <f>B1132+Model!$B$4</f>
        <v>3</v>
      </c>
      <c r="D1132" s="15">
        <f t="shared" si="359"/>
        <v>1</v>
      </c>
      <c r="E1132" s="15">
        <f t="shared" si="381"/>
        <v>3</v>
      </c>
      <c r="F1132" s="16">
        <f>IF(AB1132&gt;0, VLOOKUP(B1132,Model!$A$40:$B$60, 2), 0)</f>
        <v>0</v>
      </c>
      <c r="G1132" s="15">
        <f>IF(AB1132&gt;0, VLOOKUP(B1132,Model!$A$39:$C$58, 3), 0)</f>
        <v>0</v>
      </c>
      <c r="H1132" s="15">
        <f t="shared" si="344"/>
        <v>0</v>
      </c>
      <c r="I1132" s="45">
        <f>Model!$B$21*EXP((-0.029*9.81*F1132)/(8.31*(273+J1132)))</f>
        <v>104500</v>
      </c>
      <c r="J1132" s="15">
        <f>IF(Model!$B$31="Summer",  IF(F1132&lt;=2000,  Model!$B$20-Model!$B$35*F1132/1000,  IF(F1132&lt;Model!$B$36,  Model!$B$33-6.5*F1132/1000,  Model!$B$38)),     IF(F1132&lt;=2000,  Model!$B$20-Model!$B$35*F1132/1000,  IF(F1132&lt;Model!$B$36,  Model!$B$33-5.4*F1132/1000,   Model!$B$38)))</f>
        <v>-20</v>
      </c>
      <c r="K1132" s="15">
        <f t="shared" si="377"/>
        <v>253</v>
      </c>
      <c r="L1132" s="45">
        <f>IF(AB1131-AA1131*(B1132-B1131)&gt;0, L1131-Y1131*(B1132-B1131)*3600-AD1132*Model!$B$16, 0)</f>
        <v>0</v>
      </c>
      <c r="M1132" s="56">
        <f t="shared" si="346"/>
        <v>0</v>
      </c>
      <c r="N1132" s="56">
        <f>Model!$B$13*I1132*K1132/(Model!$B$13*I1132-L1132*287*K1132)</f>
        <v>253</v>
      </c>
      <c r="O1132" s="56">
        <f t="shared" si="347"/>
        <v>253</v>
      </c>
      <c r="P1132" s="56">
        <f t="shared" si="348"/>
        <v>-10</v>
      </c>
      <c r="Q1132" s="62">
        <f t="shared" si="378"/>
        <v>2.2579999999999999E-2</v>
      </c>
      <c r="R1132" s="33">
        <f t="shared" si="379"/>
        <v>1.152E-5</v>
      </c>
      <c r="S1132" s="45">
        <f>0.37*Model!$B$10*(Q1132^2*(N1132-K1132)*I1132/(R1132*O1132^2))^0.33333*(N1132-K1132)</f>
        <v>0</v>
      </c>
      <c r="T1132" s="50">
        <f>Model!$B$32+(90-Model!$B$6)*SIN(RADIANS(-15*(E1132+6)))</f>
        <v>-31.619472402513487</v>
      </c>
      <c r="U1132" s="45">
        <f t="shared" si="351"/>
        <v>0</v>
      </c>
      <c r="V1132" s="50">
        <f t="shared" si="352"/>
        <v>99999</v>
      </c>
      <c r="W1132" s="45">
        <f t="shared" si="353"/>
        <v>0</v>
      </c>
      <c r="X1132" s="45">
        <f>0.3*W1132*Model!$B$9</f>
        <v>0</v>
      </c>
      <c r="Y1132" s="33">
        <f>(S1132-X1132)/Model!$B$11</f>
        <v>0</v>
      </c>
      <c r="Z1132" s="45" t="e">
        <f t="shared" si="354"/>
        <v>#DIV/0!</v>
      </c>
      <c r="AA1132" s="56">
        <f>Y1132/Model!$B$12*3600</f>
        <v>0</v>
      </c>
      <c r="AB1132" s="50">
        <f t="shared" si="360"/>
        <v>0</v>
      </c>
      <c r="AC1132" s="50">
        <f t="shared" si="380"/>
        <v>1800</v>
      </c>
      <c r="AD1132" s="15">
        <f>IF(AE1132=0, Model!$B$19, 0 )</f>
        <v>0</v>
      </c>
      <c r="AE1132" s="50">
        <f>IF(AE1131+AB1131-AB1132&lt;Model!$B$19*Model!$B$18, AE1131+AB1131-AB1132,  0)</f>
        <v>443.63457370611354</v>
      </c>
      <c r="AF1132" s="15">
        <f t="shared" si="356"/>
        <v>1</v>
      </c>
      <c r="AG1132" s="50">
        <f t="shared" si="357"/>
        <v>0</v>
      </c>
    </row>
    <row r="1133" spans="2:33" x14ac:dyDescent="0.25">
      <c r="B1133" s="13">
        <f t="shared" si="358"/>
        <v>1</v>
      </c>
      <c r="C1133" s="13">
        <f>B1133+Model!$B$4</f>
        <v>3</v>
      </c>
      <c r="D1133" s="13">
        <f t="shared" si="359"/>
        <v>1</v>
      </c>
      <c r="E1133" s="13">
        <f t="shared" si="381"/>
        <v>3</v>
      </c>
      <c r="F1133" s="14">
        <f>IF(AB1133&gt;0, VLOOKUP(B1133,Model!$A$40:$B$60, 2), 0)</f>
        <v>0</v>
      </c>
      <c r="G1133" s="13">
        <f>IF(AB1133&gt;0, VLOOKUP(B1133,Model!$A$39:$C$58, 3), 0)</f>
        <v>0</v>
      </c>
      <c r="H1133" s="13">
        <f t="shared" si="344"/>
        <v>0</v>
      </c>
      <c r="I1133" s="46">
        <f>Model!$B$21*EXP((-0.029*9.81*F1133)/(8.31*(273+J1133)))</f>
        <v>104500</v>
      </c>
      <c r="J1133" s="13">
        <f>IF(Model!$B$31="Summer",  IF(F1133&lt;=2000,  Model!$B$20-Model!$B$35*F1133/1000,  IF(F1133&lt;Model!$B$36,  Model!$B$33-6.5*F1133/1000,  Model!$B$38)),     IF(F1133&lt;=2000,  Model!$B$20-Model!$B$35*F1133/1000,  IF(F1133&lt;Model!$B$36,  Model!$B$33-5.4*F1133/1000,   Model!$B$38)))</f>
        <v>-20</v>
      </c>
      <c r="K1133" s="13">
        <f t="shared" si="377"/>
        <v>253</v>
      </c>
      <c r="L1133" s="46">
        <f>IF(AB1132-AA1132*(B1133-B1132)&gt;0, L1132-Y1132*(B1133-B1132)*3600-AD1133*Model!$B$16, 0)</f>
        <v>0</v>
      </c>
      <c r="M1133" s="57">
        <f t="shared" si="346"/>
        <v>0</v>
      </c>
      <c r="N1133" s="57">
        <f>Model!$B$13*I1133*K1133/(Model!$B$13*I1133-L1133*287*K1133)</f>
        <v>253</v>
      </c>
      <c r="O1133" s="57">
        <f t="shared" si="347"/>
        <v>253</v>
      </c>
      <c r="P1133" s="57">
        <f t="shared" si="348"/>
        <v>-10</v>
      </c>
      <c r="Q1133" s="63">
        <f t="shared" si="378"/>
        <v>2.2579999999999999E-2</v>
      </c>
      <c r="R1133" s="17">
        <f t="shared" si="379"/>
        <v>1.152E-5</v>
      </c>
      <c r="S1133" s="46">
        <f>0.37*Model!$B$10*(Q1133^2*(N1133-K1133)*I1133/(R1133*O1133^2))^0.33333*(N1133-K1133)</f>
        <v>0</v>
      </c>
      <c r="T1133" s="51">
        <f>Model!$B$32+(90-Model!$B$6)*SIN(RADIANS(-15*(E1133+6)))</f>
        <v>-31.619472402513487</v>
      </c>
      <c r="U1133" s="46">
        <f t="shared" si="351"/>
        <v>0</v>
      </c>
      <c r="V1133" s="51">
        <f t="shared" si="352"/>
        <v>99999</v>
      </c>
      <c r="W1133" s="46">
        <f t="shared" si="353"/>
        <v>0</v>
      </c>
      <c r="X1133" s="46">
        <f>0.3*W1133*Model!$B$9</f>
        <v>0</v>
      </c>
      <c r="Y1133" s="17">
        <f>(S1133-X1133)/Model!$B$11</f>
        <v>0</v>
      </c>
      <c r="Z1133" s="46" t="e">
        <f t="shared" si="354"/>
        <v>#DIV/0!</v>
      </c>
      <c r="AA1133" s="57">
        <f>Y1133/Model!$B$12*3600</f>
        <v>0</v>
      </c>
      <c r="AB1133" s="51">
        <f t="shared" si="360"/>
        <v>0</v>
      </c>
      <c r="AC1133" s="51">
        <f t="shared" si="380"/>
        <v>1800</v>
      </c>
      <c r="AD1133" s="13">
        <f>IF(AE1133=0, Model!$B$19, 0 )</f>
        <v>0</v>
      </c>
      <c r="AE1133" s="51">
        <f>IF(AE1132+AB1132-AB1133&lt;Model!$B$19*Model!$B$18, AE1132+AB1132-AB1133,  0)</f>
        <v>443.63457370611354</v>
      </c>
      <c r="AF1133" s="13">
        <f t="shared" si="356"/>
        <v>1</v>
      </c>
      <c r="AG1133" s="50">
        <f t="shared" si="357"/>
        <v>0</v>
      </c>
    </row>
    <row r="1134" spans="2:33" x14ac:dyDescent="0.25">
      <c r="B1134" s="15">
        <f t="shared" si="358"/>
        <v>1</v>
      </c>
      <c r="C1134" s="15">
        <f>B1134+Model!$B$4</f>
        <v>3</v>
      </c>
      <c r="D1134" s="15">
        <f t="shared" si="359"/>
        <v>1</v>
      </c>
      <c r="E1134" s="15">
        <f t="shared" si="381"/>
        <v>3</v>
      </c>
      <c r="F1134" s="16">
        <f>IF(AB1134&gt;0, VLOOKUP(B1134,Model!$A$40:$B$60, 2), 0)</f>
        <v>0</v>
      </c>
      <c r="G1134" s="15">
        <f>IF(AB1134&gt;0, VLOOKUP(B1134,Model!$A$39:$C$58, 3), 0)</f>
        <v>0</v>
      </c>
      <c r="H1134" s="15">
        <f t="shared" si="344"/>
        <v>0</v>
      </c>
      <c r="I1134" s="45">
        <f>Model!$B$21*EXP((-0.029*9.81*F1134)/(8.31*(273+J1134)))</f>
        <v>104500</v>
      </c>
      <c r="J1134" s="15">
        <f>IF(Model!$B$31="Summer",  IF(F1134&lt;=2000,  Model!$B$20-Model!$B$35*F1134/1000,  IF(F1134&lt;Model!$B$36,  Model!$B$33-6.5*F1134/1000,  Model!$B$38)),     IF(F1134&lt;=2000,  Model!$B$20-Model!$B$35*F1134/1000,  IF(F1134&lt;Model!$B$36,  Model!$B$33-5.4*F1134/1000,   Model!$B$38)))</f>
        <v>-20</v>
      </c>
      <c r="K1134" s="15">
        <f t="shared" si="377"/>
        <v>253</v>
      </c>
      <c r="L1134" s="45">
        <f>IF(AB1133-AA1133*(B1134-B1133)&gt;0, L1133-Y1133*(B1134-B1133)*3600-AD1134*Model!$B$16, 0)</f>
        <v>0</v>
      </c>
      <c r="M1134" s="56">
        <f t="shared" si="346"/>
        <v>0</v>
      </c>
      <c r="N1134" s="56">
        <f>Model!$B$13*I1134*K1134/(Model!$B$13*I1134-L1134*287*K1134)</f>
        <v>253</v>
      </c>
      <c r="O1134" s="56">
        <f t="shared" si="347"/>
        <v>253</v>
      </c>
      <c r="P1134" s="56">
        <f t="shared" si="348"/>
        <v>-10</v>
      </c>
      <c r="Q1134" s="62">
        <f t="shared" si="378"/>
        <v>2.2579999999999999E-2</v>
      </c>
      <c r="R1134" s="33">
        <f t="shared" si="379"/>
        <v>1.152E-5</v>
      </c>
      <c r="S1134" s="45">
        <f>0.37*Model!$B$10*(Q1134^2*(N1134-K1134)*I1134/(R1134*O1134^2))^0.33333*(N1134-K1134)</f>
        <v>0</v>
      </c>
      <c r="T1134" s="50">
        <f>Model!$B$32+(90-Model!$B$6)*SIN(RADIANS(-15*(E1134+6)))</f>
        <v>-31.619472402513487</v>
      </c>
      <c r="U1134" s="45">
        <f t="shared" si="351"/>
        <v>0</v>
      </c>
      <c r="V1134" s="50">
        <f t="shared" si="352"/>
        <v>99999</v>
      </c>
      <c r="W1134" s="45">
        <f t="shared" si="353"/>
        <v>0</v>
      </c>
      <c r="X1134" s="45">
        <f>0.3*W1134*Model!$B$9</f>
        <v>0</v>
      </c>
      <c r="Y1134" s="33">
        <f>(S1134-X1134)/Model!$B$11</f>
        <v>0</v>
      </c>
      <c r="Z1134" s="45" t="e">
        <f t="shared" si="354"/>
        <v>#DIV/0!</v>
      </c>
      <c r="AA1134" s="56">
        <f>Y1134/Model!$B$12*3600</f>
        <v>0</v>
      </c>
      <c r="AB1134" s="50">
        <f t="shared" si="360"/>
        <v>0</v>
      </c>
      <c r="AC1134" s="50">
        <f t="shared" si="380"/>
        <v>1800</v>
      </c>
      <c r="AD1134" s="15">
        <f>IF(AE1134=0, Model!$B$19, 0 )</f>
        <v>0</v>
      </c>
      <c r="AE1134" s="50">
        <f>IF(AE1133+AB1133-AB1134&lt;Model!$B$19*Model!$B$18, AE1133+AB1133-AB1134,  0)</f>
        <v>443.63457370611354</v>
      </c>
      <c r="AF1134" s="15">
        <f t="shared" si="356"/>
        <v>1</v>
      </c>
      <c r="AG1134" s="50">
        <f t="shared" si="357"/>
        <v>0</v>
      </c>
    </row>
    <row r="1135" spans="2:33" x14ac:dyDescent="0.25">
      <c r="B1135" s="13">
        <f t="shared" si="358"/>
        <v>1</v>
      </c>
      <c r="C1135" s="13">
        <f>B1135+Model!$B$4</f>
        <v>3</v>
      </c>
      <c r="D1135" s="13">
        <f t="shared" si="359"/>
        <v>1</v>
      </c>
      <c r="E1135" s="13">
        <f t="shared" si="381"/>
        <v>3</v>
      </c>
      <c r="F1135" s="14">
        <f>IF(AB1135&gt;0, VLOOKUP(B1135,Model!$A$40:$B$60, 2), 0)</f>
        <v>0</v>
      </c>
      <c r="G1135" s="13">
        <f>IF(AB1135&gt;0, VLOOKUP(B1135,Model!$A$39:$C$58, 3), 0)</f>
        <v>0</v>
      </c>
      <c r="H1135" s="13">
        <f t="shared" si="344"/>
        <v>0</v>
      </c>
      <c r="I1135" s="46">
        <f>Model!$B$21*EXP((-0.029*9.81*F1135)/(8.31*(273+J1135)))</f>
        <v>104500</v>
      </c>
      <c r="J1135" s="13">
        <f>IF(Model!$B$31="Summer",  IF(F1135&lt;=2000,  Model!$B$20-Model!$B$35*F1135/1000,  IF(F1135&lt;Model!$B$36,  Model!$B$33-6.5*F1135/1000,  Model!$B$38)),     IF(F1135&lt;=2000,  Model!$B$20-Model!$B$35*F1135/1000,  IF(F1135&lt;Model!$B$36,  Model!$B$33-5.4*F1135/1000,   Model!$B$38)))</f>
        <v>-20</v>
      </c>
      <c r="K1135" s="13">
        <f t="shared" si="377"/>
        <v>253</v>
      </c>
      <c r="L1135" s="46">
        <f>IF(AB1134-AA1134*(B1135-B1134)&gt;0, L1134-Y1134*(B1135-B1134)*3600-AD1135*Model!$B$16, 0)</f>
        <v>0</v>
      </c>
      <c r="M1135" s="57">
        <f t="shared" si="346"/>
        <v>0</v>
      </c>
      <c r="N1135" s="57">
        <f>Model!$B$13*I1135*K1135/(Model!$B$13*I1135-L1135*287*K1135)</f>
        <v>253</v>
      </c>
      <c r="O1135" s="57">
        <f t="shared" si="347"/>
        <v>253</v>
      </c>
      <c r="P1135" s="57">
        <f t="shared" si="348"/>
        <v>-10</v>
      </c>
      <c r="Q1135" s="63">
        <f t="shared" si="378"/>
        <v>2.2579999999999999E-2</v>
      </c>
      <c r="R1135" s="17">
        <f t="shared" si="379"/>
        <v>1.152E-5</v>
      </c>
      <c r="S1135" s="46">
        <f>0.37*Model!$B$10*(Q1135^2*(N1135-K1135)*I1135/(R1135*O1135^2))^0.33333*(N1135-K1135)</f>
        <v>0</v>
      </c>
      <c r="T1135" s="51">
        <f>Model!$B$32+(90-Model!$B$6)*SIN(RADIANS(-15*(E1135+6)))</f>
        <v>-31.619472402513487</v>
      </c>
      <c r="U1135" s="46">
        <f t="shared" si="351"/>
        <v>0</v>
      </c>
      <c r="V1135" s="51">
        <f t="shared" si="352"/>
        <v>99999</v>
      </c>
      <c r="W1135" s="46">
        <f t="shared" si="353"/>
        <v>0</v>
      </c>
      <c r="X1135" s="46">
        <f>0.3*W1135*Model!$B$9</f>
        <v>0</v>
      </c>
      <c r="Y1135" s="17">
        <f>(S1135-X1135)/Model!$B$11</f>
        <v>0</v>
      </c>
      <c r="Z1135" s="46" t="e">
        <f t="shared" si="354"/>
        <v>#DIV/0!</v>
      </c>
      <c r="AA1135" s="57">
        <f>Y1135/Model!$B$12*3600</f>
        <v>0</v>
      </c>
      <c r="AB1135" s="51">
        <f t="shared" si="360"/>
        <v>0</v>
      </c>
      <c r="AC1135" s="51">
        <f t="shared" si="380"/>
        <v>1800</v>
      </c>
      <c r="AD1135" s="13">
        <f>IF(AE1135=0, Model!$B$19, 0 )</f>
        <v>0</v>
      </c>
      <c r="AE1135" s="51">
        <f>IF(AE1134+AB1134-AB1135&lt;Model!$B$19*Model!$B$18, AE1134+AB1134-AB1135,  0)</f>
        <v>443.63457370611354</v>
      </c>
      <c r="AF1135" s="13">
        <f t="shared" si="356"/>
        <v>1</v>
      </c>
      <c r="AG1135" s="50">
        <f t="shared" si="357"/>
        <v>0</v>
      </c>
    </row>
    <row r="1136" spans="2:33" x14ac:dyDescent="0.25">
      <c r="B1136" s="15">
        <f t="shared" si="358"/>
        <v>1</v>
      </c>
      <c r="C1136" s="15">
        <f>B1136+Model!$B$4</f>
        <v>3</v>
      </c>
      <c r="D1136" s="15">
        <f t="shared" si="359"/>
        <v>1</v>
      </c>
      <c r="E1136" s="15">
        <f t="shared" si="381"/>
        <v>3</v>
      </c>
      <c r="F1136" s="16">
        <f>IF(AB1136&gt;0, VLOOKUP(B1136,Model!$A$40:$B$60, 2), 0)</f>
        <v>0</v>
      </c>
      <c r="G1136" s="15">
        <f>IF(AB1136&gt;0, VLOOKUP(B1136,Model!$A$39:$C$58, 3), 0)</f>
        <v>0</v>
      </c>
      <c r="H1136" s="15">
        <f t="shared" si="344"/>
        <v>0</v>
      </c>
      <c r="I1136" s="45">
        <f>Model!$B$21*EXP((-0.029*9.81*F1136)/(8.31*(273+J1136)))</f>
        <v>104500</v>
      </c>
      <c r="J1136" s="15">
        <f>IF(Model!$B$31="Summer",  IF(F1136&lt;=2000,  Model!$B$20-Model!$B$35*F1136/1000,  IF(F1136&lt;Model!$B$36,  Model!$B$33-6.5*F1136/1000,  Model!$B$38)),     IF(F1136&lt;=2000,  Model!$B$20-Model!$B$35*F1136/1000,  IF(F1136&lt;Model!$B$36,  Model!$B$33-5.4*F1136/1000,   Model!$B$38)))</f>
        <v>-20</v>
      </c>
      <c r="K1136" s="15">
        <f t="shared" si="377"/>
        <v>253</v>
      </c>
      <c r="L1136" s="45">
        <f>IF(AB1135-AA1135*(B1136-B1135)&gt;0, L1135-Y1135*(B1136-B1135)*3600-AD1136*Model!$B$16, 0)</f>
        <v>0</v>
      </c>
      <c r="M1136" s="56">
        <f t="shared" si="346"/>
        <v>0</v>
      </c>
      <c r="N1136" s="56">
        <f>Model!$B$13*I1136*K1136/(Model!$B$13*I1136-L1136*287*K1136)</f>
        <v>253</v>
      </c>
      <c r="O1136" s="56">
        <f t="shared" si="347"/>
        <v>253</v>
      </c>
      <c r="P1136" s="56">
        <f t="shared" si="348"/>
        <v>-10</v>
      </c>
      <c r="Q1136" s="62">
        <f t="shared" si="378"/>
        <v>2.2579999999999999E-2</v>
      </c>
      <c r="R1136" s="33">
        <f t="shared" si="379"/>
        <v>1.152E-5</v>
      </c>
      <c r="S1136" s="45">
        <f>0.37*Model!$B$10*(Q1136^2*(N1136-K1136)*I1136/(R1136*O1136^2))^0.33333*(N1136-K1136)</f>
        <v>0</v>
      </c>
      <c r="T1136" s="50">
        <f>Model!$B$32+(90-Model!$B$6)*SIN(RADIANS(-15*(E1136+6)))</f>
        <v>-31.619472402513487</v>
      </c>
      <c r="U1136" s="45">
        <f t="shared" si="351"/>
        <v>0</v>
      </c>
      <c r="V1136" s="50">
        <f t="shared" si="352"/>
        <v>99999</v>
      </c>
      <c r="W1136" s="45">
        <f t="shared" si="353"/>
        <v>0</v>
      </c>
      <c r="X1136" s="45">
        <f>0.3*W1136*Model!$B$9</f>
        <v>0</v>
      </c>
      <c r="Y1136" s="33">
        <f>(S1136-X1136)/Model!$B$11</f>
        <v>0</v>
      </c>
      <c r="Z1136" s="45" t="e">
        <f t="shared" si="354"/>
        <v>#DIV/0!</v>
      </c>
      <c r="AA1136" s="56">
        <f>Y1136/Model!$B$12*3600</f>
        <v>0</v>
      </c>
      <c r="AB1136" s="50">
        <f t="shared" si="360"/>
        <v>0</v>
      </c>
      <c r="AC1136" s="50">
        <f t="shared" si="380"/>
        <v>1800</v>
      </c>
      <c r="AD1136" s="15">
        <f>IF(AE1136=0, Model!$B$19, 0 )</f>
        <v>0</v>
      </c>
      <c r="AE1136" s="50">
        <f>IF(AE1135+AB1135-AB1136&lt;Model!$B$19*Model!$B$18, AE1135+AB1135-AB1136,  0)</f>
        <v>443.63457370611354</v>
      </c>
      <c r="AF1136" s="15">
        <f t="shared" si="356"/>
        <v>1</v>
      </c>
      <c r="AG1136" s="50">
        <f t="shared" si="357"/>
        <v>0</v>
      </c>
    </row>
    <row r="1137" spans="2:33" x14ac:dyDescent="0.25">
      <c r="B1137" s="13">
        <f t="shared" si="358"/>
        <v>1</v>
      </c>
      <c r="C1137" s="13">
        <f>B1137+Model!$B$4</f>
        <v>3</v>
      </c>
      <c r="D1137" s="13">
        <f t="shared" si="359"/>
        <v>1</v>
      </c>
      <c r="E1137" s="13">
        <f t="shared" si="381"/>
        <v>3</v>
      </c>
      <c r="F1137" s="14">
        <f>IF(AB1137&gt;0, VLOOKUP(B1137,Model!$A$40:$B$60, 2), 0)</f>
        <v>0</v>
      </c>
      <c r="G1137" s="13">
        <f>IF(AB1137&gt;0, VLOOKUP(B1137,Model!$A$39:$C$58, 3), 0)</f>
        <v>0</v>
      </c>
      <c r="H1137" s="13">
        <f t="shared" si="344"/>
        <v>0</v>
      </c>
      <c r="I1137" s="46">
        <f>Model!$B$21*EXP((-0.029*9.81*F1137)/(8.31*(273+J1137)))</f>
        <v>104500</v>
      </c>
      <c r="J1137" s="13">
        <f>IF(Model!$B$31="Summer",  IF(F1137&lt;=2000,  Model!$B$20-Model!$B$35*F1137/1000,  IF(F1137&lt;Model!$B$36,  Model!$B$33-6.5*F1137/1000,  Model!$B$38)),     IF(F1137&lt;=2000,  Model!$B$20-Model!$B$35*F1137/1000,  IF(F1137&lt;Model!$B$36,  Model!$B$33-5.4*F1137/1000,   Model!$B$38)))</f>
        <v>-20</v>
      </c>
      <c r="K1137" s="13">
        <f t="shared" si="377"/>
        <v>253</v>
      </c>
      <c r="L1137" s="46">
        <f>IF(AB1136-AA1136*(B1137-B1136)&gt;0, L1136-Y1136*(B1137-B1136)*3600-AD1137*Model!$B$16, 0)</f>
        <v>0</v>
      </c>
      <c r="M1137" s="57">
        <f t="shared" si="346"/>
        <v>0</v>
      </c>
      <c r="N1137" s="57">
        <f>Model!$B$13*I1137*K1137/(Model!$B$13*I1137-L1137*287*K1137)</f>
        <v>253</v>
      </c>
      <c r="O1137" s="57">
        <f t="shared" si="347"/>
        <v>253</v>
      </c>
      <c r="P1137" s="57">
        <f t="shared" si="348"/>
        <v>-10</v>
      </c>
      <c r="Q1137" s="63">
        <f t="shared" si="378"/>
        <v>2.2579999999999999E-2</v>
      </c>
      <c r="R1137" s="17">
        <f t="shared" si="379"/>
        <v>1.152E-5</v>
      </c>
      <c r="S1137" s="46">
        <f>0.37*Model!$B$10*(Q1137^2*(N1137-K1137)*I1137/(R1137*O1137^2))^0.33333*(N1137-K1137)</f>
        <v>0</v>
      </c>
      <c r="T1137" s="51">
        <f>Model!$B$32+(90-Model!$B$6)*SIN(RADIANS(-15*(E1137+6)))</f>
        <v>-31.619472402513487</v>
      </c>
      <c r="U1137" s="46">
        <f t="shared" si="351"/>
        <v>0</v>
      </c>
      <c r="V1137" s="51">
        <f t="shared" si="352"/>
        <v>99999</v>
      </c>
      <c r="W1137" s="46">
        <f t="shared" si="353"/>
        <v>0</v>
      </c>
      <c r="X1137" s="46">
        <f>0.3*W1137*Model!$B$9</f>
        <v>0</v>
      </c>
      <c r="Y1137" s="17">
        <f>(S1137-X1137)/Model!$B$11</f>
        <v>0</v>
      </c>
      <c r="Z1137" s="46" t="e">
        <f t="shared" si="354"/>
        <v>#DIV/0!</v>
      </c>
      <c r="AA1137" s="57">
        <f>Y1137/Model!$B$12*3600</f>
        <v>0</v>
      </c>
      <c r="AB1137" s="51">
        <f t="shared" si="360"/>
        <v>0</v>
      </c>
      <c r="AC1137" s="51">
        <f t="shared" si="380"/>
        <v>1800</v>
      </c>
      <c r="AD1137" s="13">
        <f>IF(AE1137=0, Model!$B$19, 0 )</f>
        <v>0</v>
      </c>
      <c r="AE1137" s="51">
        <f>IF(AE1136+AB1136-AB1137&lt;Model!$B$19*Model!$B$18, AE1136+AB1136-AB1137,  0)</f>
        <v>443.63457370611354</v>
      </c>
      <c r="AF1137" s="13">
        <f t="shared" si="356"/>
        <v>1</v>
      </c>
      <c r="AG1137" s="50">
        <f t="shared" si="357"/>
        <v>0</v>
      </c>
    </row>
    <row r="1138" spans="2:33" x14ac:dyDescent="0.25">
      <c r="B1138" s="15">
        <f t="shared" si="358"/>
        <v>1</v>
      </c>
      <c r="C1138" s="15">
        <f>B1138+Model!$B$4</f>
        <v>3</v>
      </c>
      <c r="D1138" s="15">
        <f t="shared" si="359"/>
        <v>1</v>
      </c>
      <c r="E1138" s="15">
        <f t="shared" si="381"/>
        <v>3</v>
      </c>
      <c r="F1138" s="16">
        <f>IF(AB1138&gt;0, VLOOKUP(B1138,Model!$A$40:$B$60, 2), 0)</f>
        <v>0</v>
      </c>
      <c r="G1138" s="15">
        <f>IF(AB1138&gt;0, VLOOKUP(B1138,Model!$A$39:$C$58, 3), 0)</f>
        <v>0</v>
      </c>
      <c r="H1138" s="15">
        <f t="shared" si="344"/>
        <v>0</v>
      </c>
      <c r="I1138" s="45">
        <f>Model!$B$21*EXP((-0.029*9.81*F1138)/(8.31*(273+J1138)))</f>
        <v>104500</v>
      </c>
      <c r="J1138" s="15">
        <f>IF(Model!$B$31="Summer",  IF(F1138&lt;=2000,  Model!$B$20-Model!$B$35*F1138/1000,  IF(F1138&lt;Model!$B$36,  Model!$B$33-6.5*F1138/1000,  Model!$B$38)),     IF(F1138&lt;=2000,  Model!$B$20-Model!$B$35*F1138/1000,  IF(F1138&lt;Model!$B$36,  Model!$B$33-5.4*F1138/1000,   Model!$B$38)))</f>
        <v>-20</v>
      </c>
      <c r="K1138" s="15">
        <f t="shared" si="377"/>
        <v>253</v>
      </c>
      <c r="L1138" s="45">
        <f>IF(AB1137-AA1137*(B1138-B1137)&gt;0, L1137-Y1137*(B1138-B1137)*3600-AD1138*Model!$B$16, 0)</f>
        <v>0</v>
      </c>
      <c r="M1138" s="56">
        <f t="shared" si="346"/>
        <v>0</v>
      </c>
      <c r="N1138" s="56">
        <f>Model!$B$13*I1138*K1138/(Model!$B$13*I1138-L1138*287*K1138)</f>
        <v>253</v>
      </c>
      <c r="O1138" s="56">
        <f t="shared" si="347"/>
        <v>253</v>
      </c>
      <c r="P1138" s="56">
        <f t="shared" si="348"/>
        <v>-10</v>
      </c>
      <c r="Q1138" s="62">
        <f t="shared" si="378"/>
        <v>2.2579999999999999E-2</v>
      </c>
      <c r="R1138" s="33">
        <f t="shared" si="379"/>
        <v>1.152E-5</v>
      </c>
      <c r="S1138" s="45">
        <f>0.37*Model!$B$10*(Q1138^2*(N1138-K1138)*I1138/(R1138*O1138^2))^0.33333*(N1138-K1138)</f>
        <v>0</v>
      </c>
      <c r="T1138" s="50">
        <f>Model!$B$32+(90-Model!$B$6)*SIN(RADIANS(-15*(E1138+6)))</f>
        <v>-31.619472402513487</v>
      </c>
      <c r="U1138" s="45">
        <f t="shared" si="351"/>
        <v>0</v>
      </c>
      <c r="V1138" s="50">
        <f t="shared" si="352"/>
        <v>99999</v>
      </c>
      <c r="W1138" s="45">
        <f t="shared" si="353"/>
        <v>0</v>
      </c>
      <c r="X1138" s="45">
        <f>0.3*W1138*Model!$B$9</f>
        <v>0</v>
      </c>
      <c r="Y1138" s="33">
        <f>(S1138-X1138)/Model!$B$11</f>
        <v>0</v>
      </c>
      <c r="Z1138" s="45" t="e">
        <f t="shared" si="354"/>
        <v>#DIV/0!</v>
      </c>
      <c r="AA1138" s="56">
        <f>Y1138/Model!$B$12*3600</f>
        <v>0</v>
      </c>
      <c r="AB1138" s="50">
        <f t="shared" si="360"/>
        <v>0</v>
      </c>
      <c r="AC1138" s="50">
        <f t="shared" si="380"/>
        <v>1800</v>
      </c>
      <c r="AD1138" s="15">
        <f>IF(AE1138=0, Model!$B$19, 0 )</f>
        <v>0</v>
      </c>
      <c r="AE1138" s="50">
        <f>IF(AE1137+AB1137-AB1138&lt;Model!$B$19*Model!$B$18, AE1137+AB1137-AB1138,  0)</f>
        <v>443.63457370611354</v>
      </c>
      <c r="AF1138" s="15">
        <f t="shared" si="356"/>
        <v>1</v>
      </c>
      <c r="AG1138" s="50">
        <f t="shared" si="357"/>
        <v>0</v>
      </c>
    </row>
    <row r="1139" spans="2:33" x14ac:dyDescent="0.25">
      <c r="B1139" s="13">
        <f t="shared" si="358"/>
        <v>1</v>
      </c>
      <c r="C1139" s="13">
        <f>B1139+Model!$B$4</f>
        <v>3</v>
      </c>
      <c r="D1139" s="13">
        <f t="shared" si="359"/>
        <v>1</v>
      </c>
      <c r="E1139" s="13">
        <f t="shared" si="381"/>
        <v>3</v>
      </c>
      <c r="F1139" s="14">
        <f>IF(AB1139&gt;0, VLOOKUP(B1139,Model!$A$40:$B$60, 2), 0)</f>
        <v>0</v>
      </c>
      <c r="G1139" s="13">
        <f>IF(AB1139&gt;0, VLOOKUP(B1139,Model!$A$39:$C$58, 3), 0)</f>
        <v>0</v>
      </c>
      <c r="H1139" s="13">
        <f t="shared" si="344"/>
        <v>0</v>
      </c>
      <c r="I1139" s="46">
        <f>Model!$B$21*EXP((-0.029*9.81*F1139)/(8.31*(273+J1139)))</f>
        <v>104500</v>
      </c>
      <c r="J1139" s="13">
        <f>IF(Model!$B$31="Summer",  IF(F1139&lt;=2000,  Model!$B$20-Model!$B$35*F1139/1000,  IF(F1139&lt;Model!$B$36,  Model!$B$33-6.5*F1139/1000,  Model!$B$38)),     IF(F1139&lt;=2000,  Model!$B$20-Model!$B$35*F1139/1000,  IF(F1139&lt;Model!$B$36,  Model!$B$33-5.4*F1139/1000,   Model!$B$38)))</f>
        <v>-20</v>
      </c>
      <c r="K1139" s="13">
        <f t="shared" si="377"/>
        <v>253</v>
      </c>
      <c r="L1139" s="46">
        <f>IF(AB1138-AA1138*(B1139-B1138)&gt;0, L1138-Y1138*(B1139-B1138)*3600-AD1139*Model!$B$16, 0)</f>
        <v>0</v>
      </c>
      <c r="M1139" s="57">
        <f t="shared" si="346"/>
        <v>0</v>
      </c>
      <c r="N1139" s="57">
        <f>Model!$B$13*I1139*K1139/(Model!$B$13*I1139-L1139*287*K1139)</f>
        <v>253</v>
      </c>
      <c r="O1139" s="57">
        <f t="shared" si="347"/>
        <v>253</v>
      </c>
      <c r="P1139" s="57">
        <f t="shared" si="348"/>
        <v>-10</v>
      </c>
      <c r="Q1139" s="63">
        <f t="shared" si="378"/>
        <v>2.2579999999999999E-2</v>
      </c>
      <c r="R1139" s="17">
        <f t="shared" si="379"/>
        <v>1.152E-5</v>
      </c>
      <c r="S1139" s="46">
        <f>0.37*Model!$B$10*(Q1139^2*(N1139-K1139)*I1139/(R1139*O1139^2))^0.33333*(N1139-K1139)</f>
        <v>0</v>
      </c>
      <c r="T1139" s="51">
        <f>Model!$B$32+(90-Model!$B$6)*SIN(RADIANS(-15*(E1139+6)))</f>
        <v>-31.619472402513487</v>
      </c>
      <c r="U1139" s="46">
        <f t="shared" si="351"/>
        <v>0</v>
      </c>
      <c r="V1139" s="51">
        <f t="shared" si="352"/>
        <v>99999</v>
      </c>
      <c r="W1139" s="46">
        <f t="shared" si="353"/>
        <v>0</v>
      </c>
      <c r="X1139" s="46">
        <f>0.3*W1139*Model!$B$9</f>
        <v>0</v>
      </c>
      <c r="Y1139" s="17">
        <f>(S1139-X1139)/Model!$B$11</f>
        <v>0</v>
      </c>
      <c r="Z1139" s="46" t="e">
        <f t="shared" si="354"/>
        <v>#DIV/0!</v>
      </c>
      <c r="AA1139" s="57">
        <f>Y1139/Model!$B$12*3600</f>
        <v>0</v>
      </c>
      <c r="AB1139" s="51">
        <f t="shared" si="360"/>
        <v>0</v>
      </c>
      <c r="AC1139" s="51">
        <f t="shared" si="380"/>
        <v>1800</v>
      </c>
      <c r="AD1139" s="13">
        <f>IF(AE1139=0, Model!$B$19, 0 )</f>
        <v>0</v>
      </c>
      <c r="AE1139" s="51">
        <f>IF(AE1138+AB1138-AB1139&lt;Model!$B$19*Model!$B$18, AE1138+AB1138-AB1139,  0)</f>
        <v>443.63457370611354</v>
      </c>
      <c r="AF1139" s="13">
        <f t="shared" si="356"/>
        <v>1</v>
      </c>
      <c r="AG1139" s="50">
        <f t="shared" si="357"/>
        <v>0</v>
      </c>
    </row>
    <row r="1140" spans="2:33" x14ac:dyDescent="0.25">
      <c r="B1140" s="15">
        <f t="shared" si="358"/>
        <v>1</v>
      </c>
      <c r="C1140" s="15">
        <f>B1140+Model!$B$4</f>
        <v>3</v>
      </c>
      <c r="D1140" s="15">
        <f t="shared" si="359"/>
        <v>1</v>
      </c>
      <c r="E1140" s="15">
        <f t="shared" si="381"/>
        <v>3</v>
      </c>
      <c r="F1140" s="16">
        <f>IF(AB1140&gt;0, VLOOKUP(B1140,Model!$A$40:$B$60, 2), 0)</f>
        <v>0</v>
      </c>
      <c r="G1140" s="15">
        <f>IF(AB1140&gt;0, VLOOKUP(B1140,Model!$A$39:$C$58, 3), 0)</f>
        <v>0</v>
      </c>
      <c r="H1140" s="15">
        <f t="shared" si="344"/>
        <v>0</v>
      </c>
      <c r="I1140" s="45">
        <f>Model!$B$21*EXP((-0.029*9.81*F1140)/(8.31*(273+J1140)))</f>
        <v>104500</v>
      </c>
      <c r="J1140" s="15">
        <f>IF(Model!$B$31="Summer",  IF(F1140&lt;=2000,  Model!$B$20-Model!$B$35*F1140/1000,  IF(F1140&lt;Model!$B$36,  Model!$B$33-6.5*F1140/1000,  Model!$B$38)),     IF(F1140&lt;=2000,  Model!$B$20-Model!$B$35*F1140/1000,  IF(F1140&lt;Model!$B$36,  Model!$B$33-5.4*F1140/1000,   Model!$B$38)))</f>
        <v>-20</v>
      </c>
      <c r="K1140" s="15">
        <f t="shared" si="377"/>
        <v>253</v>
      </c>
      <c r="L1140" s="45">
        <f>IF(AB1139-AA1139*(B1140-B1139)&gt;0, L1139-Y1139*(B1140-B1139)*3600-AD1140*Model!$B$16, 0)</f>
        <v>0</v>
      </c>
      <c r="M1140" s="56">
        <f t="shared" si="346"/>
        <v>0</v>
      </c>
      <c r="N1140" s="56">
        <f>Model!$B$13*I1140*K1140/(Model!$B$13*I1140-L1140*287*K1140)</f>
        <v>253</v>
      </c>
      <c r="O1140" s="56">
        <f t="shared" si="347"/>
        <v>253</v>
      </c>
      <c r="P1140" s="56">
        <f t="shared" si="348"/>
        <v>-10</v>
      </c>
      <c r="Q1140" s="62">
        <f t="shared" si="378"/>
        <v>2.2579999999999999E-2</v>
      </c>
      <c r="R1140" s="33">
        <f t="shared" si="379"/>
        <v>1.152E-5</v>
      </c>
      <c r="S1140" s="45">
        <f>0.37*Model!$B$10*(Q1140^2*(N1140-K1140)*I1140/(R1140*O1140^2))^0.33333*(N1140-K1140)</f>
        <v>0</v>
      </c>
      <c r="T1140" s="50">
        <f>Model!$B$32+(90-Model!$B$6)*SIN(RADIANS(-15*(E1140+6)))</f>
        <v>-31.619472402513487</v>
      </c>
      <c r="U1140" s="45">
        <f t="shared" si="351"/>
        <v>0</v>
      </c>
      <c r="V1140" s="50">
        <f t="shared" si="352"/>
        <v>99999</v>
      </c>
      <c r="W1140" s="45">
        <f t="shared" si="353"/>
        <v>0</v>
      </c>
      <c r="X1140" s="45">
        <f>0.3*W1140*Model!$B$9</f>
        <v>0</v>
      </c>
      <c r="Y1140" s="33">
        <f>(S1140-X1140)/Model!$B$11</f>
        <v>0</v>
      </c>
      <c r="Z1140" s="45" t="e">
        <f t="shared" si="354"/>
        <v>#DIV/0!</v>
      </c>
      <c r="AA1140" s="56">
        <f>Y1140/Model!$B$12*3600</f>
        <v>0</v>
      </c>
      <c r="AB1140" s="50">
        <f t="shared" si="360"/>
        <v>0</v>
      </c>
      <c r="AC1140" s="50">
        <f t="shared" si="380"/>
        <v>1800</v>
      </c>
      <c r="AD1140" s="15">
        <f>IF(AE1140=0, Model!$B$19, 0 )</f>
        <v>0</v>
      </c>
      <c r="AE1140" s="50">
        <f>IF(AE1139+AB1139-AB1140&lt;Model!$B$19*Model!$B$18, AE1139+AB1139-AB1140,  0)</f>
        <v>443.63457370611354</v>
      </c>
      <c r="AF1140" s="15">
        <f t="shared" si="356"/>
        <v>1</v>
      </c>
      <c r="AG1140" s="50">
        <f t="shared" si="357"/>
        <v>0</v>
      </c>
    </row>
    <row r="1141" spans="2:33" x14ac:dyDescent="0.25">
      <c r="B1141" s="13">
        <f t="shared" si="358"/>
        <v>1</v>
      </c>
      <c r="C1141" s="13">
        <f>B1141+Model!$B$4</f>
        <v>3</v>
      </c>
      <c r="D1141" s="13">
        <f t="shared" si="359"/>
        <v>1</v>
      </c>
      <c r="E1141" s="13">
        <f t="shared" si="381"/>
        <v>3</v>
      </c>
      <c r="F1141" s="14">
        <f>IF(AB1141&gt;0, VLOOKUP(B1141,Model!$A$40:$B$60, 2), 0)</f>
        <v>0</v>
      </c>
      <c r="G1141" s="13">
        <f>IF(AB1141&gt;0, VLOOKUP(B1141,Model!$A$39:$C$58, 3), 0)</f>
        <v>0</v>
      </c>
      <c r="H1141" s="13">
        <f t="shared" si="344"/>
        <v>0</v>
      </c>
      <c r="I1141" s="46">
        <f>Model!$B$21*EXP((-0.029*9.81*F1141)/(8.31*(273+J1141)))</f>
        <v>104500</v>
      </c>
      <c r="J1141" s="13">
        <f>IF(Model!$B$31="Summer",  IF(F1141&lt;=2000,  Model!$B$20-Model!$B$35*F1141/1000,  IF(F1141&lt;Model!$B$36,  Model!$B$33-6.5*F1141/1000,  Model!$B$38)),     IF(F1141&lt;=2000,  Model!$B$20-Model!$B$35*F1141/1000,  IF(F1141&lt;Model!$B$36,  Model!$B$33-5.4*F1141/1000,   Model!$B$38)))</f>
        <v>-20</v>
      </c>
      <c r="K1141" s="13">
        <f t="shared" si="377"/>
        <v>253</v>
      </c>
      <c r="L1141" s="46">
        <f>IF(AB1140-AA1140*(B1141-B1140)&gt;0, L1140-Y1140*(B1141-B1140)*3600-AD1141*Model!$B$16, 0)</f>
        <v>0</v>
      </c>
      <c r="M1141" s="57">
        <f t="shared" si="346"/>
        <v>0</v>
      </c>
      <c r="N1141" s="57">
        <f>Model!$B$13*I1141*K1141/(Model!$B$13*I1141-L1141*287*K1141)</f>
        <v>253</v>
      </c>
      <c r="O1141" s="57">
        <f t="shared" si="347"/>
        <v>253</v>
      </c>
      <c r="P1141" s="57">
        <f t="shared" si="348"/>
        <v>-10</v>
      </c>
      <c r="Q1141" s="63">
        <f t="shared" si="378"/>
        <v>2.2579999999999999E-2</v>
      </c>
      <c r="R1141" s="17">
        <f t="shared" si="379"/>
        <v>1.152E-5</v>
      </c>
      <c r="S1141" s="46">
        <f>0.37*Model!$B$10*(Q1141^2*(N1141-K1141)*I1141/(R1141*O1141^2))^0.33333*(N1141-K1141)</f>
        <v>0</v>
      </c>
      <c r="T1141" s="51">
        <f>Model!$B$32+(90-Model!$B$6)*SIN(RADIANS(-15*(E1141+6)))</f>
        <v>-31.619472402513487</v>
      </c>
      <c r="U1141" s="46">
        <f t="shared" si="351"/>
        <v>0</v>
      </c>
      <c r="V1141" s="51">
        <f t="shared" si="352"/>
        <v>99999</v>
      </c>
      <c r="W1141" s="46">
        <f t="shared" si="353"/>
        <v>0</v>
      </c>
      <c r="X1141" s="46">
        <f>0.3*W1141*Model!$B$9</f>
        <v>0</v>
      </c>
      <c r="Y1141" s="17">
        <f>(S1141-X1141)/Model!$B$11</f>
        <v>0</v>
      </c>
      <c r="Z1141" s="46" t="e">
        <f t="shared" si="354"/>
        <v>#DIV/0!</v>
      </c>
      <c r="AA1141" s="57">
        <f>Y1141/Model!$B$12*3600</f>
        <v>0</v>
      </c>
      <c r="AB1141" s="51">
        <f t="shared" si="360"/>
        <v>0</v>
      </c>
      <c r="AC1141" s="51">
        <f t="shared" si="380"/>
        <v>1800</v>
      </c>
      <c r="AD1141" s="13">
        <f>IF(AE1141=0, Model!$B$19, 0 )</f>
        <v>0</v>
      </c>
      <c r="AE1141" s="51">
        <f>IF(AE1140+AB1140-AB1141&lt;Model!$B$19*Model!$B$18, AE1140+AB1140-AB1141,  0)</f>
        <v>443.63457370611354</v>
      </c>
      <c r="AF1141" s="13">
        <f t="shared" si="356"/>
        <v>1</v>
      </c>
      <c r="AG1141" s="50">
        <f t="shared" si="357"/>
        <v>0</v>
      </c>
    </row>
    <row r="1142" spans="2:33" x14ac:dyDescent="0.25">
      <c r="B1142" s="15">
        <f t="shared" si="358"/>
        <v>1</v>
      </c>
      <c r="C1142" s="15">
        <f>B1142+Model!$B$4</f>
        <v>3</v>
      </c>
      <c r="D1142" s="15">
        <f t="shared" si="359"/>
        <v>1</v>
      </c>
      <c r="E1142" s="15">
        <f t="shared" si="381"/>
        <v>3</v>
      </c>
      <c r="F1142" s="16">
        <f>IF(AB1142&gt;0, VLOOKUP(B1142,Model!$A$40:$B$60, 2), 0)</f>
        <v>0</v>
      </c>
      <c r="G1142" s="15">
        <f>IF(AB1142&gt;0, VLOOKUP(B1142,Model!$A$39:$C$58, 3), 0)</f>
        <v>0</v>
      </c>
      <c r="H1142" s="15">
        <f t="shared" si="344"/>
        <v>0</v>
      </c>
      <c r="I1142" s="45">
        <f>Model!$B$21*EXP((-0.029*9.81*F1142)/(8.31*(273+J1142)))</f>
        <v>104500</v>
      </c>
      <c r="J1142" s="15">
        <f>IF(Model!$B$31="Summer",  IF(F1142&lt;=2000,  Model!$B$20-Model!$B$35*F1142/1000,  IF(F1142&lt;Model!$B$36,  Model!$B$33-6.5*F1142/1000,  Model!$B$38)),     IF(F1142&lt;=2000,  Model!$B$20-Model!$B$35*F1142/1000,  IF(F1142&lt;Model!$B$36,  Model!$B$33-5.4*F1142/1000,   Model!$B$38)))</f>
        <v>-20</v>
      </c>
      <c r="K1142" s="15">
        <f t="shared" si="377"/>
        <v>253</v>
      </c>
      <c r="L1142" s="45">
        <f>IF(AB1141-AA1141*(B1142-B1141)&gt;0, L1141-Y1141*(B1142-B1141)*3600-AD1142*Model!$B$16, 0)</f>
        <v>0</v>
      </c>
      <c r="M1142" s="56">
        <f t="shared" si="346"/>
        <v>0</v>
      </c>
      <c r="N1142" s="56">
        <f>Model!$B$13*I1142*K1142/(Model!$B$13*I1142-L1142*287*K1142)</f>
        <v>253</v>
      </c>
      <c r="O1142" s="56">
        <f t="shared" si="347"/>
        <v>253</v>
      </c>
      <c r="P1142" s="56">
        <f t="shared" si="348"/>
        <v>-10</v>
      </c>
      <c r="Q1142" s="62">
        <f t="shared" si="378"/>
        <v>2.2579999999999999E-2</v>
      </c>
      <c r="R1142" s="33">
        <f t="shared" si="379"/>
        <v>1.152E-5</v>
      </c>
      <c r="S1142" s="45">
        <f>0.37*Model!$B$10*(Q1142^2*(N1142-K1142)*I1142/(R1142*O1142^2))^0.33333*(N1142-K1142)</f>
        <v>0</v>
      </c>
      <c r="T1142" s="50">
        <f>Model!$B$32+(90-Model!$B$6)*SIN(RADIANS(-15*(E1142+6)))</f>
        <v>-31.619472402513487</v>
      </c>
      <c r="U1142" s="45">
        <f t="shared" si="351"/>
        <v>0</v>
      </c>
      <c r="V1142" s="50">
        <f t="shared" si="352"/>
        <v>99999</v>
      </c>
      <c r="W1142" s="45">
        <f t="shared" si="353"/>
        <v>0</v>
      </c>
      <c r="X1142" s="45">
        <f>0.3*W1142*Model!$B$9</f>
        <v>0</v>
      </c>
      <c r="Y1142" s="33">
        <f>(S1142-X1142)/Model!$B$11</f>
        <v>0</v>
      </c>
      <c r="Z1142" s="45" t="e">
        <f t="shared" si="354"/>
        <v>#DIV/0!</v>
      </c>
      <c r="AA1142" s="56">
        <f>Y1142/Model!$B$12*3600</f>
        <v>0</v>
      </c>
      <c r="AB1142" s="50">
        <f t="shared" si="360"/>
        <v>0</v>
      </c>
      <c r="AC1142" s="50">
        <f t="shared" si="380"/>
        <v>1800</v>
      </c>
      <c r="AD1142" s="15">
        <f>IF(AE1142=0, Model!$B$19, 0 )</f>
        <v>0</v>
      </c>
      <c r="AE1142" s="50">
        <f>IF(AE1141+AB1141-AB1142&lt;Model!$B$19*Model!$B$18, AE1141+AB1141-AB1142,  0)</f>
        <v>443.63457370611354</v>
      </c>
      <c r="AF1142" s="15">
        <f t="shared" si="356"/>
        <v>1</v>
      </c>
      <c r="AG1142" s="50">
        <f t="shared" si="357"/>
        <v>0</v>
      </c>
    </row>
    <row r="1143" spans="2:33" x14ac:dyDescent="0.25">
      <c r="B1143" s="13">
        <f t="shared" si="358"/>
        <v>1</v>
      </c>
      <c r="C1143" s="13">
        <f>B1143+Model!$B$4</f>
        <v>3</v>
      </c>
      <c r="D1143" s="13">
        <f t="shared" si="359"/>
        <v>1</v>
      </c>
      <c r="E1143" s="13">
        <f t="shared" si="381"/>
        <v>3</v>
      </c>
      <c r="F1143" s="14">
        <f>IF(AB1143&gt;0, VLOOKUP(B1143,Model!$A$40:$B$60, 2), 0)</f>
        <v>0</v>
      </c>
      <c r="G1143" s="13">
        <f>IF(AB1143&gt;0, VLOOKUP(B1143,Model!$A$39:$C$58, 3), 0)</f>
        <v>0</v>
      </c>
      <c r="H1143" s="13">
        <f t="shared" si="344"/>
        <v>0</v>
      </c>
      <c r="I1143" s="46">
        <f>Model!$B$21*EXP((-0.029*9.81*F1143)/(8.31*(273+J1143)))</f>
        <v>104500</v>
      </c>
      <c r="J1143" s="13">
        <f>IF(Model!$B$31="Summer",  IF(F1143&lt;=2000,  Model!$B$20-Model!$B$35*F1143/1000,  IF(F1143&lt;Model!$B$36,  Model!$B$33-6.5*F1143/1000,  Model!$B$38)),     IF(F1143&lt;=2000,  Model!$B$20-Model!$B$35*F1143/1000,  IF(F1143&lt;Model!$B$36,  Model!$B$33-5.4*F1143/1000,   Model!$B$38)))</f>
        <v>-20</v>
      </c>
      <c r="K1143" s="13">
        <f t="shared" si="377"/>
        <v>253</v>
      </c>
      <c r="L1143" s="46">
        <f>IF(AB1142-AA1142*(B1143-B1142)&gt;0, L1142-Y1142*(B1143-B1142)*3600-AD1143*Model!$B$16, 0)</f>
        <v>0</v>
      </c>
      <c r="M1143" s="57">
        <f t="shared" si="346"/>
        <v>0</v>
      </c>
      <c r="N1143" s="57">
        <f>Model!$B$13*I1143*K1143/(Model!$B$13*I1143-L1143*287*K1143)</f>
        <v>253</v>
      </c>
      <c r="O1143" s="57">
        <f t="shared" si="347"/>
        <v>253</v>
      </c>
      <c r="P1143" s="57">
        <f t="shared" si="348"/>
        <v>-10</v>
      </c>
      <c r="Q1143" s="63">
        <f t="shared" si="378"/>
        <v>2.2579999999999999E-2</v>
      </c>
      <c r="R1143" s="17">
        <f t="shared" si="379"/>
        <v>1.152E-5</v>
      </c>
      <c r="S1143" s="46">
        <f>0.37*Model!$B$10*(Q1143^2*(N1143-K1143)*I1143/(R1143*O1143^2))^0.33333*(N1143-K1143)</f>
        <v>0</v>
      </c>
      <c r="T1143" s="51">
        <f>Model!$B$32+(90-Model!$B$6)*SIN(RADIANS(-15*(E1143+6)))</f>
        <v>-31.619472402513487</v>
      </c>
      <c r="U1143" s="46">
        <f t="shared" si="351"/>
        <v>0</v>
      </c>
      <c r="V1143" s="51">
        <f t="shared" si="352"/>
        <v>99999</v>
      </c>
      <c r="W1143" s="46">
        <f t="shared" si="353"/>
        <v>0</v>
      </c>
      <c r="X1143" s="46">
        <f>0.3*W1143*Model!$B$9</f>
        <v>0</v>
      </c>
      <c r="Y1143" s="17">
        <f>(S1143-X1143)/Model!$B$11</f>
        <v>0</v>
      </c>
      <c r="Z1143" s="46" t="e">
        <f t="shared" si="354"/>
        <v>#DIV/0!</v>
      </c>
      <c r="AA1143" s="57">
        <f>Y1143/Model!$B$12*3600</f>
        <v>0</v>
      </c>
      <c r="AB1143" s="51">
        <f t="shared" si="360"/>
        <v>0</v>
      </c>
      <c r="AC1143" s="51">
        <f t="shared" si="380"/>
        <v>1800</v>
      </c>
      <c r="AD1143" s="13">
        <f>IF(AE1143=0, Model!$B$19, 0 )</f>
        <v>0</v>
      </c>
      <c r="AE1143" s="51">
        <f>IF(AE1142+AB1142-AB1143&lt;Model!$B$19*Model!$B$18, AE1142+AB1142-AB1143,  0)</f>
        <v>443.63457370611354</v>
      </c>
      <c r="AF1143" s="13">
        <f t="shared" si="356"/>
        <v>1</v>
      </c>
      <c r="AG1143" s="50">
        <f t="shared" si="357"/>
        <v>0</v>
      </c>
    </row>
    <row r="1144" spans="2:33" x14ac:dyDescent="0.25">
      <c r="B1144" s="15">
        <f t="shared" si="358"/>
        <v>1</v>
      </c>
      <c r="C1144" s="15">
        <f>B1144+Model!$B$4</f>
        <v>3</v>
      </c>
      <c r="D1144" s="15">
        <f t="shared" si="359"/>
        <v>1</v>
      </c>
      <c r="E1144" s="15">
        <f t="shared" si="381"/>
        <v>3</v>
      </c>
      <c r="F1144" s="16">
        <f>IF(AB1144&gt;0, VLOOKUP(B1144,Model!$A$40:$B$60, 2), 0)</f>
        <v>0</v>
      </c>
      <c r="G1144" s="15">
        <f>IF(AB1144&gt;0, VLOOKUP(B1144,Model!$A$39:$C$58, 3), 0)</f>
        <v>0</v>
      </c>
      <c r="H1144" s="15">
        <f t="shared" si="344"/>
        <v>0</v>
      </c>
      <c r="I1144" s="45">
        <f>Model!$B$21*EXP((-0.029*9.81*F1144)/(8.31*(273+J1144)))</f>
        <v>104500</v>
      </c>
      <c r="J1144" s="15">
        <f>IF(Model!$B$31="Summer",  IF(F1144&lt;=2000,  Model!$B$20-Model!$B$35*F1144/1000,  IF(F1144&lt;Model!$B$36,  Model!$B$33-6.5*F1144/1000,  Model!$B$38)),     IF(F1144&lt;=2000,  Model!$B$20-Model!$B$35*F1144/1000,  IF(F1144&lt;Model!$B$36,  Model!$B$33-5.4*F1144/1000,   Model!$B$38)))</f>
        <v>-20</v>
      </c>
      <c r="K1144" s="15">
        <f t="shared" si="377"/>
        <v>253</v>
      </c>
      <c r="L1144" s="45">
        <f>IF(AB1143-AA1143*(B1144-B1143)&gt;0, L1143-Y1143*(B1144-B1143)*3600-AD1144*Model!$B$16, 0)</f>
        <v>0</v>
      </c>
      <c r="M1144" s="56">
        <f t="shared" si="346"/>
        <v>0</v>
      </c>
      <c r="N1144" s="56">
        <f>Model!$B$13*I1144*K1144/(Model!$B$13*I1144-L1144*287*K1144)</f>
        <v>253</v>
      </c>
      <c r="O1144" s="56">
        <f t="shared" si="347"/>
        <v>253</v>
      </c>
      <c r="P1144" s="56">
        <f t="shared" si="348"/>
        <v>-10</v>
      </c>
      <c r="Q1144" s="62">
        <f t="shared" si="378"/>
        <v>2.2579999999999999E-2</v>
      </c>
      <c r="R1144" s="33">
        <f t="shared" si="379"/>
        <v>1.152E-5</v>
      </c>
      <c r="S1144" s="45">
        <f>0.37*Model!$B$10*(Q1144^2*(N1144-K1144)*I1144/(R1144*O1144^2))^0.33333*(N1144-K1144)</f>
        <v>0</v>
      </c>
      <c r="T1144" s="50">
        <f>Model!$B$32+(90-Model!$B$6)*SIN(RADIANS(-15*(E1144+6)))</f>
        <v>-31.619472402513487</v>
      </c>
      <c r="U1144" s="45">
        <f t="shared" si="351"/>
        <v>0</v>
      </c>
      <c r="V1144" s="50">
        <f t="shared" si="352"/>
        <v>99999</v>
      </c>
      <c r="W1144" s="45">
        <f t="shared" si="353"/>
        <v>0</v>
      </c>
      <c r="X1144" s="45">
        <f>0.3*W1144*Model!$B$9</f>
        <v>0</v>
      </c>
      <c r="Y1144" s="33">
        <f>(S1144-X1144)/Model!$B$11</f>
        <v>0</v>
      </c>
      <c r="Z1144" s="45" t="e">
        <f t="shared" si="354"/>
        <v>#DIV/0!</v>
      </c>
      <c r="AA1144" s="56">
        <f>Y1144/Model!$B$12*3600</f>
        <v>0</v>
      </c>
      <c r="AB1144" s="50">
        <f t="shared" si="360"/>
        <v>0</v>
      </c>
      <c r="AC1144" s="50">
        <f t="shared" si="380"/>
        <v>1800</v>
      </c>
      <c r="AD1144" s="15">
        <f>IF(AE1144=0, Model!$B$19, 0 )</f>
        <v>0</v>
      </c>
      <c r="AE1144" s="50">
        <f>IF(AE1143+AB1143-AB1144&lt;Model!$B$19*Model!$B$18, AE1143+AB1143-AB1144,  0)</f>
        <v>443.63457370611354</v>
      </c>
      <c r="AF1144" s="15">
        <f t="shared" si="356"/>
        <v>1</v>
      </c>
      <c r="AG1144" s="50">
        <f t="shared" si="357"/>
        <v>0</v>
      </c>
    </row>
    <row r="1145" spans="2:33" x14ac:dyDescent="0.25">
      <c r="B1145" s="13">
        <f t="shared" si="358"/>
        <v>1</v>
      </c>
      <c r="C1145" s="13">
        <f>B1145+Model!$B$4</f>
        <v>3</v>
      </c>
      <c r="D1145" s="13">
        <f t="shared" si="359"/>
        <v>1</v>
      </c>
      <c r="E1145" s="13">
        <f t="shared" si="381"/>
        <v>3</v>
      </c>
      <c r="F1145" s="14">
        <f>IF(AB1145&gt;0, VLOOKUP(B1145,Model!$A$40:$B$60, 2), 0)</f>
        <v>0</v>
      </c>
      <c r="G1145" s="13">
        <f>IF(AB1145&gt;0, VLOOKUP(B1145,Model!$A$39:$C$58, 3), 0)</f>
        <v>0</v>
      </c>
      <c r="H1145" s="13">
        <f t="shared" si="344"/>
        <v>0</v>
      </c>
      <c r="I1145" s="46">
        <f>Model!$B$21*EXP((-0.029*9.81*F1145)/(8.31*(273+J1145)))</f>
        <v>104500</v>
      </c>
      <c r="J1145" s="13">
        <f>IF(Model!$B$31="Summer",  IF(F1145&lt;=2000,  Model!$B$20-Model!$B$35*F1145/1000,  IF(F1145&lt;Model!$B$36,  Model!$B$33-6.5*F1145/1000,  Model!$B$38)),     IF(F1145&lt;=2000,  Model!$B$20-Model!$B$35*F1145/1000,  IF(F1145&lt;Model!$B$36,  Model!$B$33-5.4*F1145/1000,   Model!$B$38)))</f>
        <v>-20</v>
      </c>
      <c r="K1145" s="13">
        <f t="shared" si="377"/>
        <v>253</v>
      </c>
      <c r="L1145" s="46">
        <f>IF(AB1144-AA1144*(B1145-B1144)&gt;0, L1144-Y1144*(B1145-B1144)*3600-AD1145*Model!$B$16, 0)</f>
        <v>0</v>
      </c>
      <c r="M1145" s="57">
        <f t="shared" si="346"/>
        <v>0</v>
      </c>
      <c r="N1145" s="57">
        <f>Model!$B$13*I1145*K1145/(Model!$B$13*I1145-L1145*287*K1145)</f>
        <v>253</v>
      </c>
      <c r="O1145" s="57">
        <f t="shared" si="347"/>
        <v>253</v>
      </c>
      <c r="P1145" s="57">
        <f t="shared" si="348"/>
        <v>-10</v>
      </c>
      <c r="Q1145" s="63">
        <f t="shared" si="378"/>
        <v>2.2579999999999999E-2</v>
      </c>
      <c r="R1145" s="17">
        <f t="shared" si="379"/>
        <v>1.152E-5</v>
      </c>
      <c r="S1145" s="46">
        <f>0.37*Model!$B$10*(Q1145^2*(N1145-K1145)*I1145/(R1145*O1145^2))^0.33333*(N1145-K1145)</f>
        <v>0</v>
      </c>
      <c r="T1145" s="51">
        <f>Model!$B$32+(90-Model!$B$6)*SIN(RADIANS(-15*(E1145+6)))</f>
        <v>-31.619472402513487</v>
      </c>
      <c r="U1145" s="46">
        <f t="shared" si="351"/>
        <v>0</v>
      </c>
      <c r="V1145" s="51">
        <f t="shared" si="352"/>
        <v>99999</v>
      </c>
      <c r="W1145" s="46">
        <f t="shared" si="353"/>
        <v>0</v>
      </c>
      <c r="X1145" s="46">
        <f>0.3*W1145*Model!$B$9</f>
        <v>0</v>
      </c>
      <c r="Y1145" s="17">
        <f>(S1145-X1145)/Model!$B$11</f>
        <v>0</v>
      </c>
      <c r="Z1145" s="46" t="e">
        <f t="shared" si="354"/>
        <v>#DIV/0!</v>
      </c>
      <c r="AA1145" s="57">
        <f>Y1145/Model!$B$12*3600</f>
        <v>0</v>
      </c>
      <c r="AB1145" s="51">
        <f t="shared" si="360"/>
        <v>0</v>
      </c>
      <c r="AC1145" s="51">
        <f t="shared" si="380"/>
        <v>1800</v>
      </c>
      <c r="AD1145" s="13">
        <f>IF(AE1145=0, Model!$B$19, 0 )</f>
        <v>0</v>
      </c>
      <c r="AE1145" s="51">
        <f>IF(AE1144+AB1144-AB1145&lt;Model!$B$19*Model!$B$18, AE1144+AB1144-AB1145,  0)</f>
        <v>443.63457370611354</v>
      </c>
      <c r="AF1145" s="13">
        <f t="shared" si="356"/>
        <v>1</v>
      </c>
      <c r="AG1145" s="50">
        <f t="shared" si="357"/>
        <v>0</v>
      </c>
    </row>
    <row r="1146" spans="2:33" x14ac:dyDescent="0.25">
      <c r="B1146" s="15">
        <f t="shared" si="358"/>
        <v>1</v>
      </c>
      <c r="C1146" s="15">
        <f>B1146+Model!$B$4</f>
        <v>3</v>
      </c>
      <c r="D1146" s="15">
        <f t="shared" si="359"/>
        <v>1</v>
      </c>
      <c r="E1146" s="15">
        <f t="shared" si="381"/>
        <v>3</v>
      </c>
      <c r="F1146" s="16">
        <f>IF(AB1146&gt;0, VLOOKUP(B1146,Model!$A$40:$B$60, 2), 0)</f>
        <v>0</v>
      </c>
      <c r="G1146" s="15">
        <f>IF(AB1146&gt;0, VLOOKUP(B1146,Model!$A$39:$C$58, 3), 0)</f>
        <v>0</v>
      </c>
      <c r="H1146" s="15">
        <f t="shared" si="344"/>
        <v>0</v>
      </c>
      <c r="I1146" s="45">
        <f>Model!$B$21*EXP((-0.029*9.81*F1146)/(8.31*(273+J1146)))</f>
        <v>104500</v>
      </c>
      <c r="J1146" s="15">
        <f>IF(Model!$B$31="Summer",  IF(F1146&lt;=2000,  Model!$B$20-Model!$B$35*F1146/1000,  IF(F1146&lt;Model!$B$36,  Model!$B$33-6.5*F1146/1000,  Model!$B$38)),     IF(F1146&lt;=2000,  Model!$B$20-Model!$B$35*F1146/1000,  IF(F1146&lt;Model!$B$36,  Model!$B$33-5.4*F1146/1000,   Model!$B$38)))</f>
        <v>-20</v>
      </c>
      <c r="K1146" s="15">
        <f t="shared" si="377"/>
        <v>253</v>
      </c>
      <c r="L1146" s="45">
        <f>IF(AB1145-AA1145*(B1146-B1145)&gt;0, L1145-Y1145*(B1146-B1145)*3600-AD1146*Model!$B$16, 0)</f>
        <v>0</v>
      </c>
      <c r="M1146" s="56">
        <f t="shared" si="346"/>
        <v>0</v>
      </c>
      <c r="N1146" s="56">
        <f>Model!$B$13*I1146*K1146/(Model!$B$13*I1146-L1146*287*K1146)</f>
        <v>253</v>
      </c>
      <c r="O1146" s="56">
        <f t="shared" si="347"/>
        <v>253</v>
      </c>
      <c r="P1146" s="56">
        <f t="shared" si="348"/>
        <v>-10</v>
      </c>
      <c r="Q1146" s="62">
        <f t="shared" si="378"/>
        <v>2.2579999999999999E-2</v>
      </c>
      <c r="R1146" s="33">
        <f t="shared" si="379"/>
        <v>1.152E-5</v>
      </c>
      <c r="S1146" s="45">
        <f>0.37*Model!$B$10*(Q1146^2*(N1146-K1146)*I1146/(R1146*O1146^2))^0.33333*(N1146-K1146)</f>
        <v>0</v>
      </c>
      <c r="T1146" s="50">
        <f>Model!$B$32+(90-Model!$B$6)*SIN(RADIANS(-15*(E1146+6)))</f>
        <v>-31.619472402513487</v>
      </c>
      <c r="U1146" s="45">
        <f t="shared" si="351"/>
        <v>0</v>
      </c>
      <c r="V1146" s="50">
        <f t="shared" si="352"/>
        <v>99999</v>
      </c>
      <c r="W1146" s="45">
        <f t="shared" si="353"/>
        <v>0</v>
      </c>
      <c r="X1146" s="45">
        <f>0.3*W1146*Model!$B$9</f>
        <v>0</v>
      </c>
      <c r="Y1146" s="33">
        <f>(S1146-X1146)/Model!$B$11</f>
        <v>0</v>
      </c>
      <c r="Z1146" s="45" t="e">
        <f t="shared" si="354"/>
        <v>#DIV/0!</v>
      </c>
      <c r="AA1146" s="56">
        <f>Y1146/Model!$B$12*3600</f>
        <v>0</v>
      </c>
      <c r="AB1146" s="50">
        <f t="shared" si="360"/>
        <v>0</v>
      </c>
      <c r="AC1146" s="50">
        <f t="shared" si="380"/>
        <v>1800</v>
      </c>
      <c r="AD1146" s="15">
        <f>IF(AE1146=0, Model!$B$19, 0 )</f>
        <v>0</v>
      </c>
      <c r="AE1146" s="50">
        <f>IF(AE1145+AB1145-AB1146&lt;Model!$B$19*Model!$B$18, AE1145+AB1145-AB1146,  0)</f>
        <v>443.63457370611354</v>
      </c>
      <c r="AF1146" s="15">
        <f t="shared" si="356"/>
        <v>1</v>
      </c>
      <c r="AG1146" s="50">
        <f t="shared" si="357"/>
        <v>0</v>
      </c>
    </row>
    <row r="1147" spans="2:33" x14ac:dyDescent="0.25">
      <c r="B1147" s="13">
        <f t="shared" si="358"/>
        <v>1</v>
      </c>
      <c r="C1147" s="13">
        <f>B1147+Model!$B$4</f>
        <v>3</v>
      </c>
      <c r="D1147" s="13">
        <f t="shared" si="359"/>
        <v>1</v>
      </c>
      <c r="E1147" s="13">
        <f t="shared" si="381"/>
        <v>3</v>
      </c>
      <c r="F1147" s="14">
        <f>IF(AB1147&gt;0, VLOOKUP(B1147,Model!$A$40:$B$60, 2), 0)</f>
        <v>0</v>
      </c>
      <c r="G1147" s="13">
        <f>IF(AB1147&gt;0, VLOOKUP(B1147,Model!$A$39:$C$58, 3), 0)</f>
        <v>0</v>
      </c>
      <c r="H1147" s="13">
        <f t="shared" si="344"/>
        <v>0</v>
      </c>
      <c r="I1147" s="46">
        <f>Model!$B$21*EXP((-0.029*9.81*F1147)/(8.31*(273+J1147)))</f>
        <v>104500</v>
      </c>
      <c r="J1147" s="13">
        <f>IF(Model!$B$31="Summer",  IF(F1147&lt;=2000,  Model!$B$20-Model!$B$35*F1147/1000,  IF(F1147&lt;Model!$B$36,  Model!$B$33-6.5*F1147/1000,  Model!$B$38)),     IF(F1147&lt;=2000,  Model!$B$20-Model!$B$35*F1147/1000,  IF(F1147&lt;Model!$B$36,  Model!$B$33-5.4*F1147/1000,   Model!$B$38)))</f>
        <v>-20</v>
      </c>
      <c r="K1147" s="13">
        <f t="shared" si="377"/>
        <v>253</v>
      </c>
      <c r="L1147" s="46">
        <f>IF(AB1146-AA1146*(B1147-B1146)&gt;0, L1146-Y1146*(B1147-B1146)*3600-AD1147*Model!$B$16, 0)</f>
        <v>0</v>
      </c>
      <c r="M1147" s="57">
        <f t="shared" si="346"/>
        <v>0</v>
      </c>
      <c r="N1147" s="57">
        <f>Model!$B$13*I1147*K1147/(Model!$B$13*I1147-L1147*287*K1147)</f>
        <v>253</v>
      </c>
      <c r="O1147" s="57">
        <f t="shared" si="347"/>
        <v>253</v>
      </c>
      <c r="P1147" s="57">
        <f t="shared" si="348"/>
        <v>-10</v>
      </c>
      <c r="Q1147" s="63">
        <f t="shared" si="378"/>
        <v>2.2579999999999999E-2</v>
      </c>
      <c r="R1147" s="17">
        <f t="shared" si="379"/>
        <v>1.152E-5</v>
      </c>
      <c r="S1147" s="46">
        <f>0.37*Model!$B$10*(Q1147^2*(N1147-K1147)*I1147/(R1147*O1147^2))^0.33333*(N1147-K1147)</f>
        <v>0</v>
      </c>
      <c r="T1147" s="51">
        <f>Model!$B$32+(90-Model!$B$6)*SIN(RADIANS(-15*(E1147+6)))</f>
        <v>-31.619472402513487</v>
      </c>
      <c r="U1147" s="46">
        <f t="shared" si="351"/>
        <v>0</v>
      </c>
      <c r="V1147" s="51">
        <f t="shared" si="352"/>
        <v>99999</v>
      </c>
      <c r="W1147" s="46">
        <f t="shared" si="353"/>
        <v>0</v>
      </c>
      <c r="X1147" s="46">
        <f>0.3*W1147*Model!$B$9</f>
        <v>0</v>
      </c>
      <c r="Y1147" s="17">
        <f>(S1147-X1147)/Model!$B$11</f>
        <v>0</v>
      </c>
      <c r="Z1147" s="46" t="e">
        <f t="shared" si="354"/>
        <v>#DIV/0!</v>
      </c>
      <c r="AA1147" s="57">
        <f>Y1147/Model!$B$12*3600</f>
        <v>0</v>
      </c>
      <c r="AB1147" s="51">
        <f t="shared" si="360"/>
        <v>0</v>
      </c>
      <c r="AC1147" s="51">
        <f t="shared" si="380"/>
        <v>1800</v>
      </c>
      <c r="AD1147" s="13">
        <f>IF(AE1147=0, Model!$B$19, 0 )</f>
        <v>0</v>
      </c>
      <c r="AE1147" s="51">
        <f>IF(AE1146+AB1146-AB1147&lt;Model!$B$19*Model!$B$18, AE1146+AB1146-AB1147,  0)</f>
        <v>443.63457370611354</v>
      </c>
      <c r="AF1147" s="13">
        <f t="shared" si="356"/>
        <v>1</v>
      </c>
      <c r="AG1147" s="50">
        <f t="shared" si="357"/>
        <v>0</v>
      </c>
    </row>
    <row r="1148" spans="2:33" x14ac:dyDescent="0.25">
      <c r="B1148" s="15">
        <f t="shared" si="358"/>
        <v>1</v>
      </c>
      <c r="C1148" s="15">
        <f>B1148+Model!$B$4</f>
        <v>3</v>
      </c>
      <c r="D1148" s="15">
        <f t="shared" si="359"/>
        <v>1</v>
      </c>
      <c r="E1148" s="15">
        <f t="shared" si="381"/>
        <v>3</v>
      </c>
      <c r="F1148" s="16">
        <f>IF(AB1148&gt;0, VLOOKUP(B1148,Model!$A$40:$B$60, 2), 0)</f>
        <v>0</v>
      </c>
      <c r="G1148" s="15">
        <f>IF(AB1148&gt;0, VLOOKUP(B1148,Model!$A$39:$C$58, 3), 0)</f>
        <v>0</v>
      </c>
      <c r="H1148" s="15">
        <f t="shared" si="344"/>
        <v>0</v>
      </c>
      <c r="I1148" s="45">
        <f>Model!$B$21*EXP((-0.029*9.81*F1148)/(8.31*(273+J1148)))</f>
        <v>104500</v>
      </c>
      <c r="J1148" s="15">
        <f>IF(Model!$B$31="Summer",  IF(F1148&lt;=2000,  Model!$B$20-Model!$B$35*F1148/1000,  IF(F1148&lt;Model!$B$36,  Model!$B$33-6.5*F1148/1000,  Model!$B$38)),     IF(F1148&lt;=2000,  Model!$B$20-Model!$B$35*F1148/1000,  IF(F1148&lt;Model!$B$36,  Model!$B$33-5.4*F1148/1000,   Model!$B$38)))</f>
        <v>-20</v>
      </c>
      <c r="K1148" s="15">
        <f t="shared" si="377"/>
        <v>253</v>
      </c>
      <c r="L1148" s="45">
        <f>IF(AB1147-AA1147*(B1148-B1147)&gt;0, L1147-Y1147*(B1148-B1147)*3600-AD1148*Model!$B$16, 0)</f>
        <v>0</v>
      </c>
      <c r="M1148" s="56">
        <f t="shared" si="346"/>
        <v>0</v>
      </c>
      <c r="N1148" s="56">
        <f>Model!$B$13*I1148*K1148/(Model!$B$13*I1148-L1148*287*K1148)</f>
        <v>253</v>
      </c>
      <c r="O1148" s="56">
        <f t="shared" si="347"/>
        <v>253</v>
      </c>
      <c r="P1148" s="56">
        <f t="shared" si="348"/>
        <v>-10</v>
      </c>
      <c r="Q1148" s="62">
        <f t="shared" si="378"/>
        <v>2.2579999999999999E-2</v>
      </c>
      <c r="R1148" s="33">
        <f t="shared" si="379"/>
        <v>1.152E-5</v>
      </c>
      <c r="S1148" s="45">
        <f>0.37*Model!$B$10*(Q1148^2*(N1148-K1148)*I1148/(R1148*O1148^2))^0.33333*(N1148-K1148)</f>
        <v>0</v>
      </c>
      <c r="T1148" s="50">
        <f>Model!$B$32+(90-Model!$B$6)*SIN(RADIANS(-15*(E1148+6)))</f>
        <v>-31.619472402513487</v>
      </c>
      <c r="U1148" s="45">
        <f t="shared" si="351"/>
        <v>0</v>
      </c>
      <c r="V1148" s="50">
        <f t="shared" si="352"/>
        <v>99999</v>
      </c>
      <c r="W1148" s="45">
        <f t="shared" si="353"/>
        <v>0</v>
      </c>
      <c r="X1148" s="45">
        <f>0.3*W1148*Model!$B$9</f>
        <v>0</v>
      </c>
      <c r="Y1148" s="33">
        <f>(S1148-X1148)/Model!$B$11</f>
        <v>0</v>
      </c>
      <c r="Z1148" s="45" t="e">
        <f t="shared" si="354"/>
        <v>#DIV/0!</v>
      </c>
      <c r="AA1148" s="56">
        <f>Y1148/Model!$B$12*3600</f>
        <v>0</v>
      </c>
      <c r="AB1148" s="50">
        <f t="shared" si="360"/>
        <v>0</v>
      </c>
      <c r="AC1148" s="50">
        <f t="shared" si="380"/>
        <v>1800</v>
      </c>
      <c r="AD1148" s="15">
        <f>IF(AE1148=0, Model!$B$19, 0 )</f>
        <v>0</v>
      </c>
      <c r="AE1148" s="50">
        <f>IF(AE1147+AB1147-AB1148&lt;Model!$B$19*Model!$B$18, AE1147+AB1147-AB1148,  0)</f>
        <v>443.63457370611354</v>
      </c>
      <c r="AF1148" s="15">
        <f t="shared" si="356"/>
        <v>1</v>
      </c>
      <c r="AG1148" s="50">
        <f t="shared" si="357"/>
        <v>0</v>
      </c>
    </row>
    <row r="1149" spans="2:33" x14ac:dyDescent="0.25">
      <c r="B1149" s="13">
        <f t="shared" si="358"/>
        <v>1</v>
      </c>
      <c r="C1149" s="13">
        <f>B1149+Model!$B$4</f>
        <v>3</v>
      </c>
      <c r="D1149" s="13">
        <f t="shared" si="359"/>
        <v>1</v>
      </c>
      <c r="E1149" s="13">
        <f t="shared" si="381"/>
        <v>3</v>
      </c>
      <c r="F1149" s="14">
        <f>IF(AB1149&gt;0, VLOOKUP(B1149,Model!$A$40:$B$60, 2), 0)</f>
        <v>0</v>
      </c>
      <c r="G1149" s="13">
        <f>IF(AB1149&gt;0, VLOOKUP(B1149,Model!$A$39:$C$58, 3), 0)</f>
        <v>0</v>
      </c>
      <c r="H1149" s="13">
        <f t="shared" si="344"/>
        <v>0</v>
      </c>
      <c r="I1149" s="46">
        <f>Model!$B$21*EXP((-0.029*9.81*F1149)/(8.31*(273+J1149)))</f>
        <v>104500</v>
      </c>
      <c r="J1149" s="13">
        <f>IF(Model!$B$31="Summer",  IF(F1149&lt;=2000,  Model!$B$20-Model!$B$35*F1149/1000,  IF(F1149&lt;Model!$B$36,  Model!$B$33-6.5*F1149/1000,  Model!$B$38)),     IF(F1149&lt;=2000,  Model!$B$20-Model!$B$35*F1149/1000,  IF(F1149&lt;Model!$B$36,  Model!$B$33-5.4*F1149/1000,   Model!$B$38)))</f>
        <v>-20</v>
      </c>
      <c r="K1149" s="13">
        <f t="shared" si="377"/>
        <v>253</v>
      </c>
      <c r="L1149" s="46">
        <f>IF(AB1148-AA1148*(B1149-B1148)&gt;0, L1148-Y1148*(B1149-B1148)*3600-AD1149*Model!$B$16, 0)</f>
        <v>0</v>
      </c>
      <c r="M1149" s="57">
        <f t="shared" si="346"/>
        <v>0</v>
      </c>
      <c r="N1149" s="57">
        <f>Model!$B$13*I1149*K1149/(Model!$B$13*I1149-L1149*287*K1149)</f>
        <v>253</v>
      </c>
      <c r="O1149" s="57">
        <f t="shared" si="347"/>
        <v>253</v>
      </c>
      <c r="P1149" s="57">
        <f t="shared" si="348"/>
        <v>-10</v>
      </c>
      <c r="Q1149" s="63">
        <f t="shared" si="378"/>
        <v>2.2579999999999999E-2</v>
      </c>
      <c r="R1149" s="17">
        <f t="shared" si="379"/>
        <v>1.152E-5</v>
      </c>
      <c r="S1149" s="46">
        <f>0.37*Model!$B$10*(Q1149^2*(N1149-K1149)*I1149/(R1149*O1149^2))^0.33333*(N1149-K1149)</f>
        <v>0</v>
      </c>
      <c r="T1149" s="51">
        <f>Model!$B$32+(90-Model!$B$6)*SIN(RADIANS(-15*(E1149+6)))</f>
        <v>-31.619472402513487</v>
      </c>
      <c r="U1149" s="46">
        <f t="shared" si="351"/>
        <v>0</v>
      </c>
      <c r="V1149" s="51">
        <f t="shared" si="352"/>
        <v>99999</v>
      </c>
      <c r="W1149" s="46">
        <f t="shared" si="353"/>
        <v>0</v>
      </c>
      <c r="X1149" s="46">
        <f>0.3*W1149*Model!$B$9</f>
        <v>0</v>
      </c>
      <c r="Y1149" s="17">
        <f>(S1149-X1149)/Model!$B$11</f>
        <v>0</v>
      </c>
      <c r="Z1149" s="46" t="e">
        <f t="shared" si="354"/>
        <v>#DIV/0!</v>
      </c>
      <c r="AA1149" s="57">
        <f>Y1149/Model!$B$12*3600</f>
        <v>0</v>
      </c>
      <c r="AB1149" s="51">
        <f t="shared" si="360"/>
        <v>0</v>
      </c>
      <c r="AC1149" s="51">
        <f t="shared" si="380"/>
        <v>1800</v>
      </c>
      <c r="AD1149" s="13">
        <f>IF(AE1149=0, Model!$B$19, 0 )</f>
        <v>0</v>
      </c>
      <c r="AE1149" s="51">
        <f>IF(AE1148+AB1148-AB1149&lt;Model!$B$19*Model!$B$18, AE1148+AB1148-AB1149,  0)</f>
        <v>443.63457370611354</v>
      </c>
      <c r="AF1149" s="13">
        <f t="shared" si="356"/>
        <v>1</v>
      </c>
      <c r="AG1149" s="50">
        <f t="shared" si="357"/>
        <v>0</v>
      </c>
    </row>
    <row r="1150" spans="2:33" x14ac:dyDescent="0.25">
      <c r="B1150" s="15">
        <f t="shared" si="358"/>
        <v>1</v>
      </c>
      <c r="C1150" s="15">
        <f>B1150+Model!$B$4</f>
        <v>3</v>
      </c>
      <c r="D1150" s="15">
        <f t="shared" si="359"/>
        <v>1</v>
      </c>
      <c r="E1150" s="15">
        <f t="shared" si="381"/>
        <v>3</v>
      </c>
      <c r="F1150" s="16">
        <f>IF(AB1150&gt;0, VLOOKUP(B1150,Model!$A$40:$B$60, 2), 0)</f>
        <v>0</v>
      </c>
      <c r="G1150" s="15">
        <f>IF(AB1150&gt;0, VLOOKUP(B1150,Model!$A$39:$C$58, 3), 0)</f>
        <v>0</v>
      </c>
      <c r="H1150" s="15">
        <f t="shared" si="344"/>
        <v>0</v>
      </c>
      <c r="I1150" s="45">
        <f>Model!$B$21*EXP((-0.029*9.81*F1150)/(8.31*(273+J1150)))</f>
        <v>104500</v>
      </c>
      <c r="J1150" s="15">
        <f>IF(Model!$B$31="Summer",  IF(F1150&lt;=2000,  Model!$B$20-Model!$B$35*F1150/1000,  IF(F1150&lt;Model!$B$36,  Model!$B$33-6.5*F1150/1000,  Model!$B$38)),     IF(F1150&lt;=2000,  Model!$B$20-Model!$B$35*F1150/1000,  IF(F1150&lt;Model!$B$36,  Model!$B$33-5.4*F1150/1000,   Model!$B$38)))</f>
        <v>-20</v>
      </c>
      <c r="K1150" s="15">
        <f t="shared" si="377"/>
        <v>253</v>
      </c>
      <c r="L1150" s="45">
        <f>IF(AB1149-AA1149*(B1150-B1149)&gt;0, L1149-Y1149*(B1150-B1149)*3600-AD1150*Model!$B$16, 0)</f>
        <v>0</v>
      </c>
      <c r="M1150" s="56">
        <f t="shared" si="346"/>
        <v>0</v>
      </c>
      <c r="N1150" s="56">
        <f>Model!$B$13*I1150*K1150/(Model!$B$13*I1150-L1150*287*K1150)</f>
        <v>253</v>
      </c>
      <c r="O1150" s="56">
        <f t="shared" si="347"/>
        <v>253</v>
      </c>
      <c r="P1150" s="56">
        <f t="shared" si="348"/>
        <v>-10</v>
      </c>
      <c r="Q1150" s="62">
        <f t="shared" si="378"/>
        <v>2.2579999999999999E-2</v>
      </c>
      <c r="R1150" s="33">
        <f t="shared" si="379"/>
        <v>1.152E-5</v>
      </c>
      <c r="S1150" s="45">
        <f>0.37*Model!$B$10*(Q1150^2*(N1150-K1150)*I1150/(R1150*O1150^2))^0.33333*(N1150-K1150)</f>
        <v>0</v>
      </c>
      <c r="T1150" s="50">
        <f>Model!$B$32+(90-Model!$B$6)*SIN(RADIANS(-15*(E1150+6)))</f>
        <v>-31.619472402513487</v>
      </c>
      <c r="U1150" s="45">
        <f t="shared" si="351"/>
        <v>0</v>
      </c>
      <c r="V1150" s="50">
        <f t="shared" si="352"/>
        <v>99999</v>
      </c>
      <c r="W1150" s="45">
        <f t="shared" si="353"/>
        <v>0</v>
      </c>
      <c r="X1150" s="45">
        <f>0.3*W1150*Model!$B$9</f>
        <v>0</v>
      </c>
      <c r="Y1150" s="33">
        <f>(S1150-X1150)/Model!$B$11</f>
        <v>0</v>
      </c>
      <c r="Z1150" s="45" t="e">
        <f t="shared" si="354"/>
        <v>#DIV/0!</v>
      </c>
      <c r="AA1150" s="56">
        <f>Y1150/Model!$B$12*3600</f>
        <v>0</v>
      </c>
      <c r="AB1150" s="50">
        <f t="shared" si="360"/>
        <v>0</v>
      </c>
      <c r="AC1150" s="50">
        <f t="shared" si="380"/>
        <v>1800</v>
      </c>
      <c r="AD1150" s="15">
        <f>IF(AE1150=0, Model!$B$19, 0 )</f>
        <v>0</v>
      </c>
      <c r="AE1150" s="50">
        <f>IF(AE1149+AB1149-AB1150&lt;Model!$B$19*Model!$B$18, AE1149+AB1149-AB1150,  0)</f>
        <v>443.63457370611354</v>
      </c>
      <c r="AF1150" s="15">
        <f t="shared" si="356"/>
        <v>1</v>
      </c>
      <c r="AG1150" s="50">
        <f t="shared" si="357"/>
        <v>0</v>
      </c>
    </row>
    <row r="1151" spans="2:33" x14ac:dyDescent="0.25">
      <c r="B1151" s="13">
        <f t="shared" si="358"/>
        <v>1</v>
      </c>
      <c r="C1151" s="13">
        <f>B1151+Model!$B$4</f>
        <v>3</v>
      </c>
      <c r="D1151" s="13">
        <f t="shared" si="359"/>
        <v>1</v>
      </c>
      <c r="E1151" s="13">
        <f t="shared" si="381"/>
        <v>3</v>
      </c>
      <c r="F1151" s="14">
        <f>IF(AB1151&gt;0, VLOOKUP(B1151,Model!$A$40:$B$60, 2), 0)</f>
        <v>0</v>
      </c>
      <c r="G1151" s="13">
        <f>IF(AB1151&gt;0, VLOOKUP(B1151,Model!$A$39:$C$58, 3), 0)</f>
        <v>0</v>
      </c>
      <c r="H1151" s="13">
        <f t="shared" si="344"/>
        <v>0</v>
      </c>
      <c r="I1151" s="46">
        <f>Model!$B$21*EXP((-0.029*9.81*F1151)/(8.31*(273+J1151)))</f>
        <v>104500</v>
      </c>
      <c r="J1151" s="13">
        <f>IF(Model!$B$31="Summer",  IF(F1151&lt;=2000,  Model!$B$20-Model!$B$35*F1151/1000,  IF(F1151&lt;Model!$B$36,  Model!$B$33-6.5*F1151/1000,  Model!$B$38)),     IF(F1151&lt;=2000,  Model!$B$20-Model!$B$35*F1151/1000,  IF(F1151&lt;Model!$B$36,  Model!$B$33-5.4*F1151/1000,   Model!$B$38)))</f>
        <v>-20</v>
      </c>
      <c r="K1151" s="13">
        <f t="shared" si="377"/>
        <v>253</v>
      </c>
      <c r="L1151" s="46">
        <f>IF(AB1150-AA1150*(B1151-B1150)&gt;0, L1150-Y1150*(B1151-B1150)*3600-AD1151*Model!$B$16, 0)</f>
        <v>0</v>
      </c>
      <c r="M1151" s="57">
        <f t="shared" si="346"/>
        <v>0</v>
      </c>
      <c r="N1151" s="57">
        <f>Model!$B$13*I1151*K1151/(Model!$B$13*I1151-L1151*287*K1151)</f>
        <v>253</v>
      </c>
      <c r="O1151" s="57">
        <f t="shared" si="347"/>
        <v>253</v>
      </c>
      <c r="P1151" s="57">
        <f t="shared" si="348"/>
        <v>-10</v>
      </c>
      <c r="Q1151" s="63">
        <f t="shared" si="378"/>
        <v>2.2579999999999999E-2</v>
      </c>
      <c r="R1151" s="17">
        <f t="shared" si="379"/>
        <v>1.152E-5</v>
      </c>
      <c r="S1151" s="46">
        <f>0.37*Model!$B$10*(Q1151^2*(N1151-K1151)*I1151/(R1151*O1151^2))^0.33333*(N1151-K1151)</f>
        <v>0</v>
      </c>
      <c r="T1151" s="51">
        <f>Model!$B$32+(90-Model!$B$6)*SIN(RADIANS(-15*(E1151+6)))</f>
        <v>-31.619472402513487</v>
      </c>
      <c r="U1151" s="46">
        <f t="shared" si="351"/>
        <v>0</v>
      </c>
      <c r="V1151" s="51">
        <f t="shared" si="352"/>
        <v>99999</v>
      </c>
      <c r="W1151" s="46">
        <f t="shared" si="353"/>
        <v>0</v>
      </c>
      <c r="X1151" s="46">
        <f>0.3*W1151*Model!$B$9</f>
        <v>0</v>
      </c>
      <c r="Y1151" s="17">
        <f>(S1151-X1151)/Model!$B$11</f>
        <v>0</v>
      </c>
      <c r="Z1151" s="46" t="e">
        <f t="shared" si="354"/>
        <v>#DIV/0!</v>
      </c>
      <c r="AA1151" s="57">
        <f>Y1151/Model!$B$12*3600</f>
        <v>0</v>
      </c>
      <c r="AB1151" s="51">
        <f t="shared" si="360"/>
        <v>0</v>
      </c>
      <c r="AC1151" s="51">
        <f t="shared" si="380"/>
        <v>1800</v>
      </c>
      <c r="AD1151" s="13">
        <f>IF(AE1151=0, Model!$B$19, 0 )</f>
        <v>0</v>
      </c>
      <c r="AE1151" s="51">
        <f>IF(AE1150+AB1150-AB1151&lt;Model!$B$19*Model!$B$18, AE1150+AB1150-AB1151,  0)</f>
        <v>443.63457370611354</v>
      </c>
      <c r="AF1151" s="13">
        <f t="shared" si="356"/>
        <v>1</v>
      </c>
      <c r="AG1151" s="50">
        <f t="shared" si="357"/>
        <v>0</v>
      </c>
    </row>
    <row r="1152" spans="2:33" x14ac:dyDescent="0.25">
      <c r="B1152" s="15">
        <f t="shared" si="358"/>
        <v>1</v>
      </c>
      <c r="C1152" s="15">
        <f>B1152+Model!$B$4</f>
        <v>3</v>
      </c>
      <c r="D1152" s="15">
        <f t="shared" si="359"/>
        <v>1</v>
      </c>
      <c r="E1152" s="15">
        <f t="shared" si="381"/>
        <v>3</v>
      </c>
      <c r="F1152" s="16">
        <f>IF(AB1152&gt;0, VLOOKUP(B1152,Model!$A$40:$B$60, 2), 0)</f>
        <v>0</v>
      </c>
      <c r="G1152" s="15">
        <f>IF(AB1152&gt;0, VLOOKUP(B1152,Model!$A$39:$C$58, 3), 0)</f>
        <v>0</v>
      </c>
      <c r="H1152" s="15">
        <f t="shared" si="344"/>
        <v>0</v>
      </c>
      <c r="I1152" s="45">
        <f>Model!$B$21*EXP((-0.029*9.81*F1152)/(8.31*(273+J1152)))</f>
        <v>104500</v>
      </c>
      <c r="J1152" s="15">
        <f>IF(Model!$B$31="Summer",  IF(F1152&lt;=2000,  Model!$B$20-Model!$B$35*F1152/1000,  IF(F1152&lt;Model!$B$36,  Model!$B$33-6.5*F1152/1000,  Model!$B$38)),     IF(F1152&lt;=2000,  Model!$B$20-Model!$B$35*F1152/1000,  IF(F1152&lt;Model!$B$36,  Model!$B$33-5.4*F1152/1000,   Model!$B$38)))</f>
        <v>-20</v>
      </c>
      <c r="K1152" s="15">
        <f t="shared" si="377"/>
        <v>253</v>
      </c>
      <c r="L1152" s="45">
        <f>IF(AB1151-AA1151*(B1152-B1151)&gt;0, L1151-Y1151*(B1152-B1151)*3600-AD1152*Model!$B$16, 0)</f>
        <v>0</v>
      </c>
      <c r="M1152" s="56">
        <f t="shared" si="346"/>
        <v>0</v>
      </c>
      <c r="N1152" s="56">
        <f>Model!$B$13*I1152*K1152/(Model!$B$13*I1152-L1152*287*K1152)</f>
        <v>253</v>
      </c>
      <c r="O1152" s="56">
        <f t="shared" si="347"/>
        <v>253</v>
      </c>
      <c r="P1152" s="56">
        <f t="shared" si="348"/>
        <v>-10</v>
      </c>
      <c r="Q1152" s="62">
        <f t="shared" si="378"/>
        <v>2.2579999999999999E-2</v>
      </c>
      <c r="R1152" s="33">
        <f t="shared" si="379"/>
        <v>1.152E-5</v>
      </c>
      <c r="S1152" s="45">
        <f>0.37*Model!$B$10*(Q1152^2*(N1152-K1152)*I1152/(R1152*O1152^2))^0.33333*(N1152-K1152)</f>
        <v>0</v>
      </c>
      <c r="T1152" s="50">
        <f>Model!$B$32+(90-Model!$B$6)*SIN(RADIANS(-15*(E1152+6)))</f>
        <v>-31.619472402513487</v>
      </c>
      <c r="U1152" s="45">
        <f t="shared" si="351"/>
        <v>0</v>
      </c>
      <c r="V1152" s="50">
        <f t="shared" si="352"/>
        <v>99999</v>
      </c>
      <c r="W1152" s="45">
        <f t="shared" si="353"/>
        <v>0</v>
      </c>
      <c r="X1152" s="45">
        <f>0.3*W1152*Model!$B$9</f>
        <v>0</v>
      </c>
      <c r="Y1152" s="33">
        <f>(S1152-X1152)/Model!$B$11</f>
        <v>0</v>
      </c>
      <c r="Z1152" s="45" t="e">
        <f t="shared" si="354"/>
        <v>#DIV/0!</v>
      </c>
      <c r="AA1152" s="56">
        <f>Y1152/Model!$B$12*3600</f>
        <v>0</v>
      </c>
      <c r="AB1152" s="50">
        <f t="shared" si="360"/>
        <v>0</v>
      </c>
      <c r="AC1152" s="50">
        <f t="shared" si="380"/>
        <v>1800</v>
      </c>
      <c r="AD1152" s="15">
        <f>IF(AE1152=0, Model!$B$19, 0 )</f>
        <v>0</v>
      </c>
      <c r="AE1152" s="50">
        <f>IF(AE1151+AB1151-AB1152&lt;Model!$B$19*Model!$B$18, AE1151+AB1151-AB1152,  0)</f>
        <v>443.63457370611354</v>
      </c>
      <c r="AF1152" s="15">
        <f t="shared" si="356"/>
        <v>1</v>
      </c>
      <c r="AG1152" s="50">
        <f t="shared" si="357"/>
        <v>0</v>
      </c>
    </row>
    <row r="1153" spans="2:33" x14ac:dyDescent="0.25">
      <c r="B1153" s="13">
        <f t="shared" si="358"/>
        <v>1</v>
      </c>
      <c r="C1153" s="13">
        <f>B1153+Model!$B$4</f>
        <v>3</v>
      </c>
      <c r="D1153" s="13">
        <f t="shared" si="359"/>
        <v>1</v>
      </c>
      <c r="E1153" s="13">
        <f t="shared" si="381"/>
        <v>3</v>
      </c>
      <c r="F1153" s="14">
        <f>IF(AB1153&gt;0, VLOOKUP(B1153,Model!$A$40:$B$60, 2), 0)</f>
        <v>0</v>
      </c>
      <c r="G1153" s="13">
        <f>IF(AB1153&gt;0, VLOOKUP(B1153,Model!$A$39:$C$58, 3), 0)</f>
        <v>0</v>
      </c>
      <c r="H1153" s="13">
        <f t="shared" si="344"/>
        <v>0</v>
      </c>
      <c r="I1153" s="46">
        <f>Model!$B$21*EXP((-0.029*9.81*F1153)/(8.31*(273+J1153)))</f>
        <v>104500</v>
      </c>
      <c r="J1153" s="13">
        <f>IF(Model!$B$31="Summer",  IF(F1153&lt;=2000,  Model!$B$20-Model!$B$35*F1153/1000,  IF(F1153&lt;Model!$B$36,  Model!$B$33-6.5*F1153/1000,  Model!$B$38)),     IF(F1153&lt;=2000,  Model!$B$20-Model!$B$35*F1153/1000,  IF(F1153&lt;Model!$B$36,  Model!$B$33-5.4*F1153/1000,   Model!$B$38)))</f>
        <v>-20</v>
      </c>
      <c r="K1153" s="13">
        <f t="shared" si="377"/>
        <v>253</v>
      </c>
      <c r="L1153" s="46">
        <f>IF(AB1152-AA1152*(B1153-B1152)&gt;0, L1152-Y1152*(B1153-B1152)*3600-AD1153*Model!$B$16, 0)</f>
        <v>0</v>
      </c>
      <c r="M1153" s="57">
        <f t="shared" si="346"/>
        <v>0</v>
      </c>
      <c r="N1153" s="57">
        <f>Model!$B$13*I1153*K1153/(Model!$B$13*I1153-L1153*287*K1153)</f>
        <v>253</v>
      </c>
      <c r="O1153" s="57">
        <f t="shared" si="347"/>
        <v>253</v>
      </c>
      <c r="P1153" s="57">
        <f t="shared" si="348"/>
        <v>-10</v>
      </c>
      <c r="Q1153" s="63">
        <f t="shared" si="378"/>
        <v>2.2579999999999999E-2</v>
      </c>
      <c r="R1153" s="17">
        <f t="shared" si="379"/>
        <v>1.152E-5</v>
      </c>
      <c r="S1153" s="46">
        <f>0.37*Model!$B$10*(Q1153^2*(N1153-K1153)*I1153/(R1153*O1153^2))^0.33333*(N1153-K1153)</f>
        <v>0</v>
      </c>
      <c r="T1153" s="51">
        <f>Model!$B$32+(90-Model!$B$6)*SIN(RADIANS(-15*(E1153+6)))</f>
        <v>-31.619472402513487</v>
      </c>
      <c r="U1153" s="46">
        <f t="shared" si="351"/>
        <v>0</v>
      </c>
      <c r="V1153" s="51">
        <f t="shared" si="352"/>
        <v>99999</v>
      </c>
      <c r="W1153" s="46">
        <f t="shared" si="353"/>
        <v>0</v>
      </c>
      <c r="X1153" s="46">
        <f>0.3*W1153*Model!$B$9</f>
        <v>0</v>
      </c>
      <c r="Y1153" s="17">
        <f>(S1153-X1153)/Model!$B$11</f>
        <v>0</v>
      </c>
      <c r="Z1153" s="46" t="e">
        <f t="shared" si="354"/>
        <v>#DIV/0!</v>
      </c>
      <c r="AA1153" s="57">
        <f>Y1153/Model!$B$12*3600</f>
        <v>0</v>
      </c>
      <c r="AB1153" s="51">
        <f t="shared" si="360"/>
        <v>0</v>
      </c>
      <c r="AC1153" s="51">
        <f t="shared" si="380"/>
        <v>1800</v>
      </c>
      <c r="AD1153" s="13">
        <f>IF(AE1153=0, Model!$B$19, 0 )</f>
        <v>0</v>
      </c>
      <c r="AE1153" s="51">
        <f>IF(AE1152+AB1152-AB1153&lt;Model!$B$19*Model!$B$18, AE1152+AB1152-AB1153,  0)</f>
        <v>443.63457370611354</v>
      </c>
      <c r="AF1153" s="13">
        <f t="shared" si="356"/>
        <v>1</v>
      </c>
      <c r="AG1153" s="50">
        <f t="shared" si="357"/>
        <v>0</v>
      </c>
    </row>
    <row r="1154" spans="2:33" x14ac:dyDescent="0.25">
      <c r="B1154" s="15">
        <f t="shared" si="358"/>
        <v>1</v>
      </c>
      <c r="C1154" s="15">
        <f>B1154+Model!$B$4</f>
        <v>3</v>
      </c>
      <c r="D1154" s="15">
        <f t="shared" si="359"/>
        <v>1</v>
      </c>
      <c r="E1154" s="15">
        <f t="shared" si="381"/>
        <v>3</v>
      </c>
      <c r="F1154" s="16">
        <f>IF(AB1154&gt;0, VLOOKUP(B1154,Model!$A$40:$B$60, 2), 0)</f>
        <v>0</v>
      </c>
      <c r="G1154" s="15">
        <f>IF(AB1154&gt;0, VLOOKUP(B1154,Model!$A$39:$C$58, 3), 0)</f>
        <v>0</v>
      </c>
      <c r="H1154" s="15">
        <f t="shared" ref="H1154:H1217" si="382">IF(B1154=1, 0, G1154*97)</f>
        <v>0</v>
      </c>
      <c r="I1154" s="45">
        <f>Model!$B$21*EXP((-0.029*9.81*F1154)/(8.31*(273+J1154)))</f>
        <v>104500</v>
      </c>
      <c r="J1154" s="15">
        <f>IF(Model!$B$31="Summer",  IF(F1154&lt;=2000,  Model!$B$20-Model!$B$35*F1154/1000,  IF(F1154&lt;Model!$B$36,  Model!$B$33-6.5*F1154/1000,  Model!$B$38)),     IF(F1154&lt;=2000,  Model!$B$20-Model!$B$35*F1154/1000,  IF(F1154&lt;Model!$B$36,  Model!$B$33-5.4*F1154/1000,   Model!$B$38)))</f>
        <v>-20</v>
      </c>
      <c r="K1154" s="15">
        <f t="shared" si="377"/>
        <v>253</v>
      </c>
      <c r="L1154" s="45">
        <f>IF(AB1153-AA1153*(B1154-B1153)&gt;0, L1153-Y1153*(B1154-B1153)*3600-AD1154*Model!$B$16, 0)</f>
        <v>0</v>
      </c>
      <c r="M1154" s="56">
        <f t="shared" ref="M1154:M1217" si="383">IF(AB1154=0, 0, N1154-273)</f>
        <v>0</v>
      </c>
      <c r="N1154" s="56">
        <f>Model!$B$13*I1154*K1154/(Model!$B$13*I1154-L1154*287*K1154)</f>
        <v>253</v>
      </c>
      <c r="O1154" s="56">
        <f t="shared" ref="O1154:O1217" si="384">(K1154+N1154)/2</f>
        <v>253</v>
      </c>
      <c r="P1154" s="56">
        <f t="shared" ref="P1154:P1217" si="385">(J1154+M1154)/2+W1153/150</f>
        <v>-10</v>
      </c>
      <c r="Q1154" s="62">
        <f t="shared" si="378"/>
        <v>2.2579999999999999E-2</v>
      </c>
      <c r="R1154" s="33">
        <f t="shared" si="379"/>
        <v>1.152E-5</v>
      </c>
      <c r="S1154" s="45">
        <f>0.37*Model!$B$10*(Q1154^2*(N1154-K1154)*I1154/(R1154*O1154^2))^0.33333*(N1154-K1154)</f>
        <v>0</v>
      </c>
      <c r="T1154" s="50">
        <f>Model!$B$32+(90-Model!$B$6)*SIN(RADIANS(-15*(E1154+6)))</f>
        <v>-31.619472402513487</v>
      </c>
      <c r="U1154" s="45">
        <f t="shared" ref="U1154:U1217" si="386">IF(OR(T1154&lt;0, AB1154=0),  0, T1154)</f>
        <v>0</v>
      </c>
      <c r="V1154" s="50">
        <f t="shared" ref="V1154:V1217" si="387">IF(T1154&lt;0,99999,1/SIN(RADIANS(T1154)))</f>
        <v>99999</v>
      </c>
      <c r="W1154" s="45">
        <f t="shared" ref="W1154:W1217" si="388">IF(G1154=0,0, 1353*((1+F1154/7100)*0.7^V1154^0.678)+F1154/7100)</f>
        <v>0</v>
      </c>
      <c r="X1154" s="45">
        <f>0.3*W1154*Model!$B$9</f>
        <v>0</v>
      </c>
      <c r="Y1154" s="33">
        <f>(S1154-X1154)/Model!$B$11</f>
        <v>0</v>
      </c>
      <c r="Z1154" s="45" t="e">
        <f t="shared" ref="Z1154:Z1217" si="389">100*X1154/S1154</f>
        <v>#DIV/0!</v>
      </c>
      <c r="AA1154" s="56">
        <f>Y1154/Model!$B$12*3600</f>
        <v>0</v>
      </c>
      <c r="AB1154" s="50">
        <f t="shared" si="360"/>
        <v>0</v>
      </c>
      <c r="AC1154" s="50">
        <f t="shared" si="380"/>
        <v>1800</v>
      </c>
      <c r="AD1154" s="15">
        <f>IF(AE1154=0, Model!$B$19, 0 )</f>
        <v>0</v>
      </c>
      <c r="AE1154" s="50">
        <f>IF(AE1153+AB1153-AB1154&lt;Model!$B$19*Model!$B$18, AE1153+AB1153-AB1154,  0)</f>
        <v>443.63457370611354</v>
      </c>
      <c r="AF1154" s="15">
        <f t="shared" ref="AF1154:AF1217" si="390">B1154</f>
        <v>1</v>
      </c>
      <c r="AG1154" s="50">
        <f t="shared" ref="AG1154:AG1217" si="391">IF(OR(P1154&gt;0, AB1154&lt;=0),0, IF(P1154&lt;-2,0.99,ABS(P1154/2)))</f>
        <v>0</v>
      </c>
    </row>
    <row r="1155" spans="2:33" x14ac:dyDescent="0.25">
      <c r="B1155" s="13">
        <f t="shared" ref="B1155:B1218" si="392">IF(AB1154&gt;0, B1154+0.05, 1)</f>
        <v>1</v>
      </c>
      <c r="C1155" s="13">
        <f>B1155+Model!$B$4</f>
        <v>3</v>
      </c>
      <c r="D1155" s="13">
        <f t="shared" ref="D1155:D1218" si="393">INT(C1155/24+1)</f>
        <v>1</v>
      </c>
      <c r="E1155" s="13">
        <f t="shared" si="381"/>
        <v>3</v>
      </c>
      <c r="F1155" s="14">
        <f>IF(AB1155&gt;0, VLOOKUP(B1155,Model!$A$40:$B$60, 2), 0)</f>
        <v>0</v>
      </c>
      <c r="G1155" s="13">
        <f>IF(AB1155&gt;0, VLOOKUP(B1155,Model!$A$39:$C$58, 3), 0)</f>
        <v>0</v>
      </c>
      <c r="H1155" s="13">
        <f t="shared" si="382"/>
        <v>0</v>
      </c>
      <c r="I1155" s="46">
        <f>Model!$B$21*EXP((-0.029*9.81*F1155)/(8.31*(273+J1155)))</f>
        <v>104500</v>
      </c>
      <c r="J1155" s="13">
        <f>IF(Model!$B$31="Summer",  IF(F1155&lt;=2000,  Model!$B$20-Model!$B$35*F1155/1000,  IF(F1155&lt;Model!$B$36,  Model!$B$33-6.5*F1155/1000,  Model!$B$38)),     IF(F1155&lt;=2000,  Model!$B$20-Model!$B$35*F1155/1000,  IF(F1155&lt;Model!$B$36,  Model!$B$33-5.4*F1155/1000,   Model!$B$38)))</f>
        <v>-20</v>
      </c>
      <c r="K1155" s="13">
        <f t="shared" si="377"/>
        <v>253</v>
      </c>
      <c r="L1155" s="46">
        <f>IF(AB1154-AA1154*(B1155-B1154)&gt;0, L1154-Y1154*(B1155-B1154)*3600-AD1155*Model!$B$16, 0)</f>
        <v>0</v>
      </c>
      <c r="M1155" s="57">
        <f t="shared" si="383"/>
        <v>0</v>
      </c>
      <c r="N1155" s="57">
        <f>Model!$B$13*I1155*K1155/(Model!$B$13*I1155-L1155*287*K1155)</f>
        <v>253</v>
      </c>
      <c r="O1155" s="57">
        <f t="shared" si="384"/>
        <v>253</v>
      </c>
      <c r="P1155" s="57">
        <f t="shared" si="385"/>
        <v>-10</v>
      </c>
      <c r="Q1155" s="63">
        <f t="shared" si="378"/>
        <v>2.2579999999999999E-2</v>
      </c>
      <c r="R1155" s="17">
        <f t="shared" si="379"/>
        <v>1.152E-5</v>
      </c>
      <c r="S1155" s="46">
        <f>0.37*Model!$B$10*(Q1155^2*(N1155-K1155)*I1155/(R1155*O1155^2))^0.33333*(N1155-K1155)</f>
        <v>0</v>
      </c>
      <c r="T1155" s="51">
        <f>Model!$B$32+(90-Model!$B$6)*SIN(RADIANS(-15*(E1155+6)))</f>
        <v>-31.619472402513487</v>
      </c>
      <c r="U1155" s="46">
        <f t="shared" si="386"/>
        <v>0</v>
      </c>
      <c r="V1155" s="51">
        <f t="shared" si="387"/>
        <v>99999</v>
      </c>
      <c r="W1155" s="46">
        <f t="shared" si="388"/>
        <v>0</v>
      </c>
      <c r="X1155" s="46">
        <f>0.3*W1155*Model!$B$9</f>
        <v>0</v>
      </c>
      <c r="Y1155" s="17">
        <f>(S1155-X1155)/Model!$B$11</f>
        <v>0</v>
      </c>
      <c r="Z1155" s="46" t="e">
        <f t="shared" si="389"/>
        <v>#DIV/0!</v>
      </c>
      <c r="AA1155" s="57">
        <f>Y1155/Model!$B$12*3600</f>
        <v>0</v>
      </c>
      <c r="AB1155" s="51">
        <f t="shared" ref="AB1155:AB1218" si="394">IF(AB1154-AA1154*(B1155-B1154)&gt;0, AB1154-AA1154*(B1155-B1154), 0)</f>
        <v>0</v>
      </c>
      <c r="AC1155" s="51">
        <f t="shared" si="380"/>
        <v>1800</v>
      </c>
      <c r="AD1155" s="13">
        <f>IF(AE1155=0, Model!$B$19, 0 )</f>
        <v>0</v>
      </c>
      <c r="AE1155" s="51">
        <f>IF(AE1154+AB1154-AB1155&lt;Model!$B$19*Model!$B$18, AE1154+AB1154-AB1155,  0)</f>
        <v>443.63457370611354</v>
      </c>
      <c r="AF1155" s="13">
        <f t="shared" si="390"/>
        <v>1</v>
      </c>
      <c r="AG1155" s="50">
        <f t="shared" si="391"/>
        <v>0</v>
      </c>
    </row>
    <row r="1156" spans="2:33" x14ac:dyDescent="0.25">
      <c r="B1156" s="15">
        <f t="shared" si="392"/>
        <v>1</v>
      </c>
      <c r="C1156" s="15">
        <f>B1156+Model!$B$4</f>
        <v>3</v>
      </c>
      <c r="D1156" s="15">
        <f t="shared" si="393"/>
        <v>1</v>
      </c>
      <c r="E1156" s="15">
        <f t="shared" si="381"/>
        <v>3</v>
      </c>
      <c r="F1156" s="16">
        <f>IF(AB1156&gt;0, VLOOKUP(B1156,Model!$A$40:$B$60, 2), 0)</f>
        <v>0</v>
      </c>
      <c r="G1156" s="15">
        <f>IF(AB1156&gt;0, VLOOKUP(B1156,Model!$A$39:$C$58, 3), 0)</f>
        <v>0</v>
      </c>
      <c r="H1156" s="15">
        <f t="shared" si="382"/>
        <v>0</v>
      </c>
      <c r="I1156" s="45">
        <f>Model!$B$21*EXP((-0.029*9.81*F1156)/(8.31*(273+J1156)))</f>
        <v>104500</v>
      </c>
      <c r="J1156" s="15">
        <f>IF(Model!$B$31="Summer",  IF(F1156&lt;=2000,  Model!$B$20-Model!$B$35*F1156/1000,  IF(F1156&lt;Model!$B$36,  Model!$B$33-6.5*F1156/1000,  Model!$B$38)),     IF(F1156&lt;=2000,  Model!$B$20-Model!$B$35*F1156/1000,  IF(F1156&lt;Model!$B$36,  Model!$B$33-5.4*F1156/1000,   Model!$B$38)))</f>
        <v>-20</v>
      </c>
      <c r="K1156" s="15">
        <f t="shared" si="377"/>
        <v>253</v>
      </c>
      <c r="L1156" s="45">
        <f>IF(AB1155-AA1155*(B1156-B1155)&gt;0, L1155-Y1155*(B1156-B1155)*3600-AD1156*Model!$B$16, 0)</f>
        <v>0</v>
      </c>
      <c r="M1156" s="56">
        <f t="shared" si="383"/>
        <v>0</v>
      </c>
      <c r="N1156" s="56">
        <f>Model!$B$13*I1156*K1156/(Model!$B$13*I1156-L1156*287*K1156)</f>
        <v>253</v>
      </c>
      <c r="O1156" s="56">
        <f t="shared" si="384"/>
        <v>253</v>
      </c>
      <c r="P1156" s="56">
        <f t="shared" si="385"/>
        <v>-10</v>
      </c>
      <c r="Q1156" s="62">
        <f t="shared" si="378"/>
        <v>2.2579999999999999E-2</v>
      </c>
      <c r="R1156" s="33">
        <f t="shared" si="379"/>
        <v>1.152E-5</v>
      </c>
      <c r="S1156" s="45">
        <f>0.37*Model!$B$10*(Q1156^2*(N1156-K1156)*I1156/(R1156*O1156^2))^0.33333*(N1156-K1156)</f>
        <v>0</v>
      </c>
      <c r="T1156" s="50">
        <f>Model!$B$32+(90-Model!$B$6)*SIN(RADIANS(-15*(E1156+6)))</f>
        <v>-31.619472402513487</v>
      </c>
      <c r="U1156" s="45">
        <f t="shared" si="386"/>
        <v>0</v>
      </c>
      <c r="V1156" s="50">
        <f t="shared" si="387"/>
        <v>99999</v>
      </c>
      <c r="W1156" s="45">
        <f t="shared" si="388"/>
        <v>0</v>
      </c>
      <c r="X1156" s="45">
        <f>0.3*W1156*Model!$B$9</f>
        <v>0</v>
      </c>
      <c r="Y1156" s="33">
        <f>(S1156-X1156)/Model!$B$11</f>
        <v>0</v>
      </c>
      <c r="Z1156" s="45" t="e">
        <f t="shared" si="389"/>
        <v>#DIV/0!</v>
      </c>
      <c r="AA1156" s="56">
        <f>Y1156/Model!$B$12*3600</f>
        <v>0</v>
      </c>
      <c r="AB1156" s="50">
        <f t="shared" si="394"/>
        <v>0</v>
      </c>
      <c r="AC1156" s="50">
        <f t="shared" si="380"/>
        <v>1800</v>
      </c>
      <c r="AD1156" s="15">
        <f>IF(AE1156=0, Model!$B$19, 0 )</f>
        <v>0</v>
      </c>
      <c r="AE1156" s="50">
        <f>IF(AE1155+AB1155-AB1156&lt;Model!$B$19*Model!$B$18, AE1155+AB1155-AB1156,  0)</f>
        <v>443.63457370611354</v>
      </c>
      <c r="AF1156" s="15">
        <f t="shared" si="390"/>
        <v>1</v>
      </c>
      <c r="AG1156" s="50">
        <f t="shared" si="391"/>
        <v>0</v>
      </c>
    </row>
    <row r="1157" spans="2:33" x14ac:dyDescent="0.25">
      <c r="B1157" s="13">
        <f t="shared" si="392"/>
        <v>1</v>
      </c>
      <c r="C1157" s="13">
        <f>B1157+Model!$B$4</f>
        <v>3</v>
      </c>
      <c r="D1157" s="13">
        <f t="shared" si="393"/>
        <v>1</v>
      </c>
      <c r="E1157" s="13">
        <f t="shared" si="381"/>
        <v>3</v>
      </c>
      <c r="F1157" s="14">
        <f>IF(AB1157&gt;0, VLOOKUP(B1157,Model!$A$40:$B$60, 2), 0)</f>
        <v>0</v>
      </c>
      <c r="G1157" s="13">
        <f>IF(AB1157&gt;0, VLOOKUP(B1157,Model!$A$39:$C$58, 3), 0)</f>
        <v>0</v>
      </c>
      <c r="H1157" s="13">
        <f t="shared" si="382"/>
        <v>0</v>
      </c>
      <c r="I1157" s="46">
        <f>Model!$B$21*EXP((-0.029*9.81*F1157)/(8.31*(273+J1157)))</f>
        <v>104500</v>
      </c>
      <c r="J1157" s="13">
        <f>IF(Model!$B$31="Summer",  IF(F1157&lt;=2000,  Model!$B$20-Model!$B$35*F1157/1000,  IF(F1157&lt;Model!$B$36,  Model!$B$33-6.5*F1157/1000,  Model!$B$38)),     IF(F1157&lt;=2000,  Model!$B$20-Model!$B$35*F1157/1000,  IF(F1157&lt;Model!$B$36,  Model!$B$33-5.4*F1157/1000,   Model!$B$38)))</f>
        <v>-20</v>
      </c>
      <c r="K1157" s="13">
        <f t="shared" si="377"/>
        <v>253</v>
      </c>
      <c r="L1157" s="46">
        <f>IF(AB1156-AA1156*(B1157-B1156)&gt;0, L1156-Y1156*(B1157-B1156)*3600-AD1157*Model!$B$16, 0)</f>
        <v>0</v>
      </c>
      <c r="M1157" s="57">
        <f t="shared" si="383"/>
        <v>0</v>
      </c>
      <c r="N1157" s="57">
        <f>Model!$B$13*I1157*K1157/(Model!$B$13*I1157-L1157*287*K1157)</f>
        <v>253</v>
      </c>
      <c r="O1157" s="57">
        <f t="shared" si="384"/>
        <v>253</v>
      </c>
      <c r="P1157" s="57">
        <f t="shared" si="385"/>
        <v>-10</v>
      </c>
      <c r="Q1157" s="63">
        <f t="shared" si="378"/>
        <v>2.2579999999999999E-2</v>
      </c>
      <c r="R1157" s="17">
        <f t="shared" si="379"/>
        <v>1.152E-5</v>
      </c>
      <c r="S1157" s="46">
        <f>0.37*Model!$B$10*(Q1157^2*(N1157-K1157)*I1157/(R1157*O1157^2))^0.33333*(N1157-K1157)</f>
        <v>0</v>
      </c>
      <c r="T1157" s="51">
        <f>Model!$B$32+(90-Model!$B$6)*SIN(RADIANS(-15*(E1157+6)))</f>
        <v>-31.619472402513487</v>
      </c>
      <c r="U1157" s="46">
        <f t="shared" si="386"/>
        <v>0</v>
      </c>
      <c r="V1157" s="51">
        <f t="shared" si="387"/>
        <v>99999</v>
      </c>
      <c r="W1157" s="46">
        <f t="shared" si="388"/>
        <v>0</v>
      </c>
      <c r="X1157" s="46">
        <f>0.3*W1157*Model!$B$9</f>
        <v>0</v>
      </c>
      <c r="Y1157" s="17">
        <f>(S1157-X1157)/Model!$B$11</f>
        <v>0</v>
      </c>
      <c r="Z1157" s="46" t="e">
        <f t="shared" si="389"/>
        <v>#DIV/0!</v>
      </c>
      <c r="AA1157" s="57">
        <f>Y1157/Model!$B$12*3600</f>
        <v>0</v>
      </c>
      <c r="AB1157" s="51">
        <f t="shared" si="394"/>
        <v>0</v>
      </c>
      <c r="AC1157" s="51">
        <f t="shared" si="380"/>
        <v>1800</v>
      </c>
      <c r="AD1157" s="13">
        <f>IF(AE1157=0, Model!$B$19, 0 )</f>
        <v>0</v>
      </c>
      <c r="AE1157" s="51">
        <f>IF(AE1156+AB1156-AB1157&lt;Model!$B$19*Model!$B$18, AE1156+AB1156-AB1157,  0)</f>
        <v>443.63457370611354</v>
      </c>
      <c r="AF1157" s="13">
        <f t="shared" si="390"/>
        <v>1</v>
      </c>
      <c r="AG1157" s="50">
        <f t="shared" si="391"/>
        <v>0</v>
      </c>
    </row>
    <row r="1158" spans="2:33" x14ac:dyDescent="0.25">
      <c r="B1158" s="15">
        <f t="shared" si="392"/>
        <v>1</v>
      </c>
      <c r="C1158" s="15">
        <f>B1158+Model!$B$4</f>
        <v>3</v>
      </c>
      <c r="D1158" s="15">
        <f t="shared" si="393"/>
        <v>1</v>
      </c>
      <c r="E1158" s="15">
        <f t="shared" si="381"/>
        <v>3</v>
      </c>
      <c r="F1158" s="16">
        <f>IF(AB1158&gt;0, VLOOKUP(B1158,Model!$A$40:$B$60, 2), 0)</f>
        <v>0</v>
      </c>
      <c r="G1158" s="15">
        <f>IF(AB1158&gt;0, VLOOKUP(B1158,Model!$A$39:$C$58, 3), 0)</f>
        <v>0</v>
      </c>
      <c r="H1158" s="15">
        <f t="shared" si="382"/>
        <v>0</v>
      </c>
      <c r="I1158" s="45">
        <f>Model!$B$21*EXP((-0.029*9.81*F1158)/(8.31*(273+J1158)))</f>
        <v>104500</v>
      </c>
      <c r="J1158" s="15">
        <f>IF(Model!$B$31="Summer",  IF(F1158&lt;=2000,  Model!$B$20-Model!$B$35*F1158/1000,  IF(F1158&lt;Model!$B$36,  Model!$B$33-6.5*F1158/1000,  Model!$B$38)),     IF(F1158&lt;=2000,  Model!$B$20-Model!$B$35*F1158/1000,  IF(F1158&lt;Model!$B$36,  Model!$B$33-5.4*F1158/1000,   Model!$B$38)))</f>
        <v>-20</v>
      </c>
      <c r="K1158" s="15">
        <f t="shared" si="377"/>
        <v>253</v>
      </c>
      <c r="L1158" s="45">
        <f>IF(AB1157-AA1157*(B1158-B1157)&gt;0, L1157-Y1157*(B1158-B1157)*3600-AD1158*Model!$B$16, 0)</f>
        <v>0</v>
      </c>
      <c r="M1158" s="56">
        <f t="shared" si="383"/>
        <v>0</v>
      </c>
      <c r="N1158" s="56">
        <f>Model!$B$13*I1158*K1158/(Model!$B$13*I1158-L1158*287*K1158)</f>
        <v>253</v>
      </c>
      <c r="O1158" s="56">
        <f t="shared" si="384"/>
        <v>253</v>
      </c>
      <c r="P1158" s="56">
        <f t="shared" si="385"/>
        <v>-10</v>
      </c>
      <c r="Q1158" s="62">
        <f t="shared" si="378"/>
        <v>2.2579999999999999E-2</v>
      </c>
      <c r="R1158" s="33">
        <f t="shared" si="379"/>
        <v>1.152E-5</v>
      </c>
      <c r="S1158" s="45">
        <f>0.37*Model!$B$10*(Q1158^2*(N1158-K1158)*I1158/(R1158*O1158^2))^0.33333*(N1158-K1158)</f>
        <v>0</v>
      </c>
      <c r="T1158" s="50">
        <f>Model!$B$32+(90-Model!$B$6)*SIN(RADIANS(-15*(E1158+6)))</f>
        <v>-31.619472402513487</v>
      </c>
      <c r="U1158" s="45">
        <f t="shared" si="386"/>
        <v>0</v>
      </c>
      <c r="V1158" s="50">
        <f t="shared" si="387"/>
        <v>99999</v>
      </c>
      <c r="W1158" s="45">
        <f t="shared" si="388"/>
        <v>0</v>
      </c>
      <c r="X1158" s="45">
        <f>0.3*W1158*Model!$B$9</f>
        <v>0</v>
      </c>
      <c r="Y1158" s="33">
        <f>(S1158-X1158)/Model!$B$11</f>
        <v>0</v>
      </c>
      <c r="Z1158" s="45" t="e">
        <f t="shared" si="389"/>
        <v>#DIV/0!</v>
      </c>
      <c r="AA1158" s="56">
        <f>Y1158/Model!$B$12*3600</f>
        <v>0</v>
      </c>
      <c r="AB1158" s="50">
        <f t="shared" si="394"/>
        <v>0</v>
      </c>
      <c r="AC1158" s="50">
        <f t="shared" si="380"/>
        <v>1800</v>
      </c>
      <c r="AD1158" s="15">
        <f>IF(AE1158=0, Model!$B$19, 0 )</f>
        <v>0</v>
      </c>
      <c r="AE1158" s="50">
        <f>IF(AE1157+AB1157-AB1158&lt;Model!$B$19*Model!$B$18, AE1157+AB1157-AB1158,  0)</f>
        <v>443.63457370611354</v>
      </c>
      <c r="AF1158" s="15">
        <f t="shared" si="390"/>
        <v>1</v>
      </c>
      <c r="AG1158" s="50">
        <f t="shared" si="391"/>
        <v>0</v>
      </c>
    </row>
    <row r="1159" spans="2:33" x14ac:dyDescent="0.25">
      <c r="B1159" s="13">
        <f t="shared" si="392"/>
        <v>1</v>
      </c>
      <c r="C1159" s="13">
        <f>B1159+Model!$B$4</f>
        <v>3</v>
      </c>
      <c r="D1159" s="13">
        <f t="shared" si="393"/>
        <v>1</v>
      </c>
      <c r="E1159" s="13">
        <f t="shared" si="381"/>
        <v>3</v>
      </c>
      <c r="F1159" s="14">
        <f>IF(AB1159&gt;0, VLOOKUP(B1159,Model!$A$40:$B$60, 2), 0)</f>
        <v>0</v>
      </c>
      <c r="G1159" s="13">
        <f>IF(AB1159&gt;0, VLOOKUP(B1159,Model!$A$39:$C$58, 3), 0)</f>
        <v>0</v>
      </c>
      <c r="H1159" s="13">
        <f t="shared" si="382"/>
        <v>0</v>
      </c>
      <c r="I1159" s="46">
        <f>Model!$B$21*EXP((-0.029*9.81*F1159)/(8.31*(273+J1159)))</f>
        <v>104500</v>
      </c>
      <c r="J1159" s="13">
        <f>IF(Model!$B$31="Summer",  IF(F1159&lt;=2000,  Model!$B$20-Model!$B$35*F1159/1000,  IF(F1159&lt;Model!$B$36,  Model!$B$33-6.5*F1159/1000,  Model!$B$38)),     IF(F1159&lt;=2000,  Model!$B$20-Model!$B$35*F1159/1000,  IF(F1159&lt;Model!$B$36,  Model!$B$33-5.4*F1159/1000,   Model!$B$38)))</f>
        <v>-20</v>
      </c>
      <c r="K1159" s="13">
        <f t="shared" si="377"/>
        <v>253</v>
      </c>
      <c r="L1159" s="46">
        <f>IF(AB1158-AA1158*(B1159-B1158)&gt;0, L1158-Y1158*(B1159-B1158)*3600-AD1159*Model!$B$16, 0)</f>
        <v>0</v>
      </c>
      <c r="M1159" s="57">
        <f t="shared" si="383"/>
        <v>0</v>
      </c>
      <c r="N1159" s="57">
        <f>Model!$B$13*I1159*K1159/(Model!$B$13*I1159-L1159*287*K1159)</f>
        <v>253</v>
      </c>
      <c r="O1159" s="57">
        <f t="shared" si="384"/>
        <v>253</v>
      </c>
      <c r="P1159" s="57">
        <f t="shared" si="385"/>
        <v>-10</v>
      </c>
      <c r="Q1159" s="63">
        <f t="shared" si="378"/>
        <v>2.2579999999999999E-2</v>
      </c>
      <c r="R1159" s="17">
        <f t="shared" si="379"/>
        <v>1.152E-5</v>
      </c>
      <c r="S1159" s="46">
        <f>0.37*Model!$B$10*(Q1159^2*(N1159-K1159)*I1159/(R1159*O1159^2))^0.33333*(N1159-K1159)</f>
        <v>0</v>
      </c>
      <c r="T1159" s="51">
        <f>Model!$B$32+(90-Model!$B$6)*SIN(RADIANS(-15*(E1159+6)))</f>
        <v>-31.619472402513487</v>
      </c>
      <c r="U1159" s="46">
        <f t="shared" si="386"/>
        <v>0</v>
      </c>
      <c r="V1159" s="51">
        <f t="shared" si="387"/>
        <v>99999</v>
      </c>
      <c r="W1159" s="46">
        <f t="shared" si="388"/>
        <v>0</v>
      </c>
      <c r="X1159" s="46">
        <f>0.3*W1159*Model!$B$9</f>
        <v>0</v>
      </c>
      <c r="Y1159" s="17">
        <f>(S1159-X1159)/Model!$B$11</f>
        <v>0</v>
      </c>
      <c r="Z1159" s="46" t="e">
        <f t="shared" si="389"/>
        <v>#DIV/0!</v>
      </c>
      <c r="AA1159" s="57">
        <f>Y1159/Model!$B$12*3600</f>
        <v>0</v>
      </c>
      <c r="AB1159" s="51">
        <f t="shared" si="394"/>
        <v>0</v>
      </c>
      <c r="AC1159" s="51">
        <f t="shared" si="380"/>
        <v>1800</v>
      </c>
      <c r="AD1159" s="13">
        <f>IF(AE1159=0, Model!$B$19, 0 )</f>
        <v>0</v>
      </c>
      <c r="AE1159" s="51">
        <f>IF(AE1158+AB1158-AB1159&lt;Model!$B$19*Model!$B$18, AE1158+AB1158-AB1159,  0)</f>
        <v>443.63457370611354</v>
      </c>
      <c r="AF1159" s="13">
        <f t="shared" si="390"/>
        <v>1</v>
      </c>
      <c r="AG1159" s="50">
        <f t="shared" si="391"/>
        <v>0</v>
      </c>
    </row>
    <row r="1160" spans="2:33" x14ac:dyDescent="0.25">
      <c r="B1160" s="15">
        <f t="shared" si="392"/>
        <v>1</v>
      </c>
      <c r="C1160" s="15">
        <f>B1160+Model!$B$4</f>
        <v>3</v>
      </c>
      <c r="D1160" s="15">
        <f t="shared" si="393"/>
        <v>1</v>
      </c>
      <c r="E1160" s="15">
        <f t="shared" si="381"/>
        <v>3</v>
      </c>
      <c r="F1160" s="16">
        <f>IF(AB1160&gt;0, VLOOKUP(B1160,Model!$A$40:$B$60, 2), 0)</f>
        <v>0</v>
      </c>
      <c r="G1160" s="15">
        <f>IF(AB1160&gt;0, VLOOKUP(B1160,Model!$A$39:$C$58, 3), 0)</f>
        <v>0</v>
      </c>
      <c r="H1160" s="15">
        <f t="shared" si="382"/>
        <v>0</v>
      </c>
      <c r="I1160" s="45">
        <f>Model!$B$21*EXP((-0.029*9.81*F1160)/(8.31*(273+J1160)))</f>
        <v>104500</v>
      </c>
      <c r="J1160" s="15">
        <f>IF(Model!$B$31="Summer",  IF(F1160&lt;=2000,  Model!$B$20-Model!$B$35*F1160/1000,  IF(F1160&lt;Model!$B$36,  Model!$B$33-6.5*F1160/1000,  Model!$B$38)),     IF(F1160&lt;=2000,  Model!$B$20-Model!$B$35*F1160/1000,  IF(F1160&lt;Model!$B$36,  Model!$B$33-5.4*F1160/1000,   Model!$B$38)))</f>
        <v>-20</v>
      </c>
      <c r="K1160" s="15">
        <f t="shared" si="377"/>
        <v>253</v>
      </c>
      <c r="L1160" s="45">
        <f>IF(AB1159-AA1159*(B1160-B1159)&gt;0, L1159-Y1159*(B1160-B1159)*3600-AD1160*Model!$B$16, 0)</f>
        <v>0</v>
      </c>
      <c r="M1160" s="56">
        <f t="shared" si="383"/>
        <v>0</v>
      </c>
      <c r="N1160" s="56">
        <f>Model!$B$13*I1160*K1160/(Model!$B$13*I1160-L1160*287*K1160)</f>
        <v>253</v>
      </c>
      <c r="O1160" s="56">
        <f t="shared" si="384"/>
        <v>253</v>
      </c>
      <c r="P1160" s="56">
        <f t="shared" si="385"/>
        <v>-10</v>
      </c>
      <c r="Q1160" s="62">
        <f t="shared" si="378"/>
        <v>2.2579999999999999E-2</v>
      </c>
      <c r="R1160" s="33">
        <f t="shared" si="379"/>
        <v>1.152E-5</v>
      </c>
      <c r="S1160" s="45">
        <f>0.37*Model!$B$10*(Q1160^2*(N1160-K1160)*I1160/(R1160*O1160^2))^0.33333*(N1160-K1160)</f>
        <v>0</v>
      </c>
      <c r="T1160" s="50">
        <f>Model!$B$32+(90-Model!$B$6)*SIN(RADIANS(-15*(E1160+6)))</f>
        <v>-31.619472402513487</v>
      </c>
      <c r="U1160" s="45">
        <f t="shared" si="386"/>
        <v>0</v>
      </c>
      <c r="V1160" s="50">
        <f t="shared" si="387"/>
        <v>99999</v>
      </c>
      <c r="W1160" s="45">
        <f t="shared" si="388"/>
        <v>0</v>
      </c>
      <c r="X1160" s="45">
        <f>0.3*W1160*Model!$B$9</f>
        <v>0</v>
      </c>
      <c r="Y1160" s="33">
        <f>(S1160-X1160)/Model!$B$11</f>
        <v>0</v>
      </c>
      <c r="Z1160" s="45" t="e">
        <f t="shared" si="389"/>
        <v>#DIV/0!</v>
      </c>
      <c r="AA1160" s="56">
        <f>Y1160/Model!$B$12*3600</f>
        <v>0</v>
      </c>
      <c r="AB1160" s="50">
        <f t="shared" si="394"/>
        <v>0</v>
      </c>
      <c r="AC1160" s="50">
        <f t="shared" si="380"/>
        <v>1800</v>
      </c>
      <c r="AD1160" s="15">
        <f>IF(AE1160=0, Model!$B$19, 0 )</f>
        <v>0</v>
      </c>
      <c r="AE1160" s="50">
        <f>IF(AE1159+AB1159-AB1160&lt;Model!$B$19*Model!$B$18, AE1159+AB1159-AB1160,  0)</f>
        <v>443.63457370611354</v>
      </c>
      <c r="AF1160" s="15">
        <f t="shared" si="390"/>
        <v>1</v>
      </c>
      <c r="AG1160" s="50">
        <f t="shared" si="391"/>
        <v>0</v>
      </c>
    </row>
    <row r="1161" spans="2:33" x14ac:dyDescent="0.25">
      <c r="B1161" s="13">
        <f t="shared" si="392"/>
        <v>1</v>
      </c>
      <c r="C1161" s="13">
        <f>B1161+Model!$B$4</f>
        <v>3</v>
      </c>
      <c r="D1161" s="13">
        <f t="shared" si="393"/>
        <v>1</v>
      </c>
      <c r="E1161" s="13">
        <f t="shared" si="381"/>
        <v>3</v>
      </c>
      <c r="F1161" s="14">
        <f>IF(AB1161&gt;0, VLOOKUP(B1161,Model!$A$40:$B$60, 2), 0)</f>
        <v>0</v>
      </c>
      <c r="G1161" s="13">
        <f>IF(AB1161&gt;0, VLOOKUP(B1161,Model!$A$39:$C$58, 3), 0)</f>
        <v>0</v>
      </c>
      <c r="H1161" s="13">
        <f t="shared" si="382"/>
        <v>0</v>
      </c>
      <c r="I1161" s="46">
        <f>Model!$B$21*EXP((-0.029*9.81*F1161)/(8.31*(273+J1161)))</f>
        <v>104500</v>
      </c>
      <c r="J1161" s="13">
        <f>IF(Model!$B$31="Summer",  IF(F1161&lt;=2000,  Model!$B$20-Model!$B$35*F1161/1000,  IF(F1161&lt;Model!$B$36,  Model!$B$33-6.5*F1161/1000,  Model!$B$38)),     IF(F1161&lt;=2000,  Model!$B$20-Model!$B$35*F1161/1000,  IF(F1161&lt;Model!$B$36,  Model!$B$33-5.4*F1161/1000,   Model!$B$38)))</f>
        <v>-20</v>
      </c>
      <c r="K1161" s="13">
        <f t="shared" si="377"/>
        <v>253</v>
      </c>
      <c r="L1161" s="46">
        <f>IF(AB1160-AA1160*(B1161-B1160)&gt;0, L1160-Y1160*(B1161-B1160)*3600-AD1161*Model!$B$16, 0)</f>
        <v>0</v>
      </c>
      <c r="M1161" s="57">
        <f t="shared" si="383"/>
        <v>0</v>
      </c>
      <c r="N1161" s="57">
        <f>Model!$B$13*I1161*K1161/(Model!$B$13*I1161-L1161*287*K1161)</f>
        <v>253</v>
      </c>
      <c r="O1161" s="57">
        <f t="shared" si="384"/>
        <v>253</v>
      </c>
      <c r="P1161" s="57">
        <f t="shared" si="385"/>
        <v>-10</v>
      </c>
      <c r="Q1161" s="63">
        <f t="shared" si="378"/>
        <v>2.2579999999999999E-2</v>
      </c>
      <c r="R1161" s="17">
        <f t="shared" si="379"/>
        <v>1.152E-5</v>
      </c>
      <c r="S1161" s="46">
        <f>0.37*Model!$B$10*(Q1161^2*(N1161-K1161)*I1161/(R1161*O1161^2))^0.33333*(N1161-K1161)</f>
        <v>0</v>
      </c>
      <c r="T1161" s="51">
        <f>Model!$B$32+(90-Model!$B$6)*SIN(RADIANS(-15*(E1161+6)))</f>
        <v>-31.619472402513487</v>
      </c>
      <c r="U1161" s="46">
        <f t="shared" si="386"/>
        <v>0</v>
      </c>
      <c r="V1161" s="51">
        <f t="shared" si="387"/>
        <v>99999</v>
      </c>
      <c r="W1161" s="46">
        <f t="shared" si="388"/>
        <v>0</v>
      </c>
      <c r="X1161" s="46">
        <f>0.3*W1161*Model!$B$9</f>
        <v>0</v>
      </c>
      <c r="Y1161" s="17">
        <f>(S1161-X1161)/Model!$B$11</f>
        <v>0</v>
      </c>
      <c r="Z1161" s="46" t="e">
        <f t="shared" si="389"/>
        <v>#DIV/0!</v>
      </c>
      <c r="AA1161" s="57">
        <f>Y1161/Model!$B$12*3600</f>
        <v>0</v>
      </c>
      <c r="AB1161" s="51">
        <f t="shared" si="394"/>
        <v>0</v>
      </c>
      <c r="AC1161" s="51">
        <f t="shared" si="380"/>
        <v>1800</v>
      </c>
      <c r="AD1161" s="13">
        <f>IF(AE1161=0, Model!$B$19, 0 )</f>
        <v>0</v>
      </c>
      <c r="AE1161" s="51">
        <f>IF(AE1160+AB1160-AB1161&lt;Model!$B$19*Model!$B$18, AE1160+AB1160-AB1161,  0)</f>
        <v>443.63457370611354</v>
      </c>
      <c r="AF1161" s="13">
        <f t="shared" si="390"/>
        <v>1</v>
      </c>
      <c r="AG1161" s="50">
        <f t="shared" si="391"/>
        <v>0</v>
      </c>
    </row>
    <row r="1162" spans="2:33" x14ac:dyDescent="0.25">
      <c r="B1162" s="15">
        <f t="shared" si="392"/>
        <v>1</v>
      </c>
      <c r="C1162" s="15">
        <f>B1162+Model!$B$4</f>
        <v>3</v>
      </c>
      <c r="D1162" s="15">
        <f t="shared" si="393"/>
        <v>1</v>
      </c>
      <c r="E1162" s="15">
        <f t="shared" si="381"/>
        <v>3</v>
      </c>
      <c r="F1162" s="16">
        <f>IF(AB1162&gt;0, VLOOKUP(B1162,Model!$A$40:$B$60, 2), 0)</f>
        <v>0</v>
      </c>
      <c r="G1162" s="15">
        <f>IF(AB1162&gt;0, VLOOKUP(B1162,Model!$A$39:$C$58, 3), 0)</f>
        <v>0</v>
      </c>
      <c r="H1162" s="15">
        <f t="shared" si="382"/>
        <v>0</v>
      </c>
      <c r="I1162" s="45">
        <f>Model!$B$21*EXP((-0.029*9.81*F1162)/(8.31*(273+J1162)))</f>
        <v>104500</v>
      </c>
      <c r="J1162" s="15">
        <f>IF(Model!$B$31="Summer",  IF(F1162&lt;=2000,  Model!$B$20-Model!$B$35*F1162/1000,  IF(F1162&lt;Model!$B$36,  Model!$B$33-6.5*F1162/1000,  Model!$B$38)),     IF(F1162&lt;=2000,  Model!$B$20-Model!$B$35*F1162/1000,  IF(F1162&lt;Model!$B$36,  Model!$B$33-5.4*F1162/1000,   Model!$B$38)))</f>
        <v>-20</v>
      </c>
      <c r="K1162" s="15">
        <f t="shared" si="377"/>
        <v>253</v>
      </c>
      <c r="L1162" s="45">
        <f>IF(AB1161-AA1161*(B1162-B1161)&gt;0, L1161-Y1161*(B1162-B1161)*3600-AD1162*Model!$B$16, 0)</f>
        <v>0</v>
      </c>
      <c r="M1162" s="56">
        <f t="shared" si="383"/>
        <v>0</v>
      </c>
      <c r="N1162" s="56">
        <f>Model!$B$13*I1162*K1162/(Model!$B$13*I1162-L1162*287*K1162)</f>
        <v>253</v>
      </c>
      <c r="O1162" s="56">
        <f t="shared" si="384"/>
        <v>253</v>
      </c>
      <c r="P1162" s="56">
        <f t="shared" si="385"/>
        <v>-10</v>
      </c>
      <c r="Q1162" s="62">
        <f t="shared" si="378"/>
        <v>2.2579999999999999E-2</v>
      </c>
      <c r="R1162" s="33">
        <f t="shared" si="379"/>
        <v>1.152E-5</v>
      </c>
      <c r="S1162" s="45">
        <f>0.37*Model!$B$10*(Q1162^2*(N1162-K1162)*I1162/(R1162*O1162^2))^0.33333*(N1162-K1162)</f>
        <v>0</v>
      </c>
      <c r="T1162" s="50">
        <f>Model!$B$32+(90-Model!$B$6)*SIN(RADIANS(-15*(E1162+6)))</f>
        <v>-31.619472402513487</v>
      </c>
      <c r="U1162" s="45">
        <f t="shared" si="386"/>
        <v>0</v>
      </c>
      <c r="V1162" s="50">
        <f t="shared" si="387"/>
        <v>99999</v>
      </c>
      <c r="W1162" s="45">
        <f t="shared" si="388"/>
        <v>0</v>
      </c>
      <c r="X1162" s="45">
        <f>0.3*W1162*Model!$B$9</f>
        <v>0</v>
      </c>
      <c r="Y1162" s="33">
        <f>(S1162-X1162)/Model!$B$11</f>
        <v>0</v>
      </c>
      <c r="Z1162" s="45" t="e">
        <f t="shared" si="389"/>
        <v>#DIV/0!</v>
      </c>
      <c r="AA1162" s="56">
        <f>Y1162/Model!$B$12*3600</f>
        <v>0</v>
      </c>
      <c r="AB1162" s="50">
        <f t="shared" si="394"/>
        <v>0</v>
      </c>
      <c r="AC1162" s="50">
        <f t="shared" si="380"/>
        <v>1800</v>
      </c>
      <c r="AD1162" s="15">
        <f>IF(AE1162=0, Model!$B$19, 0 )</f>
        <v>0</v>
      </c>
      <c r="AE1162" s="50">
        <f>IF(AE1161+AB1161-AB1162&lt;Model!$B$19*Model!$B$18, AE1161+AB1161-AB1162,  0)</f>
        <v>443.63457370611354</v>
      </c>
      <c r="AF1162" s="15">
        <f t="shared" si="390"/>
        <v>1</v>
      </c>
      <c r="AG1162" s="50">
        <f t="shared" si="391"/>
        <v>0</v>
      </c>
    </row>
    <row r="1163" spans="2:33" x14ac:dyDescent="0.25">
      <c r="B1163" s="13">
        <f t="shared" si="392"/>
        <v>1</v>
      </c>
      <c r="C1163" s="13">
        <f>B1163+Model!$B$4</f>
        <v>3</v>
      </c>
      <c r="D1163" s="13">
        <f t="shared" si="393"/>
        <v>1</v>
      </c>
      <c r="E1163" s="13">
        <f t="shared" si="381"/>
        <v>3</v>
      </c>
      <c r="F1163" s="14">
        <f>IF(AB1163&gt;0, VLOOKUP(B1163,Model!$A$40:$B$60, 2), 0)</f>
        <v>0</v>
      </c>
      <c r="G1163" s="13">
        <f>IF(AB1163&gt;0, VLOOKUP(B1163,Model!$A$39:$C$58, 3), 0)</f>
        <v>0</v>
      </c>
      <c r="H1163" s="13">
        <f t="shared" si="382"/>
        <v>0</v>
      </c>
      <c r="I1163" s="46">
        <f>Model!$B$21*EXP((-0.029*9.81*F1163)/(8.31*(273+J1163)))</f>
        <v>104500</v>
      </c>
      <c r="J1163" s="13">
        <f>IF(Model!$B$31="Summer",  IF(F1163&lt;=2000,  Model!$B$20-Model!$B$35*F1163/1000,  IF(F1163&lt;Model!$B$36,  Model!$B$33-6.5*F1163/1000,  Model!$B$38)),     IF(F1163&lt;=2000,  Model!$B$20-Model!$B$35*F1163/1000,  IF(F1163&lt;Model!$B$36,  Model!$B$33-5.4*F1163/1000,   Model!$B$38)))</f>
        <v>-20</v>
      </c>
      <c r="K1163" s="13">
        <f t="shared" si="377"/>
        <v>253</v>
      </c>
      <c r="L1163" s="46">
        <f>IF(AB1162-AA1162*(B1163-B1162)&gt;0, L1162-Y1162*(B1163-B1162)*3600-AD1163*Model!$B$16, 0)</f>
        <v>0</v>
      </c>
      <c r="M1163" s="57">
        <f t="shared" si="383"/>
        <v>0</v>
      </c>
      <c r="N1163" s="57">
        <f>Model!$B$13*I1163*K1163/(Model!$B$13*I1163-L1163*287*K1163)</f>
        <v>253</v>
      </c>
      <c r="O1163" s="57">
        <f t="shared" si="384"/>
        <v>253</v>
      </c>
      <c r="P1163" s="57">
        <f t="shared" si="385"/>
        <v>-10</v>
      </c>
      <c r="Q1163" s="63">
        <f t="shared" si="378"/>
        <v>2.2579999999999999E-2</v>
      </c>
      <c r="R1163" s="17">
        <f t="shared" si="379"/>
        <v>1.152E-5</v>
      </c>
      <c r="S1163" s="46">
        <f>0.37*Model!$B$10*(Q1163^2*(N1163-K1163)*I1163/(R1163*O1163^2))^0.33333*(N1163-K1163)</f>
        <v>0</v>
      </c>
      <c r="T1163" s="51">
        <f>Model!$B$32+(90-Model!$B$6)*SIN(RADIANS(-15*(E1163+6)))</f>
        <v>-31.619472402513487</v>
      </c>
      <c r="U1163" s="46">
        <f t="shared" si="386"/>
        <v>0</v>
      </c>
      <c r="V1163" s="51">
        <f t="shared" si="387"/>
        <v>99999</v>
      </c>
      <c r="W1163" s="46">
        <f t="shared" si="388"/>
        <v>0</v>
      </c>
      <c r="X1163" s="46">
        <f>0.3*W1163*Model!$B$9</f>
        <v>0</v>
      </c>
      <c r="Y1163" s="17">
        <f>(S1163-X1163)/Model!$B$11</f>
        <v>0</v>
      </c>
      <c r="Z1163" s="46" t="e">
        <f t="shared" si="389"/>
        <v>#DIV/0!</v>
      </c>
      <c r="AA1163" s="57">
        <f>Y1163/Model!$B$12*3600</f>
        <v>0</v>
      </c>
      <c r="AB1163" s="51">
        <f t="shared" si="394"/>
        <v>0</v>
      </c>
      <c r="AC1163" s="51">
        <f t="shared" si="380"/>
        <v>1800</v>
      </c>
      <c r="AD1163" s="13">
        <f>IF(AE1163=0, Model!$B$19, 0 )</f>
        <v>0</v>
      </c>
      <c r="AE1163" s="51">
        <f>IF(AE1162+AB1162-AB1163&lt;Model!$B$19*Model!$B$18, AE1162+AB1162-AB1163,  0)</f>
        <v>443.63457370611354</v>
      </c>
      <c r="AF1163" s="13">
        <f t="shared" si="390"/>
        <v>1</v>
      </c>
      <c r="AG1163" s="50">
        <f t="shared" si="391"/>
        <v>0</v>
      </c>
    </row>
    <row r="1164" spans="2:33" x14ac:dyDescent="0.25">
      <c r="B1164" s="15">
        <f t="shared" si="392"/>
        <v>1</v>
      </c>
      <c r="C1164" s="15">
        <f>B1164+Model!$B$4</f>
        <v>3</v>
      </c>
      <c r="D1164" s="15">
        <f t="shared" si="393"/>
        <v>1</v>
      </c>
      <c r="E1164" s="15">
        <f t="shared" si="381"/>
        <v>3</v>
      </c>
      <c r="F1164" s="16">
        <f>IF(AB1164&gt;0, VLOOKUP(B1164,Model!$A$40:$B$60, 2), 0)</f>
        <v>0</v>
      </c>
      <c r="G1164" s="15">
        <f>IF(AB1164&gt;0, VLOOKUP(B1164,Model!$A$39:$C$58, 3), 0)</f>
        <v>0</v>
      </c>
      <c r="H1164" s="15">
        <f t="shared" si="382"/>
        <v>0</v>
      </c>
      <c r="I1164" s="45">
        <f>Model!$B$21*EXP((-0.029*9.81*F1164)/(8.31*(273+J1164)))</f>
        <v>104500</v>
      </c>
      <c r="J1164" s="15">
        <f>IF(Model!$B$31="Summer",  IF(F1164&lt;=2000,  Model!$B$20-Model!$B$35*F1164/1000,  IF(F1164&lt;Model!$B$36,  Model!$B$33-6.5*F1164/1000,  Model!$B$38)),     IF(F1164&lt;=2000,  Model!$B$20-Model!$B$35*F1164/1000,  IF(F1164&lt;Model!$B$36,  Model!$B$33-5.4*F1164/1000,   Model!$B$38)))</f>
        <v>-20</v>
      </c>
      <c r="K1164" s="15">
        <f t="shared" si="377"/>
        <v>253</v>
      </c>
      <c r="L1164" s="45">
        <f>IF(AB1163-AA1163*(B1164-B1163)&gt;0, L1163-Y1163*(B1164-B1163)*3600-AD1164*Model!$B$16, 0)</f>
        <v>0</v>
      </c>
      <c r="M1164" s="56">
        <f t="shared" si="383"/>
        <v>0</v>
      </c>
      <c r="N1164" s="56">
        <f>Model!$B$13*I1164*K1164/(Model!$B$13*I1164-L1164*287*K1164)</f>
        <v>253</v>
      </c>
      <c r="O1164" s="56">
        <f t="shared" si="384"/>
        <v>253</v>
      </c>
      <c r="P1164" s="56">
        <f t="shared" si="385"/>
        <v>-10</v>
      </c>
      <c r="Q1164" s="62">
        <f t="shared" si="378"/>
        <v>2.2579999999999999E-2</v>
      </c>
      <c r="R1164" s="33">
        <f t="shared" si="379"/>
        <v>1.152E-5</v>
      </c>
      <c r="S1164" s="45">
        <f>0.37*Model!$B$10*(Q1164^2*(N1164-K1164)*I1164/(R1164*O1164^2))^0.33333*(N1164-K1164)</f>
        <v>0</v>
      </c>
      <c r="T1164" s="50">
        <f>Model!$B$32+(90-Model!$B$6)*SIN(RADIANS(-15*(E1164+6)))</f>
        <v>-31.619472402513487</v>
      </c>
      <c r="U1164" s="45">
        <f t="shared" si="386"/>
        <v>0</v>
      </c>
      <c r="V1164" s="50">
        <f t="shared" si="387"/>
        <v>99999</v>
      </c>
      <c r="W1164" s="45">
        <f t="shared" si="388"/>
        <v>0</v>
      </c>
      <c r="X1164" s="45">
        <f>0.3*W1164*Model!$B$9</f>
        <v>0</v>
      </c>
      <c r="Y1164" s="33">
        <f>(S1164-X1164)/Model!$B$11</f>
        <v>0</v>
      </c>
      <c r="Z1164" s="45" t="e">
        <f t="shared" si="389"/>
        <v>#DIV/0!</v>
      </c>
      <c r="AA1164" s="56">
        <f>Y1164/Model!$B$12*3600</f>
        <v>0</v>
      </c>
      <c r="AB1164" s="50">
        <f t="shared" si="394"/>
        <v>0</v>
      </c>
      <c r="AC1164" s="50">
        <f t="shared" si="380"/>
        <v>1800</v>
      </c>
      <c r="AD1164" s="15">
        <f>IF(AE1164=0, Model!$B$19, 0 )</f>
        <v>0</v>
      </c>
      <c r="AE1164" s="50">
        <f>IF(AE1163+AB1163-AB1164&lt;Model!$B$19*Model!$B$18, AE1163+AB1163-AB1164,  0)</f>
        <v>443.63457370611354</v>
      </c>
      <c r="AF1164" s="15">
        <f t="shared" si="390"/>
        <v>1</v>
      </c>
      <c r="AG1164" s="50">
        <f t="shared" si="391"/>
        <v>0</v>
      </c>
    </row>
    <row r="1165" spans="2:33" x14ac:dyDescent="0.25">
      <c r="B1165" s="13">
        <f t="shared" si="392"/>
        <v>1</v>
      </c>
      <c r="C1165" s="13">
        <f>B1165+Model!$B$4</f>
        <v>3</v>
      </c>
      <c r="D1165" s="13">
        <f t="shared" si="393"/>
        <v>1</v>
      </c>
      <c r="E1165" s="13">
        <f t="shared" si="381"/>
        <v>3</v>
      </c>
      <c r="F1165" s="14">
        <f>IF(AB1165&gt;0, VLOOKUP(B1165,Model!$A$40:$B$60, 2), 0)</f>
        <v>0</v>
      </c>
      <c r="G1165" s="13">
        <f>IF(AB1165&gt;0, VLOOKUP(B1165,Model!$A$39:$C$58, 3), 0)</f>
        <v>0</v>
      </c>
      <c r="H1165" s="13">
        <f t="shared" si="382"/>
        <v>0</v>
      </c>
      <c r="I1165" s="46">
        <f>Model!$B$21*EXP((-0.029*9.81*F1165)/(8.31*(273+J1165)))</f>
        <v>104500</v>
      </c>
      <c r="J1165" s="13">
        <f>IF(Model!$B$31="Summer",  IF(F1165&lt;=2000,  Model!$B$20-Model!$B$35*F1165/1000,  IF(F1165&lt;Model!$B$36,  Model!$B$33-6.5*F1165/1000,  Model!$B$38)),     IF(F1165&lt;=2000,  Model!$B$20-Model!$B$35*F1165/1000,  IF(F1165&lt;Model!$B$36,  Model!$B$33-5.4*F1165/1000,   Model!$B$38)))</f>
        <v>-20</v>
      </c>
      <c r="K1165" s="13">
        <f t="shared" si="377"/>
        <v>253</v>
      </c>
      <c r="L1165" s="46">
        <f>IF(AB1164-AA1164*(B1165-B1164)&gt;0, L1164-Y1164*(B1165-B1164)*3600-AD1165*Model!$B$16, 0)</f>
        <v>0</v>
      </c>
      <c r="M1165" s="57">
        <f t="shared" si="383"/>
        <v>0</v>
      </c>
      <c r="N1165" s="57">
        <f>Model!$B$13*I1165*K1165/(Model!$B$13*I1165-L1165*287*K1165)</f>
        <v>253</v>
      </c>
      <c r="O1165" s="57">
        <f t="shared" si="384"/>
        <v>253</v>
      </c>
      <c r="P1165" s="57">
        <f t="shared" si="385"/>
        <v>-10</v>
      </c>
      <c r="Q1165" s="63">
        <f t="shared" si="378"/>
        <v>2.2579999999999999E-2</v>
      </c>
      <c r="R1165" s="17">
        <f t="shared" si="379"/>
        <v>1.152E-5</v>
      </c>
      <c r="S1165" s="46">
        <f>0.37*Model!$B$10*(Q1165^2*(N1165-K1165)*I1165/(R1165*O1165^2))^0.33333*(N1165-K1165)</f>
        <v>0</v>
      </c>
      <c r="T1165" s="51">
        <f>Model!$B$32+(90-Model!$B$6)*SIN(RADIANS(-15*(E1165+6)))</f>
        <v>-31.619472402513487</v>
      </c>
      <c r="U1165" s="46">
        <f t="shared" si="386"/>
        <v>0</v>
      </c>
      <c r="V1165" s="51">
        <f t="shared" si="387"/>
        <v>99999</v>
      </c>
      <c r="W1165" s="46">
        <f t="shared" si="388"/>
        <v>0</v>
      </c>
      <c r="X1165" s="46">
        <f>0.3*W1165*Model!$B$9</f>
        <v>0</v>
      </c>
      <c r="Y1165" s="17">
        <f>(S1165-X1165)/Model!$B$11</f>
        <v>0</v>
      </c>
      <c r="Z1165" s="46" t="e">
        <f t="shared" si="389"/>
        <v>#DIV/0!</v>
      </c>
      <c r="AA1165" s="57">
        <f>Y1165/Model!$B$12*3600</f>
        <v>0</v>
      </c>
      <c r="AB1165" s="51">
        <f t="shared" si="394"/>
        <v>0</v>
      </c>
      <c r="AC1165" s="51">
        <f t="shared" si="380"/>
        <v>1800</v>
      </c>
      <c r="AD1165" s="13">
        <f>IF(AE1165=0, Model!$B$19, 0 )</f>
        <v>0</v>
      </c>
      <c r="AE1165" s="51">
        <f>IF(AE1164+AB1164-AB1165&lt;Model!$B$19*Model!$B$18, AE1164+AB1164-AB1165,  0)</f>
        <v>443.63457370611354</v>
      </c>
      <c r="AF1165" s="13">
        <f t="shared" si="390"/>
        <v>1</v>
      </c>
      <c r="AG1165" s="50">
        <f t="shared" si="391"/>
        <v>0</v>
      </c>
    </row>
    <row r="1166" spans="2:33" x14ac:dyDescent="0.25">
      <c r="B1166" s="15">
        <f t="shared" si="392"/>
        <v>1</v>
      </c>
      <c r="C1166" s="15">
        <f>B1166+Model!$B$4</f>
        <v>3</v>
      </c>
      <c r="D1166" s="15">
        <f t="shared" si="393"/>
        <v>1</v>
      </c>
      <c r="E1166" s="15">
        <f t="shared" si="381"/>
        <v>3</v>
      </c>
      <c r="F1166" s="16">
        <f>IF(AB1166&gt;0, VLOOKUP(B1166,Model!$A$40:$B$60, 2), 0)</f>
        <v>0</v>
      </c>
      <c r="G1166" s="15">
        <f>IF(AB1166&gt;0, VLOOKUP(B1166,Model!$A$39:$C$58, 3), 0)</f>
        <v>0</v>
      </c>
      <c r="H1166" s="15">
        <f t="shared" si="382"/>
        <v>0</v>
      </c>
      <c r="I1166" s="45">
        <f>Model!$B$21*EXP((-0.029*9.81*F1166)/(8.31*(273+J1166)))</f>
        <v>104500</v>
      </c>
      <c r="J1166" s="15">
        <f>IF(Model!$B$31="Summer",  IF(F1166&lt;=2000,  Model!$B$20-Model!$B$35*F1166/1000,  IF(F1166&lt;Model!$B$36,  Model!$B$33-6.5*F1166/1000,  Model!$B$38)),     IF(F1166&lt;=2000,  Model!$B$20-Model!$B$35*F1166/1000,  IF(F1166&lt;Model!$B$36,  Model!$B$33-5.4*F1166/1000,   Model!$B$38)))</f>
        <v>-20</v>
      </c>
      <c r="K1166" s="15">
        <f t="shared" si="377"/>
        <v>253</v>
      </c>
      <c r="L1166" s="45">
        <f>IF(AB1165-AA1165*(B1166-B1165)&gt;0, L1165-Y1165*(B1166-B1165)*3600-AD1166*Model!$B$16, 0)</f>
        <v>0</v>
      </c>
      <c r="M1166" s="56">
        <f t="shared" si="383"/>
        <v>0</v>
      </c>
      <c r="N1166" s="56">
        <f>Model!$B$13*I1166*K1166/(Model!$B$13*I1166-L1166*287*K1166)</f>
        <v>253</v>
      </c>
      <c r="O1166" s="56">
        <f t="shared" si="384"/>
        <v>253</v>
      </c>
      <c r="P1166" s="56">
        <f t="shared" si="385"/>
        <v>-10</v>
      </c>
      <c r="Q1166" s="62">
        <f t="shared" si="378"/>
        <v>2.2579999999999999E-2</v>
      </c>
      <c r="R1166" s="33">
        <f t="shared" si="379"/>
        <v>1.152E-5</v>
      </c>
      <c r="S1166" s="45">
        <f>0.37*Model!$B$10*(Q1166^2*(N1166-K1166)*I1166/(R1166*O1166^2))^0.33333*(N1166-K1166)</f>
        <v>0</v>
      </c>
      <c r="T1166" s="50">
        <f>Model!$B$32+(90-Model!$B$6)*SIN(RADIANS(-15*(E1166+6)))</f>
        <v>-31.619472402513487</v>
      </c>
      <c r="U1166" s="45">
        <f t="shared" si="386"/>
        <v>0</v>
      </c>
      <c r="V1166" s="50">
        <f t="shared" si="387"/>
        <v>99999</v>
      </c>
      <c r="W1166" s="45">
        <f t="shared" si="388"/>
        <v>0</v>
      </c>
      <c r="X1166" s="45">
        <f>0.3*W1166*Model!$B$9</f>
        <v>0</v>
      </c>
      <c r="Y1166" s="33">
        <f>(S1166-X1166)/Model!$B$11</f>
        <v>0</v>
      </c>
      <c r="Z1166" s="45" t="e">
        <f t="shared" si="389"/>
        <v>#DIV/0!</v>
      </c>
      <c r="AA1166" s="56">
        <f>Y1166/Model!$B$12*3600</f>
        <v>0</v>
      </c>
      <c r="AB1166" s="50">
        <f t="shared" si="394"/>
        <v>0</v>
      </c>
      <c r="AC1166" s="50">
        <f t="shared" si="380"/>
        <v>1800</v>
      </c>
      <c r="AD1166" s="15">
        <f>IF(AE1166=0, Model!$B$19, 0 )</f>
        <v>0</v>
      </c>
      <c r="AE1166" s="50">
        <f>IF(AE1165+AB1165-AB1166&lt;Model!$B$19*Model!$B$18, AE1165+AB1165-AB1166,  0)</f>
        <v>443.63457370611354</v>
      </c>
      <c r="AF1166" s="15">
        <f t="shared" si="390"/>
        <v>1</v>
      </c>
      <c r="AG1166" s="50">
        <f t="shared" si="391"/>
        <v>0</v>
      </c>
    </row>
    <row r="1167" spans="2:33" x14ac:dyDescent="0.25">
      <c r="B1167" s="13">
        <f t="shared" si="392"/>
        <v>1</v>
      </c>
      <c r="C1167" s="13">
        <f>B1167+Model!$B$4</f>
        <v>3</v>
      </c>
      <c r="D1167" s="13">
        <f t="shared" si="393"/>
        <v>1</v>
      </c>
      <c r="E1167" s="13">
        <f t="shared" si="381"/>
        <v>3</v>
      </c>
      <c r="F1167" s="14">
        <f>IF(AB1167&gt;0, VLOOKUP(B1167,Model!$A$40:$B$60, 2), 0)</f>
        <v>0</v>
      </c>
      <c r="G1167" s="13">
        <f>IF(AB1167&gt;0, VLOOKUP(B1167,Model!$A$39:$C$58, 3), 0)</f>
        <v>0</v>
      </c>
      <c r="H1167" s="13">
        <f t="shared" si="382"/>
        <v>0</v>
      </c>
      <c r="I1167" s="46">
        <f>Model!$B$21*EXP((-0.029*9.81*F1167)/(8.31*(273+J1167)))</f>
        <v>104500</v>
      </c>
      <c r="J1167" s="13">
        <f>IF(Model!$B$31="Summer",  IF(F1167&lt;=2000,  Model!$B$20-Model!$B$35*F1167/1000,  IF(F1167&lt;Model!$B$36,  Model!$B$33-6.5*F1167/1000,  Model!$B$38)),     IF(F1167&lt;=2000,  Model!$B$20-Model!$B$35*F1167/1000,  IF(F1167&lt;Model!$B$36,  Model!$B$33-5.4*F1167/1000,   Model!$B$38)))</f>
        <v>-20</v>
      </c>
      <c r="K1167" s="13">
        <f t="shared" si="377"/>
        <v>253</v>
      </c>
      <c r="L1167" s="46">
        <f>IF(AB1166-AA1166*(B1167-B1166)&gt;0, L1166-Y1166*(B1167-B1166)*3600-AD1167*Model!$B$16, 0)</f>
        <v>0</v>
      </c>
      <c r="M1167" s="57">
        <f t="shared" si="383"/>
        <v>0</v>
      </c>
      <c r="N1167" s="57">
        <f>Model!$B$13*I1167*K1167/(Model!$B$13*I1167-L1167*287*K1167)</f>
        <v>253</v>
      </c>
      <c r="O1167" s="57">
        <f t="shared" si="384"/>
        <v>253</v>
      </c>
      <c r="P1167" s="57">
        <f t="shared" si="385"/>
        <v>-10</v>
      </c>
      <c r="Q1167" s="63">
        <f t="shared" si="378"/>
        <v>2.2579999999999999E-2</v>
      </c>
      <c r="R1167" s="17">
        <f t="shared" si="379"/>
        <v>1.152E-5</v>
      </c>
      <c r="S1167" s="46">
        <f>0.37*Model!$B$10*(Q1167^2*(N1167-K1167)*I1167/(R1167*O1167^2))^0.33333*(N1167-K1167)</f>
        <v>0</v>
      </c>
      <c r="T1167" s="51">
        <f>Model!$B$32+(90-Model!$B$6)*SIN(RADIANS(-15*(E1167+6)))</f>
        <v>-31.619472402513487</v>
      </c>
      <c r="U1167" s="46">
        <f t="shared" si="386"/>
        <v>0</v>
      </c>
      <c r="V1167" s="51">
        <f t="shared" si="387"/>
        <v>99999</v>
      </c>
      <c r="W1167" s="46">
        <f t="shared" si="388"/>
        <v>0</v>
      </c>
      <c r="X1167" s="46">
        <f>0.3*W1167*Model!$B$9</f>
        <v>0</v>
      </c>
      <c r="Y1167" s="17">
        <f>(S1167-X1167)/Model!$B$11</f>
        <v>0</v>
      </c>
      <c r="Z1167" s="46" t="e">
        <f t="shared" si="389"/>
        <v>#DIV/0!</v>
      </c>
      <c r="AA1167" s="57">
        <f>Y1167/Model!$B$12*3600</f>
        <v>0</v>
      </c>
      <c r="AB1167" s="51">
        <f t="shared" si="394"/>
        <v>0</v>
      </c>
      <c r="AC1167" s="51">
        <f t="shared" si="380"/>
        <v>1800</v>
      </c>
      <c r="AD1167" s="13">
        <f>IF(AE1167=0, Model!$B$19, 0 )</f>
        <v>0</v>
      </c>
      <c r="AE1167" s="51">
        <f>IF(AE1166+AB1166-AB1167&lt;Model!$B$19*Model!$B$18, AE1166+AB1166-AB1167,  0)</f>
        <v>443.63457370611354</v>
      </c>
      <c r="AF1167" s="13">
        <f t="shared" si="390"/>
        <v>1</v>
      </c>
      <c r="AG1167" s="50">
        <f t="shared" si="391"/>
        <v>0</v>
      </c>
    </row>
    <row r="1168" spans="2:33" x14ac:dyDescent="0.25">
      <c r="B1168" s="15">
        <f t="shared" si="392"/>
        <v>1</v>
      </c>
      <c r="C1168" s="15">
        <f>B1168+Model!$B$4</f>
        <v>3</v>
      </c>
      <c r="D1168" s="15">
        <f t="shared" si="393"/>
        <v>1</v>
      </c>
      <c r="E1168" s="15">
        <f t="shared" si="381"/>
        <v>3</v>
      </c>
      <c r="F1168" s="16">
        <f>IF(AB1168&gt;0, VLOOKUP(B1168,Model!$A$40:$B$60, 2), 0)</f>
        <v>0</v>
      </c>
      <c r="G1168" s="15">
        <f>IF(AB1168&gt;0, VLOOKUP(B1168,Model!$A$39:$C$58, 3), 0)</f>
        <v>0</v>
      </c>
      <c r="H1168" s="15">
        <f t="shared" si="382"/>
        <v>0</v>
      </c>
      <c r="I1168" s="45">
        <f>Model!$B$21*EXP((-0.029*9.81*F1168)/(8.31*(273+J1168)))</f>
        <v>104500</v>
      </c>
      <c r="J1168" s="15">
        <f>IF(Model!$B$31="Summer",  IF(F1168&lt;=2000,  Model!$B$20-Model!$B$35*F1168/1000,  IF(F1168&lt;Model!$B$36,  Model!$B$33-6.5*F1168/1000,  Model!$B$38)),     IF(F1168&lt;=2000,  Model!$B$20-Model!$B$35*F1168/1000,  IF(F1168&lt;Model!$B$36,  Model!$B$33-5.4*F1168/1000,   Model!$B$38)))</f>
        <v>-20</v>
      </c>
      <c r="K1168" s="15">
        <f t="shared" si="377"/>
        <v>253</v>
      </c>
      <c r="L1168" s="45">
        <f>IF(AB1167-AA1167*(B1168-B1167)&gt;0, L1167-Y1167*(B1168-B1167)*3600-AD1168*Model!$B$16, 0)</f>
        <v>0</v>
      </c>
      <c r="M1168" s="56">
        <f t="shared" si="383"/>
        <v>0</v>
      </c>
      <c r="N1168" s="56">
        <f>Model!$B$13*I1168*K1168/(Model!$B$13*I1168-L1168*287*K1168)</f>
        <v>253</v>
      </c>
      <c r="O1168" s="56">
        <f t="shared" si="384"/>
        <v>253</v>
      </c>
      <c r="P1168" s="56">
        <f t="shared" si="385"/>
        <v>-10</v>
      </c>
      <c r="Q1168" s="62">
        <f t="shared" si="378"/>
        <v>2.2579999999999999E-2</v>
      </c>
      <c r="R1168" s="33">
        <f t="shared" si="379"/>
        <v>1.152E-5</v>
      </c>
      <c r="S1168" s="45">
        <f>0.37*Model!$B$10*(Q1168^2*(N1168-K1168)*I1168/(R1168*O1168^2))^0.33333*(N1168-K1168)</f>
        <v>0</v>
      </c>
      <c r="T1168" s="50">
        <f>Model!$B$32+(90-Model!$B$6)*SIN(RADIANS(-15*(E1168+6)))</f>
        <v>-31.619472402513487</v>
      </c>
      <c r="U1168" s="45">
        <f t="shared" si="386"/>
        <v>0</v>
      </c>
      <c r="V1168" s="50">
        <f t="shared" si="387"/>
        <v>99999</v>
      </c>
      <c r="W1168" s="45">
        <f t="shared" si="388"/>
        <v>0</v>
      </c>
      <c r="X1168" s="45">
        <f>0.3*W1168*Model!$B$9</f>
        <v>0</v>
      </c>
      <c r="Y1168" s="33">
        <f>(S1168-X1168)/Model!$B$11</f>
        <v>0</v>
      </c>
      <c r="Z1168" s="45" t="e">
        <f t="shared" si="389"/>
        <v>#DIV/0!</v>
      </c>
      <c r="AA1168" s="56">
        <f>Y1168/Model!$B$12*3600</f>
        <v>0</v>
      </c>
      <c r="AB1168" s="50">
        <f t="shared" si="394"/>
        <v>0</v>
      </c>
      <c r="AC1168" s="50">
        <f t="shared" si="380"/>
        <v>1800</v>
      </c>
      <c r="AD1168" s="15">
        <f>IF(AE1168=0, Model!$B$19, 0 )</f>
        <v>0</v>
      </c>
      <c r="AE1168" s="50">
        <f>IF(AE1167+AB1167-AB1168&lt;Model!$B$19*Model!$B$18, AE1167+AB1167-AB1168,  0)</f>
        <v>443.63457370611354</v>
      </c>
      <c r="AF1168" s="15">
        <f t="shared" si="390"/>
        <v>1</v>
      </c>
      <c r="AG1168" s="50">
        <f t="shared" si="391"/>
        <v>0</v>
      </c>
    </row>
    <row r="1169" spans="2:33" x14ac:dyDescent="0.25">
      <c r="B1169" s="13">
        <f t="shared" si="392"/>
        <v>1</v>
      </c>
      <c r="C1169" s="13">
        <f>B1169+Model!$B$4</f>
        <v>3</v>
      </c>
      <c r="D1169" s="13">
        <f t="shared" si="393"/>
        <v>1</v>
      </c>
      <c r="E1169" s="13">
        <f t="shared" si="381"/>
        <v>3</v>
      </c>
      <c r="F1169" s="14">
        <f>IF(AB1169&gt;0, VLOOKUP(B1169,Model!$A$40:$B$60, 2), 0)</f>
        <v>0</v>
      </c>
      <c r="G1169" s="13">
        <f>IF(AB1169&gt;0, VLOOKUP(B1169,Model!$A$39:$C$58, 3), 0)</f>
        <v>0</v>
      </c>
      <c r="H1169" s="13">
        <f t="shared" si="382"/>
        <v>0</v>
      </c>
      <c r="I1169" s="46">
        <f>Model!$B$21*EXP((-0.029*9.81*F1169)/(8.31*(273+J1169)))</f>
        <v>104500</v>
      </c>
      <c r="J1169" s="13">
        <f>IF(Model!$B$31="Summer",  IF(F1169&lt;=2000,  Model!$B$20-Model!$B$35*F1169/1000,  IF(F1169&lt;Model!$B$36,  Model!$B$33-6.5*F1169/1000,  Model!$B$38)),     IF(F1169&lt;=2000,  Model!$B$20-Model!$B$35*F1169/1000,  IF(F1169&lt;Model!$B$36,  Model!$B$33-5.4*F1169/1000,   Model!$B$38)))</f>
        <v>-20</v>
      </c>
      <c r="K1169" s="13">
        <f t="shared" ref="K1169:K1204" si="395">273+J1169</f>
        <v>253</v>
      </c>
      <c r="L1169" s="46">
        <f>IF(AB1168-AA1168*(B1169-B1168)&gt;0, L1168-Y1168*(B1169-B1168)*3600-AD1169*Model!$B$16, 0)</f>
        <v>0</v>
      </c>
      <c r="M1169" s="57">
        <f t="shared" si="383"/>
        <v>0</v>
      </c>
      <c r="N1169" s="57">
        <f>Model!$B$13*I1169*K1169/(Model!$B$13*I1169-L1169*287*K1169)</f>
        <v>253</v>
      </c>
      <c r="O1169" s="57">
        <f t="shared" si="384"/>
        <v>253</v>
      </c>
      <c r="P1169" s="57">
        <f t="shared" si="385"/>
        <v>-10</v>
      </c>
      <c r="Q1169" s="63">
        <f t="shared" ref="Q1169:Q1204" si="396">(O1169-273)*7.1*0.00001+0.024</f>
        <v>2.2579999999999999E-2</v>
      </c>
      <c r="R1169" s="17">
        <f t="shared" ref="R1169:R1204" si="397">((O1169-273)*0.104+13.6)*0.000001</f>
        <v>1.152E-5</v>
      </c>
      <c r="S1169" s="46">
        <f>0.37*Model!$B$10*(Q1169^2*(N1169-K1169)*I1169/(R1169*O1169^2))^0.33333*(N1169-K1169)</f>
        <v>0</v>
      </c>
      <c r="T1169" s="51">
        <f>Model!$B$32+(90-Model!$B$6)*SIN(RADIANS(-15*(E1169+6)))</f>
        <v>-31.619472402513487</v>
      </c>
      <c r="U1169" s="46">
        <f t="shared" si="386"/>
        <v>0</v>
      </c>
      <c r="V1169" s="51">
        <f t="shared" si="387"/>
        <v>99999</v>
      </c>
      <c r="W1169" s="46">
        <f t="shared" si="388"/>
        <v>0</v>
      </c>
      <c r="X1169" s="46">
        <f>0.3*W1169*Model!$B$9</f>
        <v>0</v>
      </c>
      <c r="Y1169" s="17">
        <f>(S1169-X1169)/Model!$B$11</f>
        <v>0</v>
      </c>
      <c r="Z1169" s="46" t="e">
        <f t="shared" si="389"/>
        <v>#DIV/0!</v>
      </c>
      <c r="AA1169" s="57">
        <f>Y1169/Model!$B$12*3600</f>
        <v>0</v>
      </c>
      <c r="AB1169" s="51">
        <f t="shared" si="394"/>
        <v>0</v>
      </c>
      <c r="AC1169" s="51">
        <f t="shared" ref="AC1169:AC1204" si="398">AC1168+AB1168-AB1169</f>
        <v>1800</v>
      </c>
      <c r="AD1169" s="13">
        <f>IF(AE1169=0, Model!$B$19, 0 )</f>
        <v>0</v>
      </c>
      <c r="AE1169" s="51">
        <f>IF(AE1168+AB1168-AB1169&lt;Model!$B$19*Model!$B$18, AE1168+AB1168-AB1169,  0)</f>
        <v>443.63457370611354</v>
      </c>
      <c r="AF1169" s="13">
        <f t="shared" si="390"/>
        <v>1</v>
      </c>
      <c r="AG1169" s="50">
        <f t="shared" si="391"/>
        <v>0</v>
      </c>
    </row>
    <row r="1170" spans="2:33" x14ac:dyDescent="0.25">
      <c r="B1170" s="15">
        <f t="shared" si="392"/>
        <v>1</v>
      </c>
      <c r="C1170" s="15">
        <f>B1170+Model!$B$4</f>
        <v>3</v>
      </c>
      <c r="D1170" s="15">
        <f t="shared" si="393"/>
        <v>1</v>
      </c>
      <c r="E1170" s="15">
        <f t="shared" si="381"/>
        <v>3</v>
      </c>
      <c r="F1170" s="16">
        <f>IF(AB1170&gt;0, VLOOKUP(B1170,Model!$A$40:$B$60, 2), 0)</f>
        <v>0</v>
      </c>
      <c r="G1170" s="15">
        <f>IF(AB1170&gt;0, VLOOKUP(B1170,Model!$A$39:$C$58, 3), 0)</f>
        <v>0</v>
      </c>
      <c r="H1170" s="15">
        <f t="shared" si="382"/>
        <v>0</v>
      </c>
      <c r="I1170" s="45">
        <f>Model!$B$21*EXP((-0.029*9.81*F1170)/(8.31*(273+J1170)))</f>
        <v>104500</v>
      </c>
      <c r="J1170" s="15">
        <f>IF(Model!$B$31="Summer",  IF(F1170&lt;=2000,  Model!$B$20-Model!$B$35*F1170/1000,  IF(F1170&lt;Model!$B$36,  Model!$B$33-6.5*F1170/1000,  Model!$B$38)),     IF(F1170&lt;=2000,  Model!$B$20-Model!$B$35*F1170/1000,  IF(F1170&lt;Model!$B$36,  Model!$B$33-5.4*F1170/1000,   Model!$B$38)))</f>
        <v>-20</v>
      </c>
      <c r="K1170" s="15">
        <f t="shared" si="395"/>
        <v>253</v>
      </c>
      <c r="L1170" s="45">
        <f>IF(AB1169-AA1169*(B1170-B1169)&gt;0, L1169-Y1169*(B1170-B1169)*3600-AD1170*Model!$B$16, 0)</f>
        <v>0</v>
      </c>
      <c r="M1170" s="56">
        <f t="shared" si="383"/>
        <v>0</v>
      </c>
      <c r="N1170" s="56">
        <f>Model!$B$13*I1170*K1170/(Model!$B$13*I1170-L1170*287*K1170)</f>
        <v>253</v>
      </c>
      <c r="O1170" s="56">
        <f t="shared" si="384"/>
        <v>253</v>
      </c>
      <c r="P1170" s="56">
        <f t="shared" si="385"/>
        <v>-10</v>
      </c>
      <c r="Q1170" s="62">
        <f t="shared" si="396"/>
        <v>2.2579999999999999E-2</v>
      </c>
      <c r="R1170" s="33">
        <f t="shared" si="397"/>
        <v>1.152E-5</v>
      </c>
      <c r="S1170" s="45">
        <f>0.37*Model!$B$10*(Q1170^2*(N1170-K1170)*I1170/(R1170*O1170^2))^0.33333*(N1170-K1170)</f>
        <v>0</v>
      </c>
      <c r="T1170" s="50">
        <f>Model!$B$32+(90-Model!$B$6)*SIN(RADIANS(-15*(E1170+6)))</f>
        <v>-31.619472402513487</v>
      </c>
      <c r="U1170" s="45">
        <f t="shared" si="386"/>
        <v>0</v>
      </c>
      <c r="V1170" s="50">
        <f t="shared" si="387"/>
        <v>99999</v>
      </c>
      <c r="W1170" s="45">
        <f t="shared" si="388"/>
        <v>0</v>
      </c>
      <c r="X1170" s="45">
        <f>0.3*W1170*Model!$B$9</f>
        <v>0</v>
      </c>
      <c r="Y1170" s="33">
        <f>(S1170-X1170)/Model!$B$11</f>
        <v>0</v>
      </c>
      <c r="Z1170" s="45" t="e">
        <f t="shared" si="389"/>
        <v>#DIV/0!</v>
      </c>
      <c r="AA1170" s="56">
        <f>Y1170/Model!$B$12*3600</f>
        <v>0</v>
      </c>
      <c r="AB1170" s="50">
        <f t="shared" si="394"/>
        <v>0</v>
      </c>
      <c r="AC1170" s="50">
        <f t="shared" si="398"/>
        <v>1800</v>
      </c>
      <c r="AD1170" s="15">
        <f>IF(AE1170=0, Model!$B$19, 0 )</f>
        <v>0</v>
      </c>
      <c r="AE1170" s="50">
        <f>IF(AE1169+AB1169-AB1170&lt;Model!$B$19*Model!$B$18, AE1169+AB1169-AB1170,  0)</f>
        <v>443.63457370611354</v>
      </c>
      <c r="AF1170" s="15">
        <f t="shared" si="390"/>
        <v>1</v>
      </c>
      <c r="AG1170" s="50">
        <f t="shared" si="391"/>
        <v>0</v>
      </c>
    </row>
    <row r="1171" spans="2:33" x14ac:dyDescent="0.25">
      <c r="B1171" s="13">
        <f t="shared" si="392"/>
        <v>1</v>
      </c>
      <c r="C1171" s="13">
        <f>B1171+Model!$B$4</f>
        <v>3</v>
      </c>
      <c r="D1171" s="13">
        <f t="shared" si="393"/>
        <v>1</v>
      </c>
      <c r="E1171" s="13">
        <f t="shared" si="381"/>
        <v>3</v>
      </c>
      <c r="F1171" s="14">
        <f>IF(AB1171&gt;0, VLOOKUP(B1171,Model!$A$40:$B$60, 2), 0)</f>
        <v>0</v>
      </c>
      <c r="G1171" s="13">
        <f>IF(AB1171&gt;0, VLOOKUP(B1171,Model!$A$39:$C$58, 3), 0)</f>
        <v>0</v>
      </c>
      <c r="H1171" s="13">
        <f t="shared" si="382"/>
        <v>0</v>
      </c>
      <c r="I1171" s="46">
        <f>Model!$B$21*EXP((-0.029*9.81*F1171)/(8.31*(273+J1171)))</f>
        <v>104500</v>
      </c>
      <c r="J1171" s="13">
        <f>IF(Model!$B$31="Summer",  IF(F1171&lt;=2000,  Model!$B$20-Model!$B$35*F1171/1000,  IF(F1171&lt;Model!$B$36,  Model!$B$33-6.5*F1171/1000,  Model!$B$38)),     IF(F1171&lt;=2000,  Model!$B$20-Model!$B$35*F1171/1000,  IF(F1171&lt;Model!$B$36,  Model!$B$33-5.4*F1171/1000,   Model!$B$38)))</f>
        <v>-20</v>
      </c>
      <c r="K1171" s="13">
        <f t="shared" si="395"/>
        <v>253</v>
      </c>
      <c r="L1171" s="46">
        <f>IF(AB1170-AA1170*(B1171-B1170)&gt;0, L1170-Y1170*(B1171-B1170)*3600-AD1171*Model!$B$16, 0)</f>
        <v>0</v>
      </c>
      <c r="M1171" s="57">
        <f t="shared" si="383"/>
        <v>0</v>
      </c>
      <c r="N1171" s="57">
        <f>Model!$B$13*I1171*K1171/(Model!$B$13*I1171-L1171*287*K1171)</f>
        <v>253</v>
      </c>
      <c r="O1171" s="57">
        <f t="shared" si="384"/>
        <v>253</v>
      </c>
      <c r="P1171" s="57">
        <f t="shared" si="385"/>
        <v>-10</v>
      </c>
      <c r="Q1171" s="63">
        <f t="shared" si="396"/>
        <v>2.2579999999999999E-2</v>
      </c>
      <c r="R1171" s="17">
        <f t="shared" si="397"/>
        <v>1.152E-5</v>
      </c>
      <c r="S1171" s="46">
        <f>0.37*Model!$B$10*(Q1171^2*(N1171-K1171)*I1171/(R1171*O1171^2))^0.33333*(N1171-K1171)</f>
        <v>0</v>
      </c>
      <c r="T1171" s="51">
        <f>Model!$B$32+(90-Model!$B$6)*SIN(RADIANS(-15*(E1171+6)))</f>
        <v>-31.619472402513487</v>
      </c>
      <c r="U1171" s="46">
        <f t="shared" si="386"/>
        <v>0</v>
      </c>
      <c r="V1171" s="51">
        <f t="shared" si="387"/>
        <v>99999</v>
      </c>
      <c r="W1171" s="46">
        <f t="shared" si="388"/>
        <v>0</v>
      </c>
      <c r="X1171" s="46">
        <f>0.3*W1171*Model!$B$9</f>
        <v>0</v>
      </c>
      <c r="Y1171" s="17">
        <f>(S1171-X1171)/Model!$B$11</f>
        <v>0</v>
      </c>
      <c r="Z1171" s="46" t="e">
        <f t="shared" si="389"/>
        <v>#DIV/0!</v>
      </c>
      <c r="AA1171" s="57">
        <f>Y1171/Model!$B$12*3600</f>
        <v>0</v>
      </c>
      <c r="AB1171" s="51">
        <f t="shared" si="394"/>
        <v>0</v>
      </c>
      <c r="AC1171" s="51">
        <f t="shared" si="398"/>
        <v>1800</v>
      </c>
      <c r="AD1171" s="13">
        <f>IF(AE1171=0, Model!$B$19, 0 )</f>
        <v>0</v>
      </c>
      <c r="AE1171" s="51">
        <f>IF(AE1170+AB1170-AB1171&lt;Model!$B$19*Model!$B$18, AE1170+AB1170-AB1171,  0)</f>
        <v>443.63457370611354</v>
      </c>
      <c r="AF1171" s="13">
        <f t="shared" si="390"/>
        <v>1</v>
      </c>
      <c r="AG1171" s="50">
        <f t="shared" si="391"/>
        <v>0</v>
      </c>
    </row>
    <row r="1172" spans="2:33" x14ac:dyDescent="0.25">
      <c r="B1172" s="15">
        <f t="shared" si="392"/>
        <v>1</v>
      </c>
      <c r="C1172" s="15">
        <f>B1172+Model!$B$4</f>
        <v>3</v>
      </c>
      <c r="D1172" s="15">
        <f t="shared" si="393"/>
        <v>1</v>
      </c>
      <c r="E1172" s="15">
        <f t="shared" si="381"/>
        <v>3</v>
      </c>
      <c r="F1172" s="16">
        <f>IF(AB1172&gt;0, VLOOKUP(B1172,Model!$A$40:$B$60, 2), 0)</f>
        <v>0</v>
      </c>
      <c r="G1172" s="15">
        <f>IF(AB1172&gt;0, VLOOKUP(B1172,Model!$A$39:$C$58, 3), 0)</f>
        <v>0</v>
      </c>
      <c r="H1172" s="15">
        <f t="shared" si="382"/>
        <v>0</v>
      </c>
      <c r="I1172" s="45">
        <f>Model!$B$21*EXP((-0.029*9.81*F1172)/(8.31*(273+J1172)))</f>
        <v>104500</v>
      </c>
      <c r="J1172" s="15">
        <f>IF(Model!$B$31="Summer",  IF(F1172&lt;=2000,  Model!$B$20-Model!$B$35*F1172/1000,  IF(F1172&lt;Model!$B$36,  Model!$B$33-6.5*F1172/1000,  Model!$B$38)),     IF(F1172&lt;=2000,  Model!$B$20-Model!$B$35*F1172/1000,  IF(F1172&lt;Model!$B$36,  Model!$B$33-5.4*F1172/1000,   Model!$B$38)))</f>
        <v>-20</v>
      </c>
      <c r="K1172" s="15">
        <f t="shared" si="395"/>
        <v>253</v>
      </c>
      <c r="L1172" s="45">
        <f>IF(AB1171-AA1171*(B1172-B1171)&gt;0, L1171-Y1171*(B1172-B1171)*3600-AD1172*Model!$B$16, 0)</f>
        <v>0</v>
      </c>
      <c r="M1172" s="56">
        <f t="shared" si="383"/>
        <v>0</v>
      </c>
      <c r="N1172" s="56">
        <f>Model!$B$13*I1172*K1172/(Model!$B$13*I1172-L1172*287*K1172)</f>
        <v>253</v>
      </c>
      <c r="O1172" s="56">
        <f t="shared" si="384"/>
        <v>253</v>
      </c>
      <c r="P1172" s="56">
        <f t="shared" si="385"/>
        <v>-10</v>
      </c>
      <c r="Q1172" s="62">
        <f t="shared" si="396"/>
        <v>2.2579999999999999E-2</v>
      </c>
      <c r="R1172" s="33">
        <f t="shared" si="397"/>
        <v>1.152E-5</v>
      </c>
      <c r="S1172" s="45">
        <f>0.37*Model!$B$10*(Q1172^2*(N1172-K1172)*I1172/(R1172*O1172^2))^0.33333*(N1172-K1172)</f>
        <v>0</v>
      </c>
      <c r="T1172" s="50">
        <f>Model!$B$32+(90-Model!$B$6)*SIN(RADIANS(-15*(E1172+6)))</f>
        <v>-31.619472402513487</v>
      </c>
      <c r="U1172" s="45">
        <f t="shared" si="386"/>
        <v>0</v>
      </c>
      <c r="V1172" s="50">
        <f t="shared" si="387"/>
        <v>99999</v>
      </c>
      <c r="W1172" s="45">
        <f t="shared" si="388"/>
        <v>0</v>
      </c>
      <c r="X1172" s="45">
        <f>0.3*W1172*Model!$B$9</f>
        <v>0</v>
      </c>
      <c r="Y1172" s="33">
        <f>(S1172-X1172)/Model!$B$11</f>
        <v>0</v>
      </c>
      <c r="Z1172" s="45" t="e">
        <f t="shared" si="389"/>
        <v>#DIV/0!</v>
      </c>
      <c r="AA1172" s="56">
        <f>Y1172/Model!$B$12*3600</f>
        <v>0</v>
      </c>
      <c r="AB1172" s="50">
        <f t="shared" si="394"/>
        <v>0</v>
      </c>
      <c r="AC1172" s="50">
        <f t="shared" si="398"/>
        <v>1800</v>
      </c>
      <c r="AD1172" s="15">
        <f>IF(AE1172=0, Model!$B$19, 0 )</f>
        <v>0</v>
      </c>
      <c r="AE1172" s="50">
        <f>IF(AE1171+AB1171-AB1172&lt;Model!$B$19*Model!$B$18, AE1171+AB1171-AB1172,  0)</f>
        <v>443.63457370611354</v>
      </c>
      <c r="AF1172" s="15">
        <f t="shared" si="390"/>
        <v>1</v>
      </c>
      <c r="AG1172" s="50">
        <f t="shared" si="391"/>
        <v>0</v>
      </c>
    </row>
    <row r="1173" spans="2:33" x14ac:dyDescent="0.25">
      <c r="B1173" s="13">
        <f t="shared" si="392"/>
        <v>1</v>
      </c>
      <c r="C1173" s="13">
        <f>B1173+Model!$B$4</f>
        <v>3</v>
      </c>
      <c r="D1173" s="13">
        <f t="shared" si="393"/>
        <v>1</v>
      </c>
      <c r="E1173" s="13">
        <f t="shared" si="381"/>
        <v>3</v>
      </c>
      <c r="F1173" s="14">
        <f>IF(AB1173&gt;0, VLOOKUP(B1173,Model!$A$40:$B$60, 2), 0)</f>
        <v>0</v>
      </c>
      <c r="G1173" s="13">
        <f>IF(AB1173&gt;0, VLOOKUP(B1173,Model!$A$39:$C$58, 3), 0)</f>
        <v>0</v>
      </c>
      <c r="H1173" s="13">
        <f t="shared" si="382"/>
        <v>0</v>
      </c>
      <c r="I1173" s="46">
        <f>Model!$B$21*EXP((-0.029*9.81*F1173)/(8.31*(273+J1173)))</f>
        <v>104500</v>
      </c>
      <c r="J1173" s="13">
        <f>IF(Model!$B$31="Summer",  IF(F1173&lt;=2000,  Model!$B$20-Model!$B$35*F1173/1000,  IF(F1173&lt;Model!$B$36,  Model!$B$33-6.5*F1173/1000,  Model!$B$38)),     IF(F1173&lt;=2000,  Model!$B$20-Model!$B$35*F1173/1000,  IF(F1173&lt;Model!$B$36,  Model!$B$33-5.4*F1173/1000,   Model!$B$38)))</f>
        <v>-20</v>
      </c>
      <c r="K1173" s="13">
        <f t="shared" si="395"/>
        <v>253</v>
      </c>
      <c r="L1173" s="46">
        <f>IF(AB1172-AA1172*(B1173-B1172)&gt;0, L1172-Y1172*(B1173-B1172)*3600-AD1173*Model!$B$16, 0)</f>
        <v>0</v>
      </c>
      <c r="M1173" s="57">
        <f t="shared" si="383"/>
        <v>0</v>
      </c>
      <c r="N1173" s="57">
        <f>Model!$B$13*I1173*K1173/(Model!$B$13*I1173-L1173*287*K1173)</f>
        <v>253</v>
      </c>
      <c r="O1173" s="57">
        <f t="shared" si="384"/>
        <v>253</v>
      </c>
      <c r="P1173" s="57">
        <f t="shared" si="385"/>
        <v>-10</v>
      </c>
      <c r="Q1173" s="63">
        <f t="shared" si="396"/>
        <v>2.2579999999999999E-2</v>
      </c>
      <c r="R1173" s="17">
        <f t="shared" si="397"/>
        <v>1.152E-5</v>
      </c>
      <c r="S1173" s="46">
        <f>0.37*Model!$B$10*(Q1173^2*(N1173-K1173)*I1173/(R1173*O1173^2))^0.33333*(N1173-K1173)</f>
        <v>0</v>
      </c>
      <c r="T1173" s="51">
        <f>Model!$B$32+(90-Model!$B$6)*SIN(RADIANS(-15*(E1173+6)))</f>
        <v>-31.619472402513487</v>
      </c>
      <c r="U1173" s="46">
        <f t="shared" si="386"/>
        <v>0</v>
      </c>
      <c r="V1173" s="51">
        <f t="shared" si="387"/>
        <v>99999</v>
      </c>
      <c r="W1173" s="46">
        <f t="shared" si="388"/>
        <v>0</v>
      </c>
      <c r="X1173" s="46">
        <f>0.3*W1173*Model!$B$9</f>
        <v>0</v>
      </c>
      <c r="Y1173" s="17">
        <f>(S1173-X1173)/Model!$B$11</f>
        <v>0</v>
      </c>
      <c r="Z1173" s="46" t="e">
        <f t="shared" si="389"/>
        <v>#DIV/0!</v>
      </c>
      <c r="AA1173" s="57">
        <f>Y1173/Model!$B$12*3600</f>
        <v>0</v>
      </c>
      <c r="AB1173" s="51">
        <f t="shared" si="394"/>
        <v>0</v>
      </c>
      <c r="AC1173" s="51">
        <f t="shared" si="398"/>
        <v>1800</v>
      </c>
      <c r="AD1173" s="13">
        <f>IF(AE1173=0, Model!$B$19, 0 )</f>
        <v>0</v>
      </c>
      <c r="AE1173" s="51">
        <f>IF(AE1172+AB1172-AB1173&lt;Model!$B$19*Model!$B$18, AE1172+AB1172-AB1173,  0)</f>
        <v>443.63457370611354</v>
      </c>
      <c r="AF1173" s="13">
        <f t="shared" si="390"/>
        <v>1</v>
      </c>
      <c r="AG1173" s="50">
        <f t="shared" si="391"/>
        <v>0</v>
      </c>
    </row>
    <row r="1174" spans="2:33" x14ac:dyDescent="0.25">
      <c r="B1174" s="15">
        <f t="shared" si="392"/>
        <v>1</v>
      </c>
      <c r="C1174" s="15">
        <f>B1174+Model!$B$4</f>
        <v>3</v>
      </c>
      <c r="D1174" s="15">
        <f t="shared" si="393"/>
        <v>1</v>
      </c>
      <c r="E1174" s="15">
        <f t="shared" si="381"/>
        <v>3</v>
      </c>
      <c r="F1174" s="16">
        <f>IF(AB1174&gt;0, VLOOKUP(B1174,Model!$A$40:$B$60, 2), 0)</f>
        <v>0</v>
      </c>
      <c r="G1174" s="15">
        <f>IF(AB1174&gt;0, VLOOKUP(B1174,Model!$A$39:$C$58, 3), 0)</f>
        <v>0</v>
      </c>
      <c r="H1174" s="15">
        <f t="shared" si="382"/>
        <v>0</v>
      </c>
      <c r="I1174" s="45">
        <f>Model!$B$21*EXP((-0.029*9.81*F1174)/(8.31*(273+J1174)))</f>
        <v>104500</v>
      </c>
      <c r="J1174" s="15">
        <f>IF(Model!$B$31="Summer",  IF(F1174&lt;=2000,  Model!$B$20-Model!$B$35*F1174/1000,  IF(F1174&lt;Model!$B$36,  Model!$B$33-6.5*F1174/1000,  Model!$B$38)),     IF(F1174&lt;=2000,  Model!$B$20-Model!$B$35*F1174/1000,  IF(F1174&lt;Model!$B$36,  Model!$B$33-5.4*F1174/1000,   Model!$B$38)))</f>
        <v>-20</v>
      </c>
      <c r="K1174" s="15">
        <f t="shared" si="395"/>
        <v>253</v>
      </c>
      <c r="L1174" s="45">
        <f>IF(AB1173-AA1173*(B1174-B1173)&gt;0, L1173-Y1173*(B1174-B1173)*3600-AD1174*Model!$B$16, 0)</f>
        <v>0</v>
      </c>
      <c r="M1174" s="56">
        <f t="shared" si="383"/>
        <v>0</v>
      </c>
      <c r="N1174" s="56">
        <f>Model!$B$13*I1174*K1174/(Model!$B$13*I1174-L1174*287*K1174)</f>
        <v>253</v>
      </c>
      <c r="O1174" s="56">
        <f t="shared" si="384"/>
        <v>253</v>
      </c>
      <c r="P1174" s="56">
        <f t="shared" si="385"/>
        <v>-10</v>
      </c>
      <c r="Q1174" s="62">
        <f t="shared" si="396"/>
        <v>2.2579999999999999E-2</v>
      </c>
      <c r="R1174" s="33">
        <f t="shared" si="397"/>
        <v>1.152E-5</v>
      </c>
      <c r="S1174" s="45">
        <f>0.37*Model!$B$10*(Q1174^2*(N1174-K1174)*I1174/(R1174*O1174^2))^0.33333*(N1174-K1174)</f>
        <v>0</v>
      </c>
      <c r="T1174" s="50">
        <f>Model!$B$32+(90-Model!$B$6)*SIN(RADIANS(-15*(E1174+6)))</f>
        <v>-31.619472402513487</v>
      </c>
      <c r="U1174" s="45">
        <f t="shared" si="386"/>
        <v>0</v>
      </c>
      <c r="V1174" s="50">
        <f t="shared" si="387"/>
        <v>99999</v>
      </c>
      <c r="W1174" s="45">
        <f t="shared" si="388"/>
        <v>0</v>
      </c>
      <c r="X1174" s="45">
        <f>0.3*W1174*Model!$B$9</f>
        <v>0</v>
      </c>
      <c r="Y1174" s="33">
        <f>(S1174-X1174)/Model!$B$11</f>
        <v>0</v>
      </c>
      <c r="Z1174" s="45" t="e">
        <f t="shared" si="389"/>
        <v>#DIV/0!</v>
      </c>
      <c r="AA1174" s="56">
        <f>Y1174/Model!$B$12*3600</f>
        <v>0</v>
      </c>
      <c r="AB1174" s="50">
        <f t="shared" si="394"/>
        <v>0</v>
      </c>
      <c r="AC1174" s="50">
        <f t="shared" si="398"/>
        <v>1800</v>
      </c>
      <c r="AD1174" s="15">
        <f>IF(AE1174=0, Model!$B$19, 0 )</f>
        <v>0</v>
      </c>
      <c r="AE1174" s="50">
        <f>IF(AE1173+AB1173-AB1174&lt;Model!$B$19*Model!$B$18, AE1173+AB1173-AB1174,  0)</f>
        <v>443.63457370611354</v>
      </c>
      <c r="AF1174" s="15">
        <f t="shared" si="390"/>
        <v>1</v>
      </c>
      <c r="AG1174" s="50">
        <f t="shared" si="391"/>
        <v>0</v>
      </c>
    </row>
    <row r="1175" spans="2:33" x14ac:dyDescent="0.25">
      <c r="B1175" s="13">
        <f t="shared" si="392"/>
        <v>1</v>
      </c>
      <c r="C1175" s="13">
        <f>B1175+Model!$B$4</f>
        <v>3</v>
      </c>
      <c r="D1175" s="13">
        <f t="shared" si="393"/>
        <v>1</v>
      </c>
      <c r="E1175" s="13">
        <f t="shared" si="381"/>
        <v>3</v>
      </c>
      <c r="F1175" s="14">
        <f>IF(AB1175&gt;0, VLOOKUP(B1175,Model!$A$40:$B$60, 2), 0)</f>
        <v>0</v>
      </c>
      <c r="G1175" s="13">
        <f>IF(AB1175&gt;0, VLOOKUP(B1175,Model!$A$39:$C$58, 3), 0)</f>
        <v>0</v>
      </c>
      <c r="H1175" s="13">
        <f t="shared" si="382"/>
        <v>0</v>
      </c>
      <c r="I1175" s="46">
        <f>Model!$B$21*EXP((-0.029*9.81*F1175)/(8.31*(273+J1175)))</f>
        <v>104500</v>
      </c>
      <c r="J1175" s="13">
        <f>IF(Model!$B$31="Summer",  IF(F1175&lt;=2000,  Model!$B$20-Model!$B$35*F1175/1000,  IF(F1175&lt;Model!$B$36,  Model!$B$33-6.5*F1175/1000,  Model!$B$38)),     IF(F1175&lt;=2000,  Model!$B$20-Model!$B$35*F1175/1000,  IF(F1175&lt;Model!$B$36,  Model!$B$33-5.4*F1175/1000,   Model!$B$38)))</f>
        <v>-20</v>
      </c>
      <c r="K1175" s="13">
        <f t="shared" si="395"/>
        <v>253</v>
      </c>
      <c r="L1175" s="46">
        <f>IF(AB1174-AA1174*(B1175-B1174)&gt;0, L1174-Y1174*(B1175-B1174)*3600-AD1175*Model!$B$16, 0)</f>
        <v>0</v>
      </c>
      <c r="M1175" s="57">
        <f t="shared" si="383"/>
        <v>0</v>
      </c>
      <c r="N1175" s="57">
        <f>Model!$B$13*I1175*K1175/(Model!$B$13*I1175-L1175*287*K1175)</f>
        <v>253</v>
      </c>
      <c r="O1175" s="57">
        <f t="shared" si="384"/>
        <v>253</v>
      </c>
      <c r="P1175" s="57">
        <f t="shared" si="385"/>
        <v>-10</v>
      </c>
      <c r="Q1175" s="63">
        <f t="shared" si="396"/>
        <v>2.2579999999999999E-2</v>
      </c>
      <c r="R1175" s="17">
        <f t="shared" si="397"/>
        <v>1.152E-5</v>
      </c>
      <c r="S1175" s="46">
        <f>0.37*Model!$B$10*(Q1175^2*(N1175-K1175)*I1175/(R1175*O1175^2))^0.33333*(N1175-K1175)</f>
        <v>0</v>
      </c>
      <c r="T1175" s="51">
        <f>Model!$B$32+(90-Model!$B$6)*SIN(RADIANS(-15*(E1175+6)))</f>
        <v>-31.619472402513487</v>
      </c>
      <c r="U1175" s="46">
        <f t="shared" si="386"/>
        <v>0</v>
      </c>
      <c r="V1175" s="51">
        <f t="shared" si="387"/>
        <v>99999</v>
      </c>
      <c r="W1175" s="46">
        <f t="shared" si="388"/>
        <v>0</v>
      </c>
      <c r="X1175" s="46">
        <f>0.3*W1175*Model!$B$9</f>
        <v>0</v>
      </c>
      <c r="Y1175" s="17">
        <f>(S1175-X1175)/Model!$B$11</f>
        <v>0</v>
      </c>
      <c r="Z1175" s="46" t="e">
        <f t="shared" si="389"/>
        <v>#DIV/0!</v>
      </c>
      <c r="AA1175" s="57">
        <f>Y1175/Model!$B$12*3600</f>
        <v>0</v>
      </c>
      <c r="AB1175" s="51">
        <f t="shared" si="394"/>
        <v>0</v>
      </c>
      <c r="AC1175" s="51">
        <f t="shared" si="398"/>
        <v>1800</v>
      </c>
      <c r="AD1175" s="13">
        <f>IF(AE1175=0, Model!$B$19, 0 )</f>
        <v>0</v>
      </c>
      <c r="AE1175" s="51">
        <f>IF(AE1174+AB1174-AB1175&lt;Model!$B$19*Model!$B$18, AE1174+AB1174-AB1175,  0)</f>
        <v>443.63457370611354</v>
      </c>
      <c r="AF1175" s="13">
        <f t="shared" si="390"/>
        <v>1</v>
      </c>
      <c r="AG1175" s="50">
        <f t="shared" si="391"/>
        <v>0</v>
      </c>
    </row>
    <row r="1176" spans="2:33" x14ac:dyDescent="0.25">
      <c r="B1176" s="15">
        <f t="shared" si="392"/>
        <v>1</v>
      </c>
      <c r="C1176" s="15">
        <f>B1176+Model!$B$4</f>
        <v>3</v>
      </c>
      <c r="D1176" s="15">
        <f t="shared" si="393"/>
        <v>1</v>
      </c>
      <c r="E1176" s="15">
        <f t="shared" si="381"/>
        <v>3</v>
      </c>
      <c r="F1176" s="16">
        <f>IF(AB1176&gt;0, VLOOKUP(B1176,Model!$A$40:$B$60, 2), 0)</f>
        <v>0</v>
      </c>
      <c r="G1176" s="15">
        <f>IF(AB1176&gt;0, VLOOKUP(B1176,Model!$A$39:$C$58, 3), 0)</f>
        <v>0</v>
      </c>
      <c r="H1176" s="15">
        <f t="shared" si="382"/>
        <v>0</v>
      </c>
      <c r="I1176" s="45">
        <f>Model!$B$21*EXP((-0.029*9.81*F1176)/(8.31*(273+J1176)))</f>
        <v>104500</v>
      </c>
      <c r="J1176" s="15">
        <f>IF(Model!$B$31="Summer",  IF(F1176&lt;=2000,  Model!$B$20-Model!$B$35*F1176/1000,  IF(F1176&lt;Model!$B$36,  Model!$B$33-6.5*F1176/1000,  Model!$B$38)),     IF(F1176&lt;=2000,  Model!$B$20-Model!$B$35*F1176/1000,  IF(F1176&lt;Model!$B$36,  Model!$B$33-5.4*F1176/1000,   Model!$B$38)))</f>
        <v>-20</v>
      </c>
      <c r="K1176" s="15">
        <f t="shared" si="395"/>
        <v>253</v>
      </c>
      <c r="L1176" s="45">
        <f>IF(AB1175-AA1175*(B1176-B1175)&gt;0, L1175-Y1175*(B1176-B1175)*3600-AD1176*Model!$B$16, 0)</f>
        <v>0</v>
      </c>
      <c r="M1176" s="56">
        <f t="shared" si="383"/>
        <v>0</v>
      </c>
      <c r="N1176" s="56">
        <f>Model!$B$13*I1176*K1176/(Model!$B$13*I1176-L1176*287*K1176)</f>
        <v>253</v>
      </c>
      <c r="O1176" s="56">
        <f t="shared" si="384"/>
        <v>253</v>
      </c>
      <c r="P1176" s="56">
        <f t="shared" si="385"/>
        <v>-10</v>
      </c>
      <c r="Q1176" s="62">
        <f t="shared" si="396"/>
        <v>2.2579999999999999E-2</v>
      </c>
      <c r="R1176" s="33">
        <f t="shared" si="397"/>
        <v>1.152E-5</v>
      </c>
      <c r="S1176" s="45">
        <f>0.37*Model!$B$10*(Q1176^2*(N1176-K1176)*I1176/(R1176*O1176^2))^0.33333*(N1176-K1176)</f>
        <v>0</v>
      </c>
      <c r="T1176" s="50">
        <f>Model!$B$32+(90-Model!$B$6)*SIN(RADIANS(-15*(E1176+6)))</f>
        <v>-31.619472402513487</v>
      </c>
      <c r="U1176" s="45">
        <f t="shared" si="386"/>
        <v>0</v>
      </c>
      <c r="V1176" s="50">
        <f t="shared" si="387"/>
        <v>99999</v>
      </c>
      <c r="W1176" s="45">
        <f t="shared" si="388"/>
        <v>0</v>
      </c>
      <c r="X1176" s="45">
        <f>0.3*W1176*Model!$B$9</f>
        <v>0</v>
      </c>
      <c r="Y1176" s="33">
        <f>(S1176-X1176)/Model!$B$11</f>
        <v>0</v>
      </c>
      <c r="Z1176" s="45" t="e">
        <f t="shared" si="389"/>
        <v>#DIV/0!</v>
      </c>
      <c r="AA1176" s="56">
        <f>Y1176/Model!$B$12*3600</f>
        <v>0</v>
      </c>
      <c r="AB1176" s="50">
        <f t="shared" si="394"/>
        <v>0</v>
      </c>
      <c r="AC1176" s="50">
        <f t="shared" si="398"/>
        <v>1800</v>
      </c>
      <c r="AD1176" s="15">
        <f>IF(AE1176=0, Model!$B$19, 0 )</f>
        <v>0</v>
      </c>
      <c r="AE1176" s="50">
        <f>IF(AE1175+AB1175-AB1176&lt;Model!$B$19*Model!$B$18, AE1175+AB1175-AB1176,  0)</f>
        <v>443.63457370611354</v>
      </c>
      <c r="AF1176" s="15">
        <f t="shared" si="390"/>
        <v>1</v>
      </c>
      <c r="AG1176" s="50">
        <f t="shared" si="391"/>
        <v>0</v>
      </c>
    </row>
    <row r="1177" spans="2:33" x14ac:dyDescent="0.25">
      <c r="B1177" s="13">
        <f t="shared" si="392"/>
        <v>1</v>
      </c>
      <c r="C1177" s="13">
        <f>B1177+Model!$B$4</f>
        <v>3</v>
      </c>
      <c r="D1177" s="13">
        <f t="shared" si="393"/>
        <v>1</v>
      </c>
      <c r="E1177" s="13">
        <f t="shared" si="381"/>
        <v>3</v>
      </c>
      <c r="F1177" s="14">
        <f>IF(AB1177&gt;0, VLOOKUP(B1177,Model!$A$40:$B$60, 2), 0)</f>
        <v>0</v>
      </c>
      <c r="G1177" s="13">
        <f>IF(AB1177&gt;0, VLOOKUP(B1177,Model!$A$39:$C$58, 3), 0)</f>
        <v>0</v>
      </c>
      <c r="H1177" s="13">
        <f t="shared" si="382"/>
        <v>0</v>
      </c>
      <c r="I1177" s="46">
        <f>Model!$B$21*EXP((-0.029*9.81*F1177)/(8.31*(273+J1177)))</f>
        <v>104500</v>
      </c>
      <c r="J1177" s="13">
        <f>IF(Model!$B$31="Summer",  IF(F1177&lt;=2000,  Model!$B$20-Model!$B$35*F1177/1000,  IF(F1177&lt;Model!$B$36,  Model!$B$33-6.5*F1177/1000,  Model!$B$38)),     IF(F1177&lt;=2000,  Model!$B$20-Model!$B$35*F1177/1000,  IF(F1177&lt;Model!$B$36,  Model!$B$33-5.4*F1177/1000,   Model!$B$38)))</f>
        <v>-20</v>
      </c>
      <c r="K1177" s="13">
        <f t="shared" si="395"/>
        <v>253</v>
      </c>
      <c r="L1177" s="46">
        <f>IF(AB1176-AA1176*(B1177-B1176)&gt;0, L1176-Y1176*(B1177-B1176)*3600-AD1177*Model!$B$16, 0)</f>
        <v>0</v>
      </c>
      <c r="M1177" s="57">
        <f t="shared" si="383"/>
        <v>0</v>
      </c>
      <c r="N1177" s="57">
        <f>Model!$B$13*I1177*K1177/(Model!$B$13*I1177-L1177*287*K1177)</f>
        <v>253</v>
      </c>
      <c r="O1177" s="57">
        <f t="shared" si="384"/>
        <v>253</v>
      </c>
      <c r="P1177" s="57">
        <f t="shared" si="385"/>
        <v>-10</v>
      </c>
      <c r="Q1177" s="63">
        <f t="shared" si="396"/>
        <v>2.2579999999999999E-2</v>
      </c>
      <c r="R1177" s="17">
        <f t="shared" si="397"/>
        <v>1.152E-5</v>
      </c>
      <c r="S1177" s="46">
        <f>0.37*Model!$B$10*(Q1177^2*(N1177-K1177)*I1177/(R1177*O1177^2))^0.33333*(N1177-K1177)</f>
        <v>0</v>
      </c>
      <c r="T1177" s="51">
        <f>Model!$B$32+(90-Model!$B$6)*SIN(RADIANS(-15*(E1177+6)))</f>
        <v>-31.619472402513487</v>
      </c>
      <c r="U1177" s="46">
        <f t="shared" si="386"/>
        <v>0</v>
      </c>
      <c r="V1177" s="51">
        <f t="shared" si="387"/>
        <v>99999</v>
      </c>
      <c r="W1177" s="46">
        <f t="shared" si="388"/>
        <v>0</v>
      </c>
      <c r="X1177" s="46">
        <f>0.3*W1177*Model!$B$9</f>
        <v>0</v>
      </c>
      <c r="Y1177" s="17">
        <f>(S1177-X1177)/Model!$B$11</f>
        <v>0</v>
      </c>
      <c r="Z1177" s="46" t="e">
        <f t="shared" si="389"/>
        <v>#DIV/0!</v>
      </c>
      <c r="AA1177" s="57">
        <f>Y1177/Model!$B$12*3600</f>
        <v>0</v>
      </c>
      <c r="AB1177" s="51">
        <f t="shared" si="394"/>
        <v>0</v>
      </c>
      <c r="AC1177" s="51">
        <f t="shared" si="398"/>
        <v>1800</v>
      </c>
      <c r="AD1177" s="13">
        <f>IF(AE1177=0, Model!$B$19, 0 )</f>
        <v>0</v>
      </c>
      <c r="AE1177" s="51">
        <f>IF(AE1176+AB1176-AB1177&lt;Model!$B$19*Model!$B$18, AE1176+AB1176-AB1177,  0)</f>
        <v>443.63457370611354</v>
      </c>
      <c r="AF1177" s="13">
        <f t="shared" si="390"/>
        <v>1</v>
      </c>
      <c r="AG1177" s="50">
        <f t="shared" si="391"/>
        <v>0</v>
      </c>
    </row>
    <row r="1178" spans="2:33" x14ac:dyDescent="0.25">
      <c r="B1178" s="15">
        <f t="shared" si="392"/>
        <v>1</v>
      </c>
      <c r="C1178" s="15">
        <f>B1178+Model!$B$4</f>
        <v>3</v>
      </c>
      <c r="D1178" s="15">
        <f t="shared" si="393"/>
        <v>1</v>
      </c>
      <c r="E1178" s="15">
        <f t="shared" si="381"/>
        <v>3</v>
      </c>
      <c r="F1178" s="16">
        <f>IF(AB1178&gt;0, VLOOKUP(B1178,Model!$A$40:$B$60, 2), 0)</f>
        <v>0</v>
      </c>
      <c r="G1178" s="15">
        <f>IF(AB1178&gt;0, VLOOKUP(B1178,Model!$A$39:$C$58, 3), 0)</f>
        <v>0</v>
      </c>
      <c r="H1178" s="15">
        <f t="shared" si="382"/>
        <v>0</v>
      </c>
      <c r="I1178" s="45">
        <f>Model!$B$21*EXP((-0.029*9.81*F1178)/(8.31*(273+J1178)))</f>
        <v>104500</v>
      </c>
      <c r="J1178" s="15">
        <f>IF(Model!$B$31="Summer",  IF(F1178&lt;=2000,  Model!$B$20-Model!$B$35*F1178/1000,  IF(F1178&lt;Model!$B$36,  Model!$B$33-6.5*F1178/1000,  Model!$B$38)),     IF(F1178&lt;=2000,  Model!$B$20-Model!$B$35*F1178/1000,  IF(F1178&lt;Model!$B$36,  Model!$B$33-5.4*F1178/1000,   Model!$B$38)))</f>
        <v>-20</v>
      </c>
      <c r="K1178" s="15">
        <f t="shared" si="395"/>
        <v>253</v>
      </c>
      <c r="L1178" s="45">
        <f>IF(AB1177-AA1177*(B1178-B1177)&gt;0, L1177-Y1177*(B1178-B1177)*3600-AD1178*Model!$B$16, 0)</f>
        <v>0</v>
      </c>
      <c r="M1178" s="56">
        <f t="shared" si="383"/>
        <v>0</v>
      </c>
      <c r="N1178" s="56">
        <f>Model!$B$13*I1178*K1178/(Model!$B$13*I1178-L1178*287*K1178)</f>
        <v>253</v>
      </c>
      <c r="O1178" s="56">
        <f t="shared" si="384"/>
        <v>253</v>
      </c>
      <c r="P1178" s="56">
        <f t="shared" si="385"/>
        <v>-10</v>
      </c>
      <c r="Q1178" s="62">
        <f t="shared" si="396"/>
        <v>2.2579999999999999E-2</v>
      </c>
      <c r="R1178" s="33">
        <f t="shared" si="397"/>
        <v>1.152E-5</v>
      </c>
      <c r="S1178" s="45">
        <f>0.37*Model!$B$10*(Q1178^2*(N1178-K1178)*I1178/(R1178*O1178^2))^0.33333*(N1178-K1178)</f>
        <v>0</v>
      </c>
      <c r="T1178" s="50">
        <f>Model!$B$32+(90-Model!$B$6)*SIN(RADIANS(-15*(E1178+6)))</f>
        <v>-31.619472402513487</v>
      </c>
      <c r="U1178" s="45">
        <f t="shared" si="386"/>
        <v>0</v>
      </c>
      <c r="V1178" s="50">
        <f t="shared" si="387"/>
        <v>99999</v>
      </c>
      <c r="W1178" s="45">
        <f t="shared" si="388"/>
        <v>0</v>
      </c>
      <c r="X1178" s="45">
        <f>0.3*W1178*Model!$B$9</f>
        <v>0</v>
      </c>
      <c r="Y1178" s="33">
        <f>(S1178-X1178)/Model!$B$11</f>
        <v>0</v>
      </c>
      <c r="Z1178" s="45" t="e">
        <f t="shared" si="389"/>
        <v>#DIV/0!</v>
      </c>
      <c r="AA1178" s="56">
        <f>Y1178/Model!$B$12*3600</f>
        <v>0</v>
      </c>
      <c r="AB1178" s="50">
        <f t="shared" si="394"/>
        <v>0</v>
      </c>
      <c r="AC1178" s="50">
        <f t="shared" si="398"/>
        <v>1800</v>
      </c>
      <c r="AD1178" s="15">
        <f>IF(AE1178=0, Model!$B$19, 0 )</f>
        <v>0</v>
      </c>
      <c r="AE1178" s="50">
        <f>IF(AE1177+AB1177-AB1178&lt;Model!$B$19*Model!$B$18, AE1177+AB1177-AB1178,  0)</f>
        <v>443.63457370611354</v>
      </c>
      <c r="AF1178" s="15">
        <f t="shared" si="390"/>
        <v>1</v>
      </c>
      <c r="AG1178" s="50">
        <f t="shared" si="391"/>
        <v>0</v>
      </c>
    </row>
    <row r="1179" spans="2:33" x14ac:dyDescent="0.25">
      <c r="B1179" s="13">
        <f t="shared" si="392"/>
        <v>1</v>
      </c>
      <c r="C1179" s="13">
        <f>B1179+Model!$B$4</f>
        <v>3</v>
      </c>
      <c r="D1179" s="13">
        <f t="shared" si="393"/>
        <v>1</v>
      </c>
      <c r="E1179" s="13">
        <f t="shared" si="381"/>
        <v>3</v>
      </c>
      <c r="F1179" s="14">
        <f>IF(AB1179&gt;0, VLOOKUP(B1179,Model!$A$40:$B$60, 2), 0)</f>
        <v>0</v>
      </c>
      <c r="G1179" s="13">
        <f>IF(AB1179&gt;0, VLOOKUP(B1179,Model!$A$39:$C$58, 3), 0)</f>
        <v>0</v>
      </c>
      <c r="H1179" s="13">
        <f t="shared" si="382"/>
        <v>0</v>
      </c>
      <c r="I1179" s="46">
        <f>Model!$B$21*EXP((-0.029*9.81*F1179)/(8.31*(273+J1179)))</f>
        <v>104500</v>
      </c>
      <c r="J1179" s="13">
        <f>IF(Model!$B$31="Summer",  IF(F1179&lt;=2000,  Model!$B$20-Model!$B$35*F1179/1000,  IF(F1179&lt;Model!$B$36,  Model!$B$33-6.5*F1179/1000,  Model!$B$38)),     IF(F1179&lt;=2000,  Model!$B$20-Model!$B$35*F1179/1000,  IF(F1179&lt;Model!$B$36,  Model!$B$33-5.4*F1179/1000,   Model!$B$38)))</f>
        <v>-20</v>
      </c>
      <c r="K1179" s="13">
        <f t="shared" si="395"/>
        <v>253</v>
      </c>
      <c r="L1179" s="46">
        <f>IF(AB1178-AA1178*(B1179-B1178)&gt;0, L1178-Y1178*(B1179-B1178)*3600-AD1179*Model!$B$16, 0)</f>
        <v>0</v>
      </c>
      <c r="M1179" s="57">
        <f t="shared" si="383"/>
        <v>0</v>
      </c>
      <c r="N1179" s="57">
        <f>Model!$B$13*I1179*K1179/(Model!$B$13*I1179-L1179*287*K1179)</f>
        <v>253</v>
      </c>
      <c r="O1179" s="57">
        <f t="shared" si="384"/>
        <v>253</v>
      </c>
      <c r="P1179" s="57">
        <f t="shared" si="385"/>
        <v>-10</v>
      </c>
      <c r="Q1179" s="63">
        <f t="shared" si="396"/>
        <v>2.2579999999999999E-2</v>
      </c>
      <c r="R1179" s="17">
        <f t="shared" si="397"/>
        <v>1.152E-5</v>
      </c>
      <c r="S1179" s="46">
        <f>0.37*Model!$B$10*(Q1179^2*(N1179-K1179)*I1179/(R1179*O1179^2))^0.33333*(N1179-K1179)</f>
        <v>0</v>
      </c>
      <c r="T1179" s="51">
        <f>Model!$B$32+(90-Model!$B$6)*SIN(RADIANS(-15*(E1179+6)))</f>
        <v>-31.619472402513487</v>
      </c>
      <c r="U1179" s="46">
        <f t="shared" si="386"/>
        <v>0</v>
      </c>
      <c r="V1179" s="51">
        <f t="shared" si="387"/>
        <v>99999</v>
      </c>
      <c r="W1179" s="46">
        <f t="shared" si="388"/>
        <v>0</v>
      </c>
      <c r="X1179" s="46">
        <f>0.3*W1179*Model!$B$9</f>
        <v>0</v>
      </c>
      <c r="Y1179" s="17">
        <f>(S1179-X1179)/Model!$B$11</f>
        <v>0</v>
      </c>
      <c r="Z1179" s="46" t="e">
        <f t="shared" si="389"/>
        <v>#DIV/0!</v>
      </c>
      <c r="AA1179" s="57">
        <f>Y1179/Model!$B$12*3600</f>
        <v>0</v>
      </c>
      <c r="AB1179" s="51">
        <f t="shared" si="394"/>
        <v>0</v>
      </c>
      <c r="AC1179" s="51">
        <f t="shared" si="398"/>
        <v>1800</v>
      </c>
      <c r="AD1179" s="13">
        <f>IF(AE1179=0, Model!$B$19, 0 )</f>
        <v>0</v>
      </c>
      <c r="AE1179" s="51">
        <f>IF(AE1178+AB1178-AB1179&lt;Model!$B$19*Model!$B$18, AE1178+AB1178-AB1179,  0)</f>
        <v>443.63457370611354</v>
      </c>
      <c r="AF1179" s="13">
        <f t="shared" si="390"/>
        <v>1</v>
      </c>
      <c r="AG1179" s="50">
        <f t="shared" si="391"/>
        <v>0</v>
      </c>
    </row>
    <row r="1180" spans="2:33" x14ac:dyDescent="0.25">
      <c r="B1180" s="15">
        <f t="shared" si="392"/>
        <v>1</v>
      </c>
      <c r="C1180" s="15">
        <f>B1180+Model!$B$4</f>
        <v>3</v>
      </c>
      <c r="D1180" s="15">
        <f t="shared" si="393"/>
        <v>1</v>
      </c>
      <c r="E1180" s="15">
        <f t="shared" si="381"/>
        <v>3</v>
      </c>
      <c r="F1180" s="16">
        <f>IF(AB1180&gt;0, VLOOKUP(B1180,Model!$A$40:$B$60, 2), 0)</f>
        <v>0</v>
      </c>
      <c r="G1180" s="15">
        <f>IF(AB1180&gt;0, VLOOKUP(B1180,Model!$A$39:$C$58, 3), 0)</f>
        <v>0</v>
      </c>
      <c r="H1180" s="15">
        <f t="shared" si="382"/>
        <v>0</v>
      </c>
      <c r="I1180" s="45">
        <f>Model!$B$21*EXP((-0.029*9.81*F1180)/(8.31*(273+J1180)))</f>
        <v>104500</v>
      </c>
      <c r="J1180" s="15">
        <f>IF(Model!$B$31="Summer",  IF(F1180&lt;=2000,  Model!$B$20-Model!$B$35*F1180/1000,  IF(F1180&lt;Model!$B$36,  Model!$B$33-6.5*F1180/1000,  Model!$B$38)),     IF(F1180&lt;=2000,  Model!$B$20-Model!$B$35*F1180/1000,  IF(F1180&lt;Model!$B$36,  Model!$B$33-5.4*F1180/1000,   Model!$B$38)))</f>
        <v>-20</v>
      </c>
      <c r="K1180" s="15">
        <f t="shared" si="395"/>
        <v>253</v>
      </c>
      <c r="L1180" s="45">
        <f>IF(AB1179-AA1179*(B1180-B1179)&gt;0, L1179-Y1179*(B1180-B1179)*3600-AD1180*Model!$B$16, 0)</f>
        <v>0</v>
      </c>
      <c r="M1180" s="56">
        <f t="shared" si="383"/>
        <v>0</v>
      </c>
      <c r="N1180" s="56">
        <f>Model!$B$13*I1180*K1180/(Model!$B$13*I1180-L1180*287*K1180)</f>
        <v>253</v>
      </c>
      <c r="O1180" s="56">
        <f t="shared" si="384"/>
        <v>253</v>
      </c>
      <c r="P1180" s="56">
        <f t="shared" si="385"/>
        <v>-10</v>
      </c>
      <c r="Q1180" s="62">
        <f t="shared" si="396"/>
        <v>2.2579999999999999E-2</v>
      </c>
      <c r="R1180" s="33">
        <f t="shared" si="397"/>
        <v>1.152E-5</v>
      </c>
      <c r="S1180" s="45">
        <f>0.37*Model!$B$10*(Q1180^2*(N1180-K1180)*I1180/(R1180*O1180^2))^0.33333*(N1180-K1180)</f>
        <v>0</v>
      </c>
      <c r="T1180" s="50">
        <f>Model!$B$32+(90-Model!$B$6)*SIN(RADIANS(-15*(E1180+6)))</f>
        <v>-31.619472402513487</v>
      </c>
      <c r="U1180" s="45">
        <f t="shared" si="386"/>
        <v>0</v>
      </c>
      <c r="V1180" s="50">
        <f t="shared" si="387"/>
        <v>99999</v>
      </c>
      <c r="W1180" s="45">
        <f t="shared" si="388"/>
        <v>0</v>
      </c>
      <c r="X1180" s="45">
        <f>0.3*W1180*Model!$B$9</f>
        <v>0</v>
      </c>
      <c r="Y1180" s="33">
        <f>(S1180-X1180)/Model!$B$11</f>
        <v>0</v>
      </c>
      <c r="Z1180" s="45" t="e">
        <f t="shared" si="389"/>
        <v>#DIV/0!</v>
      </c>
      <c r="AA1180" s="56">
        <f>Y1180/Model!$B$12*3600</f>
        <v>0</v>
      </c>
      <c r="AB1180" s="50">
        <f t="shared" si="394"/>
        <v>0</v>
      </c>
      <c r="AC1180" s="50">
        <f t="shared" si="398"/>
        <v>1800</v>
      </c>
      <c r="AD1180" s="15">
        <f>IF(AE1180=0, Model!$B$19, 0 )</f>
        <v>0</v>
      </c>
      <c r="AE1180" s="50">
        <f>IF(AE1179+AB1179-AB1180&lt;Model!$B$19*Model!$B$18, AE1179+AB1179-AB1180,  0)</f>
        <v>443.63457370611354</v>
      </c>
      <c r="AF1180" s="15">
        <f t="shared" si="390"/>
        <v>1</v>
      </c>
      <c r="AG1180" s="50">
        <f t="shared" si="391"/>
        <v>0</v>
      </c>
    </row>
    <row r="1181" spans="2:33" x14ac:dyDescent="0.25">
      <c r="B1181" s="13">
        <f t="shared" si="392"/>
        <v>1</v>
      </c>
      <c r="C1181" s="13">
        <f>B1181+Model!$B$4</f>
        <v>3</v>
      </c>
      <c r="D1181" s="13">
        <f t="shared" si="393"/>
        <v>1</v>
      </c>
      <c r="E1181" s="13">
        <f t="shared" si="381"/>
        <v>3</v>
      </c>
      <c r="F1181" s="14">
        <f>IF(AB1181&gt;0, VLOOKUP(B1181,Model!$A$40:$B$60, 2), 0)</f>
        <v>0</v>
      </c>
      <c r="G1181" s="13">
        <f>IF(AB1181&gt;0, VLOOKUP(B1181,Model!$A$39:$C$58, 3), 0)</f>
        <v>0</v>
      </c>
      <c r="H1181" s="13">
        <f t="shared" si="382"/>
        <v>0</v>
      </c>
      <c r="I1181" s="46">
        <f>Model!$B$21*EXP((-0.029*9.81*F1181)/(8.31*(273+J1181)))</f>
        <v>104500</v>
      </c>
      <c r="J1181" s="13">
        <f>IF(Model!$B$31="Summer",  IF(F1181&lt;=2000,  Model!$B$20-Model!$B$35*F1181/1000,  IF(F1181&lt;Model!$B$36,  Model!$B$33-6.5*F1181/1000,  Model!$B$38)),     IF(F1181&lt;=2000,  Model!$B$20-Model!$B$35*F1181/1000,  IF(F1181&lt;Model!$B$36,  Model!$B$33-5.4*F1181/1000,   Model!$B$38)))</f>
        <v>-20</v>
      </c>
      <c r="K1181" s="13">
        <f t="shared" si="395"/>
        <v>253</v>
      </c>
      <c r="L1181" s="46">
        <f>IF(AB1180-AA1180*(B1181-B1180)&gt;0, L1180-Y1180*(B1181-B1180)*3600-AD1181*Model!$B$16, 0)</f>
        <v>0</v>
      </c>
      <c r="M1181" s="57">
        <f t="shared" si="383"/>
        <v>0</v>
      </c>
      <c r="N1181" s="57">
        <f>Model!$B$13*I1181*K1181/(Model!$B$13*I1181-L1181*287*K1181)</f>
        <v>253</v>
      </c>
      <c r="O1181" s="57">
        <f t="shared" si="384"/>
        <v>253</v>
      </c>
      <c r="P1181" s="57">
        <f t="shared" si="385"/>
        <v>-10</v>
      </c>
      <c r="Q1181" s="63">
        <f t="shared" si="396"/>
        <v>2.2579999999999999E-2</v>
      </c>
      <c r="R1181" s="17">
        <f t="shared" si="397"/>
        <v>1.152E-5</v>
      </c>
      <c r="S1181" s="46">
        <f>0.37*Model!$B$10*(Q1181^2*(N1181-K1181)*I1181/(R1181*O1181^2))^0.33333*(N1181-K1181)</f>
        <v>0</v>
      </c>
      <c r="T1181" s="51">
        <f>Model!$B$32+(90-Model!$B$6)*SIN(RADIANS(-15*(E1181+6)))</f>
        <v>-31.619472402513487</v>
      </c>
      <c r="U1181" s="46">
        <f t="shared" si="386"/>
        <v>0</v>
      </c>
      <c r="V1181" s="51">
        <f t="shared" si="387"/>
        <v>99999</v>
      </c>
      <c r="W1181" s="46">
        <f t="shared" si="388"/>
        <v>0</v>
      </c>
      <c r="X1181" s="46">
        <f>0.3*W1181*Model!$B$9</f>
        <v>0</v>
      </c>
      <c r="Y1181" s="17">
        <f>(S1181-X1181)/Model!$B$11</f>
        <v>0</v>
      </c>
      <c r="Z1181" s="46" t="e">
        <f t="shared" si="389"/>
        <v>#DIV/0!</v>
      </c>
      <c r="AA1181" s="57">
        <f>Y1181/Model!$B$12*3600</f>
        <v>0</v>
      </c>
      <c r="AB1181" s="51">
        <f t="shared" si="394"/>
        <v>0</v>
      </c>
      <c r="AC1181" s="51">
        <f t="shared" si="398"/>
        <v>1800</v>
      </c>
      <c r="AD1181" s="13">
        <f>IF(AE1181=0, Model!$B$19, 0 )</f>
        <v>0</v>
      </c>
      <c r="AE1181" s="51">
        <f>IF(AE1180+AB1180-AB1181&lt;Model!$B$19*Model!$B$18, AE1180+AB1180-AB1181,  0)</f>
        <v>443.63457370611354</v>
      </c>
      <c r="AF1181" s="13">
        <f t="shared" si="390"/>
        <v>1</v>
      </c>
      <c r="AG1181" s="50">
        <f t="shared" si="391"/>
        <v>0</v>
      </c>
    </row>
    <row r="1182" spans="2:33" x14ac:dyDescent="0.25">
      <c r="B1182" s="15">
        <f t="shared" si="392"/>
        <v>1</v>
      </c>
      <c r="C1182" s="15">
        <f>B1182+Model!$B$4</f>
        <v>3</v>
      </c>
      <c r="D1182" s="15">
        <f t="shared" si="393"/>
        <v>1</v>
      </c>
      <c r="E1182" s="15">
        <f t="shared" si="381"/>
        <v>3</v>
      </c>
      <c r="F1182" s="16">
        <f>IF(AB1182&gt;0, VLOOKUP(B1182,Model!$A$40:$B$60, 2), 0)</f>
        <v>0</v>
      </c>
      <c r="G1182" s="15">
        <f>IF(AB1182&gt;0, VLOOKUP(B1182,Model!$A$39:$C$58, 3), 0)</f>
        <v>0</v>
      </c>
      <c r="H1182" s="15">
        <f t="shared" si="382"/>
        <v>0</v>
      </c>
      <c r="I1182" s="45">
        <f>Model!$B$21*EXP((-0.029*9.81*F1182)/(8.31*(273+J1182)))</f>
        <v>104500</v>
      </c>
      <c r="J1182" s="15">
        <f>IF(Model!$B$31="Summer",  IF(F1182&lt;=2000,  Model!$B$20-Model!$B$35*F1182/1000,  IF(F1182&lt;Model!$B$36,  Model!$B$33-6.5*F1182/1000,  Model!$B$38)),     IF(F1182&lt;=2000,  Model!$B$20-Model!$B$35*F1182/1000,  IF(F1182&lt;Model!$B$36,  Model!$B$33-5.4*F1182/1000,   Model!$B$38)))</f>
        <v>-20</v>
      </c>
      <c r="K1182" s="15">
        <f t="shared" si="395"/>
        <v>253</v>
      </c>
      <c r="L1182" s="45">
        <f>IF(AB1181-AA1181*(B1182-B1181)&gt;0, L1181-Y1181*(B1182-B1181)*3600-AD1182*Model!$B$16, 0)</f>
        <v>0</v>
      </c>
      <c r="M1182" s="56">
        <f t="shared" si="383"/>
        <v>0</v>
      </c>
      <c r="N1182" s="56">
        <f>Model!$B$13*I1182*K1182/(Model!$B$13*I1182-L1182*287*K1182)</f>
        <v>253</v>
      </c>
      <c r="O1182" s="56">
        <f t="shared" si="384"/>
        <v>253</v>
      </c>
      <c r="P1182" s="56">
        <f t="shared" si="385"/>
        <v>-10</v>
      </c>
      <c r="Q1182" s="62">
        <f t="shared" si="396"/>
        <v>2.2579999999999999E-2</v>
      </c>
      <c r="R1182" s="33">
        <f t="shared" si="397"/>
        <v>1.152E-5</v>
      </c>
      <c r="S1182" s="45">
        <f>0.37*Model!$B$10*(Q1182^2*(N1182-K1182)*I1182/(R1182*O1182^2))^0.33333*(N1182-K1182)</f>
        <v>0</v>
      </c>
      <c r="T1182" s="50">
        <f>Model!$B$32+(90-Model!$B$6)*SIN(RADIANS(-15*(E1182+6)))</f>
        <v>-31.619472402513487</v>
      </c>
      <c r="U1182" s="45">
        <f t="shared" si="386"/>
        <v>0</v>
      </c>
      <c r="V1182" s="50">
        <f t="shared" si="387"/>
        <v>99999</v>
      </c>
      <c r="W1182" s="45">
        <f t="shared" si="388"/>
        <v>0</v>
      </c>
      <c r="X1182" s="45">
        <f>0.3*W1182*Model!$B$9</f>
        <v>0</v>
      </c>
      <c r="Y1182" s="33">
        <f>(S1182-X1182)/Model!$B$11</f>
        <v>0</v>
      </c>
      <c r="Z1182" s="45" t="e">
        <f t="shared" si="389"/>
        <v>#DIV/0!</v>
      </c>
      <c r="AA1182" s="56">
        <f>Y1182/Model!$B$12*3600</f>
        <v>0</v>
      </c>
      <c r="AB1182" s="50">
        <f t="shared" si="394"/>
        <v>0</v>
      </c>
      <c r="AC1182" s="50">
        <f t="shared" si="398"/>
        <v>1800</v>
      </c>
      <c r="AD1182" s="15">
        <f>IF(AE1182=0, Model!$B$19, 0 )</f>
        <v>0</v>
      </c>
      <c r="AE1182" s="50">
        <f>IF(AE1181+AB1181-AB1182&lt;Model!$B$19*Model!$B$18, AE1181+AB1181-AB1182,  0)</f>
        <v>443.63457370611354</v>
      </c>
      <c r="AF1182" s="15">
        <f t="shared" si="390"/>
        <v>1</v>
      </c>
      <c r="AG1182" s="50">
        <f t="shared" si="391"/>
        <v>0</v>
      </c>
    </row>
    <row r="1183" spans="2:33" x14ac:dyDescent="0.25">
      <c r="B1183" s="13">
        <f t="shared" si="392"/>
        <v>1</v>
      </c>
      <c r="C1183" s="13">
        <f>B1183+Model!$B$4</f>
        <v>3</v>
      </c>
      <c r="D1183" s="13">
        <f t="shared" si="393"/>
        <v>1</v>
      </c>
      <c r="E1183" s="13">
        <f t="shared" si="381"/>
        <v>3</v>
      </c>
      <c r="F1183" s="14">
        <f>IF(AB1183&gt;0, VLOOKUP(B1183,Model!$A$40:$B$60, 2), 0)</f>
        <v>0</v>
      </c>
      <c r="G1183" s="13">
        <f>IF(AB1183&gt;0, VLOOKUP(B1183,Model!$A$39:$C$58, 3), 0)</f>
        <v>0</v>
      </c>
      <c r="H1183" s="13">
        <f t="shared" si="382"/>
        <v>0</v>
      </c>
      <c r="I1183" s="46">
        <f>Model!$B$21*EXP((-0.029*9.81*F1183)/(8.31*(273+J1183)))</f>
        <v>104500</v>
      </c>
      <c r="J1183" s="13">
        <f>IF(Model!$B$31="Summer",  IF(F1183&lt;=2000,  Model!$B$20-Model!$B$35*F1183/1000,  IF(F1183&lt;Model!$B$36,  Model!$B$33-6.5*F1183/1000,  Model!$B$38)),     IF(F1183&lt;=2000,  Model!$B$20-Model!$B$35*F1183/1000,  IF(F1183&lt;Model!$B$36,  Model!$B$33-5.4*F1183/1000,   Model!$B$38)))</f>
        <v>-20</v>
      </c>
      <c r="K1183" s="13">
        <f t="shared" si="395"/>
        <v>253</v>
      </c>
      <c r="L1183" s="46">
        <f>IF(AB1182-AA1182*(B1183-B1182)&gt;0, L1182-Y1182*(B1183-B1182)*3600-AD1183*Model!$B$16, 0)</f>
        <v>0</v>
      </c>
      <c r="M1183" s="57">
        <f t="shared" si="383"/>
        <v>0</v>
      </c>
      <c r="N1183" s="57">
        <f>Model!$B$13*I1183*K1183/(Model!$B$13*I1183-L1183*287*K1183)</f>
        <v>253</v>
      </c>
      <c r="O1183" s="57">
        <f t="shared" si="384"/>
        <v>253</v>
      </c>
      <c r="P1183" s="57">
        <f t="shared" si="385"/>
        <v>-10</v>
      </c>
      <c r="Q1183" s="63">
        <f t="shared" si="396"/>
        <v>2.2579999999999999E-2</v>
      </c>
      <c r="R1183" s="17">
        <f t="shared" si="397"/>
        <v>1.152E-5</v>
      </c>
      <c r="S1183" s="46">
        <f>0.37*Model!$B$10*(Q1183^2*(N1183-K1183)*I1183/(R1183*O1183^2))^0.33333*(N1183-K1183)</f>
        <v>0</v>
      </c>
      <c r="T1183" s="51">
        <f>Model!$B$32+(90-Model!$B$6)*SIN(RADIANS(-15*(E1183+6)))</f>
        <v>-31.619472402513487</v>
      </c>
      <c r="U1183" s="46">
        <f t="shared" si="386"/>
        <v>0</v>
      </c>
      <c r="V1183" s="51">
        <f t="shared" si="387"/>
        <v>99999</v>
      </c>
      <c r="W1183" s="46">
        <f t="shared" si="388"/>
        <v>0</v>
      </c>
      <c r="X1183" s="46">
        <f>0.3*W1183*Model!$B$9</f>
        <v>0</v>
      </c>
      <c r="Y1183" s="17">
        <f>(S1183-X1183)/Model!$B$11</f>
        <v>0</v>
      </c>
      <c r="Z1183" s="46" t="e">
        <f t="shared" si="389"/>
        <v>#DIV/0!</v>
      </c>
      <c r="AA1183" s="57">
        <f>Y1183/Model!$B$12*3600</f>
        <v>0</v>
      </c>
      <c r="AB1183" s="51">
        <f t="shared" si="394"/>
        <v>0</v>
      </c>
      <c r="AC1183" s="51">
        <f t="shared" si="398"/>
        <v>1800</v>
      </c>
      <c r="AD1183" s="13">
        <f>IF(AE1183=0, Model!$B$19, 0 )</f>
        <v>0</v>
      </c>
      <c r="AE1183" s="51">
        <f>IF(AE1182+AB1182-AB1183&lt;Model!$B$19*Model!$B$18, AE1182+AB1182-AB1183,  0)</f>
        <v>443.63457370611354</v>
      </c>
      <c r="AF1183" s="13">
        <f t="shared" si="390"/>
        <v>1</v>
      </c>
      <c r="AG1183" s="50">
        <f t="shared" si="391"/>
        <v>0</v>
      </c>
    </row>
    <row r="1184" spans="2:33" x14ac:dyDescent="0.25">
      <c r="B1184" s="15">
        <f t="shared" si="392"/>
        <v>1</v>
      </c>
      <c r="C1184" s="15">
        <f>B1184+Model!$B$4</f>
        <v>3</v>
      </c>
      <c r="D1184" s="15">
        <f t="shared" si="393"/>
        <v>1</v>
      </c>
      <c r="E1184" s="15">
        <f t="shared" si="381"/>
        <v>3</v>
      </c>
      <c r="F1184" s="16">
        <f>IF(AB1184&gt;0, VLOOKUP(B1184,Model!$A$40:$B$60, 2), 0)</f>
        <v>0</v>
      </c>
      <c r="G1184" s="15">
        <f>IF(AB1184&gt;0, VLOOKUP(B1184,Model!$A$39:$C$58, 3), 0)</f>
        <v>0</v>
      </c>
      <c r="H1184" s="15">
        <f t="shared" si="382"/>
        <v>0</v>
      </c>
      <c r="I1184" s="45">
        <f>Model!$B$21*EXP((-0.029*9.81*F1184)/(8.31*(273+J1184)))</f>
        <v>104500</v>
      </c>
      <c r="J1184" s="15">
        <f>IF(Model!$B$31="Summer",  IF(F1184&lt;=2000,  Model!$B$20-Model!$B$35*F1184/1000,  IF(F1184&lt;Model!$B$36,  Model!$B$33-6.5*F1184/1000,  Model!$B$38)),     IF(F1184&lt;=2000,  Model!$B$20-Model!$B$35*F1184/1000,  IF(F1184&lt;Model!$B$36,  Model!$B$33-5.4*F1184/1000,   Model!$B$38)))</f>
        <v>-20</v>
      </c>
      <c r="K1184" s="15">
        <f t="shared" si="395"/>
        <v>253</v>
      </c>
      <c r="L1184" s="45">
        <f>IF(AB1183-AA1183*(B1184-B1183)&gt;0, L1183-Y1183*(B1184-B1183)*3600-AD1184*Model!$B$16, 0)</f>
        <v>0</v>
      </c>
      <c r="M1184" s="56">
        <f t="shared" si="383"/>
        <v>0</v>
      </c>
      <c r="N1184" s="56">
        <f>Model!$B$13*I1184*K1184/(Model!$B$13*I1184-L1184*287*K1184)</f>
        <v>253</v>
      </c>
      <c r="O1184" s="56">
        <f t="shared" si="384"/>
        <v>253</v>
      </c>
      <c r="P1184" s="56">
        <f t="shared" si="385"/>
        <v>-10</v>
      </c>
      <c r="Q1184" s="62">
        <f t="shared" si="396"/>
        <v>2.2579999999999999E-2</v>
      </c>
      <c r="R1184" s="33">
        <f t="shared" si="397"/>
        <v>1.152E-5</v>
      </c>
      <c r="S1184" s="45">
        <f>0.37*Model!$B$10*(Q1184^2*(N1184-K1184)*I1184/(R1184*O1184^2))^0.33333*(N1184-K1184)</f>
        <v>0</v>
      </c>
      <c r="T1184" s="50">
        <f>Model!$B$32+(90-Model!$B$6)*SIN(RADIANS(-15*(E1184+6)))</f>
        <v>-31.619472402513487</v>
      </c>
      <c r="U1184" s="45">
        <f t="shared" si="386"/>
        <v>0</v>
      </c>
      <c r="V1184" s="50">
        <f t="shared" si="387"/>
        <v>99999</v>
      </c>
      <c r="W1184" s="45">
        <f t="shared" si="388"/>
        <v>0</v>
      </c>
      <c r="X1184" s="45">
        <f>0.3*W1184*Model!$B$9</f>
        <v>0</v>
      </c>
      <c r="Y1184" s="33">
        <f>(S1184-X1184)/Model!$B$11</f>
        <v>0</v>
      </c>
      <c r="Z1184" s="45" t="e">
        <f t="shared" si="389"/>
        <v>#DIV/0!</v>
      </c>
      <c r="AA1184" s="56">
        <f>Y1184/Model!$B$12*3600</f>
        <v>0</v>
      </c>
      <c r="AB1184" s="50">
        <f t="shared" si="394"/>
        <v>0</v>
      </c>
      <c r="AC1184" s="50">
        <f t="shared" si="398"/>
        <v>1800</v>
      </c>
      <c r="AD1184" s="15">
        <f>IF(AE1184=0, Model!$B$19, 0 )</f>
        <v>0</v>
      </c>
      <c r="AE1184" s="50">
        <f>IF(AE1183+AB1183-AB1184&lt;Model!$B$19*Model!$B$18, AE1183+AB1183-AB1184,  0)</f>
        <v>443.63457370611354</v>
      </c>
      <c r="AF1184" s="15">
        <f t="shared" si="390"/>
        <v>1</v>
      </c>
      <c r="AG1184" s="50">
        <f t="shared" si="391"/>
        <v>0</v>
      </c>
    </row>
    <row r="1185" spans="2:33" x14ac:dyDescent="0.25">
      <c r="B1185" s="13">
        <f t="shared" si="392"/>
        <v>1</v>
      </c>
      <c r="C1185" s="13">
        <f>B1185+Model!$B$4</f>
        <v>3</v>
      </c>
      <c r="D1185" s="13">
        <f t="shared" si="393"/>
        <v>1</v>
      </c>
      <c r="E1185" s="13">
        <f t="shared" si="381"/>
        <v>3</v>
      </c>
      <c r="F1185" s="14">
        <f>IF(AB1185&gt;0, VLOOKUP(B1185,Model!$A$40:$B$60, 2), 0)</f>
        <v>0</v>
      </c>
      <c r="G1185" s="13">
        <f>IF(AB1185&gt;0, VLOOKUP(B1185,Model!$A$39:$C$58, 3), 0)</f>
        <v>0</v>
      </c>
      <c r="H1185" s="13">
        <f t="shared" si="382"/>
        <v>0</v>
      </c>
      <c r="I1185" s="46">
        <f>Model!$B$21*EXP((-0.029*9.81*F1185)/(8.31*(273+J1185)))</f>
        <v>104500</v>
      </c>
      <c r="J1185" s="13">
        <f>IF(Model!$B$31="Summer",  IF(F1185&lt;=2000,  Model!$B$20-Model!$B$35*F1185/1000,  IF(F1185&lt;Model!$B$36,  Model!$B$33-6.5*F1185/1000,  Model!$B$38)),     IF(F1185&lt;=2000,  Model!$B$20-Model!$B$35*F1185/1000,  IF(F1185&lt;Model!$B$36,  Model!$B$33-5.4*F1185/1000,   Model!$B$38)))</f>
        <v>-20</v>
      </c>
      <c r="K1185" s="13">
        <f t="shared" si="395"/>
        <v>253</v>
      </c>
      <c r="L1185" s="46">
        <f>IF(AB1184-AA1184*(B1185-B1184)&gt;0, L1184-Y1184*(B1185-B1184)*3600-AD1185*Model!$B$16, 0)</f>
        <v>0</v>
      </c>
      <c r="M1185" s="57">
        <f t="shared" si="383"/>
        <v>0</v>
      </c>
      <c r="N1185" s="57">
        <f>Model!$B$13*I1185*K1185/(Model!$B$13*I1185-L1185*287*K1185)</f>
        <v>253</v>
      </c>
      <c r="O1185" s="57">
        <f t="shared" si="384"/>
        <v>253</v>
      </c>
      <c r="P1185" s="57">
        <f t="shared" si="385"/>
        <v>-10</v>
      </c>
      <c r="Q1185" s="63">
        <f t="shared" si="396"/>
        <v>2.2579999999999999E-2</v>
      </c>
      <c r="R1185" s="17">
        <f t="shared" si="397"/>
        <v>1.152E-5</v>
      </c>
      <c r="S1185" s="46">
        <f>0.37*Model!$B$10*(Q1185^2*(N1185-K1185)*I1185/(R1185*O1185^2))^0.33333*(N1185-K1185)</f>
        <v>0</v>
      </c>
      <c r="T1185" s="51">
        <f>Model!$B$32+(90-Model!$B$6)*SIN(RADIANS(-15*(E1185+6)))</f>
        <v>-31.619472402513487</v>
      </c>
      <c r="U1185" s="46">
        <f t="shared" si="386"/>
        <v>0</v>
      </c>
      <c r="V1185" s="51">
        <f t="shared" si="387"/>
        <v>99999</v>
      </c>
      <c r="W1185" s="46">
        <f t="shared" si="388"/>
        <v>0</v>
      </c>
      <c r="X1185" s="46">
        <f>0.3*W1185*Model!$B$9</f>
        <v>0</v>
      </c>
      <c r="Y1185" s="17">
        <f>(S1185-X1185)/Model!$B$11</f>
        <v>0</v>
      </c>
      <c r="Z1185" s="46" t="e">
        <f t="shared" si="389"/>
        <v>#DIV/0!</v>
      </c>
      <c r="AA1185" s="57">
        <f>Y1185/Model!$B$12*3600</f>
        <v>0</v>
      </c>
      <c r="AB1185" s="51">
        <f t="shared" si="394"/>
        <v>0</v>
      </c>
      <c r="AC1185" s="51">
        <f t="shared" si="398"/>
        <v>1800</v>
      </c>
      <c r="AD1185" s="13">
        <f>IF(AE1185=0, Model!$B$19, 0 )</f>
        <v>0</v>
      </c>
      <c r="AE1185" s="51">
        <f>IF(AE1184+AB1184-AB1185&lt;Model!$B$19*Model!$B$18, AE1184+AB1184-AB1185,  0)</f>
        <v>443.63457370611354</v>
      </c>
      <c r="AF1185" s="13">
        <f t="shared" si="390"/>
        <v>1</v>
      </c>
      <c r="AG1185" s="50">
        <f t="shared" si="391"/>
        <v>0</v>
      </c>
    </row>
    <row r="1186" spans="2:33" x14ac:dyDescent="0.25">
      <c r="B1186" s="15">
        <f t="shared" si="392"/>
        <v>1</v>
      </c>
      <c r="C1186" s="15">
        <f>B1186+Model!$B$4</f>
        <v>3</v>
      </c>
      <c r="D1186" s="15">
        <f t="shared" si="393"/>
        <v>1</v>
      </c>
      <c r="E1186" s="15">
        <f t="shared" si="381"/>
        <v>3</v>
      </c>
      <c r="F1186" s="16">
        <f>IF(AB1186&gt;0, VLOOKUP(B1186,Model!$A$40:$B$60, 2), 0)</f>
        <v>0</v>
      </c>
      <c r="G1186" s="15">
        <f>IF(AB1186&gt;0, VLOOKUP(B1186,Model!$A$39:$C$58, 3), 0)</f>
        <v>0</v>
      </c>
      <c r="H1186" s="15">
        <f t="shared" si="382"/>
        <v>0</v>
      </c>
      <c r="I1186" s="45">
        <f>Model!$B$21*EXP((-0.029*9.81*F1186)/(8.31*(273+J1186)))</f>
        <v>104500</v>
      </c>
      <c r="J1186" s="15">
        <f>IF(Model!$B$31="Summer",  IF(F1186&lt;=2000,  Model!$B$20-Model!$B$35*F1186/1000,  IF(F1186&lt;Model!$B$36,  Model!$B$33-6.5*F1186/1000,  Model!$B$38)),     IF(F1186&lt;=2000,  Model!$B$20-Model!$B$35*F1186/1000,  IF(F1186&lt;Model!$B$36,  Model!$B$33-5.4*F1186/1000,   Model!$B$38)))</f>
        <v>-20</v>
      </c>
      <c r="K1186" s="15">
        <f t="shared" si="395"/>
        <v>253</v>
      </c>
      <c r="L1186" s="45">
        <f>IF(AB1185-AA1185*(B1186-B1185)&gt;0, L1185-Y1185*(B1186-B1185)*3600-AD1186*Model!$B$16, 0)</f>
        <v>0</v>
      </c>
      <c r="M1186" s="56">
        <f t="shared" si="383"/>
        <v>0</v>
      </c>
      <c r="N1186" s="56">
        <f>Model!$B$13*I1186*K1186/(Model!$B$13*I1186-L1186*287*K1186)</f>
        <v>253</v>
      </c>
      <c r="O1186" s="56">
        <f t="shared" si="384"/>
        <v>253</v>
      </c>
      <c r="P1186" s="56">
        <f t="shared" si="385"/>
        <v>-10</v>
      </c>
      <c r="Q1186" s="62">
        <f t="shared" si="396"/>
        <v>2.2579999999999999E-2</v>
      </c>
      <c r="R1186" s="33">
        <f t="shared" si="397"/>
        <v>1.152E-5</v>
      </c>
      <c r="S1186" s="45">
        <f>0.37*Model!$B$10*(Q1186^2*(N1186-K1186)*I1186/(R1186*O1186^2))^0.33333*(N1186-K1186)</f>
        <v>0</v>
      </c>
      <c r="T1186" s="50">
        <f>Model!$B$32+(90-Model!$B$6)*SIN(RADIANS(-15*(E1186+6)))</f>
        <v>-31.619472402513487</v>
      </c>
      <c r="U1186" s="45">
        <f t="shared" si="386"/>
        <v>0</v>
      </c>
      <c r="V1186" s="50">
        <f t="shared" si="387"/>
        <v>99999</v>
      </c>
      <c r="W1186" s="45">
        <f t="shared" si="388"/>
        <v>0</v>
      </c>
      <c r="X1186" s="45">
        <f>0.3*W1186*Model!$B$9</f>
        <v>0</v>
      </c>
      <c r="Y1186" s="33">
        <f>(S1186-X1186)/Model!$B$11</f>
        <v>0</v>
      </c>
      <c r="Z1186" s="45" t="e">
        <f t="shared" si="389"/>
        <v>#DIV/0!</v>
      </c>
      <c r="AA1186" s="56">
        <f>Y1186/Model!$B$12*3600</f>
        <v>0</v>
      </c>
      <c r="AB1186" s="50">
        <f t="shared" si="394"/>
        <v>0</v>
      </c>
      <c r="AC1186" s="50">
        <f t="shared" si="398"/>
        <v>1800</v>
      </c>
      <c r="AD1186" s="15">
        <f>IF(AE1186=0, Model!$B$19, 0 )</f>
        <v>0</v>
      </c>
      <c r="AE1186" s="50">
        <f>IF(AE1185+AB1185-AB1186&lt;Model!$B$19*Model!$B$18, AE1185+AB1185-AB1186,  0)</f>
        <v>443.63457370611354</v>
      </c>
      <c r="AF1186" s="15">
        <f t="shared" si="390"/>
        <v>1</v>
      </c>
      <c r="AG1186" s="50">
        <f t="shared" si="391"/>
        <v>0</v>
      </c>
    </row>
    <row r="1187" spans="2:33" x14ac:dyDescent="0.25">
      <c r="B1187" s="13">
        <f t="shared" si="392"/>
        <v>1</v>
      </c>
      <c r="C1187" s="13">
        <f>B1187+Model!$B$4</f>
        <v>3</v>
      </c>
      <c r="D1187" s="13">
        <f t="shared" si="393"/>
        <v>1</v>
      </c>
      <c r="E1187" s="13">
        <f t="shared" ref="E1187:E1250" si="399">C1187-24*(D1187-1)</f>
        <v>3</v>
      </c>
      <c r="F1187" s="14">
        <f>IF(AB1187&gt;0, VLOOKUP(B1187,Model!$A$40:$B$60, 2), 0)</f>
        <v>0</v>
      </c>
      <c r="G1187" s="13">
        <f>IF(AB1187&gt;0, VLOOKUP(B1187,Model!$A$39:$C$58, 3), 0)</f>
        <v>0</v>
      </c>
      <c r="H1187" s="13">
        <f t="shared" si="382"/>
        <v>0</v>
      </c>
      <c r="I1187" s="46">
        <f>Model!$B$21*EXP((-0.029*9.81*F1187)/(8.31*(273+J1187)))</f>
        <v>104500</v>
      </c>
      <c r="J1187" s="13">
        <f>IF(Model!$B$31="Summer",  IF(F1187&lt;=2000,  Model!$B$20-Model!$B$35*F1187/1000,  IF(F1187&lt;Model!$B$36,  Model!$B$33-6.5*F1187/1000,  Model!$B$38)),     IF(F1187&lt;=2000,  Model!$B$20-Model!$B$35*F1187/1000,  IF(F1187&lt;Model!$B$36,  Model!$B$33-5.4*F1187/1000,   Model!$B$38)))</f>
        <v>-20</v>
      </c>
      <c r="K1187" s="13">
        <f t="shared" si="395"/>
        <v>253</v>
      </c>
      <c r="L1187" s="46">
        <f>IF(AB1186-AA1186*(B1187-B1186)&gt;0, L1186-Y1186*(B1187-B1186)*3600-AD1187*Model!$B$16, 0)</f>
        <v>0</v>
      </c>
      <c r="M1187" s="57">
        <f t="shared" si="383"/>
        <v>0</v>
      </c>
      <c r="N1187" s="57">
        <f>Model!$B$13*I1187*K1187/(Model!$B$13*I1187-L1187*287*K1187)</f>
        <v>253</v>
      </c>
      <c r="O1187" s="57">
        <f t="shared" si="384"/>
        <v>253</v>
      </c>
      <c r="P1187" s="57">
        <f t="shared" si="385"/>
        <v>-10</v>
      </c>
      <c r="Q1187" s="63">
        <f t="shared" si="396"/>
        <v>2.2579999999999999E-2</v>
      </c>
      <c r="R1187" s="17">
        <f t="shared" si="397"/>
        <v>1.152E-5</v>
      </c>
      <c r="S1187" s="46">
        <f>0.37*Model!$B$10*(Q1187^2*(N1187-K1187)*I1187/(R1187*O1187^2))^0.33333*(N1187-K1187)</f>
        <v>0</v>
      </c>
      <c r="T1187" s="51">
        <f>Model!$B$32+(90-Model!$B$6)*SIN(RADIANS(-15*(E1187+6)))</f>
        <v>-31.619472402513487</v>
      </c>
      <c r="U1187" s="46">
        <f t="shared" si="386"/>
        <v>0</v>
      </c>
      <c r="V1187" s="51">
        <f t="shared" si="387"/>
        <v>99999</v>
      </c>
      <c r="W1187" s="46">
        <f t="shared" si="388"/>
        <v>0</v>
      </c>
      <c r="X1187" s="46">
        <f>0.3*W1187*Model!$B$9</f>
        <v>0</v>
      </c>
      <c r="Y1187" s="17">
        <f>(S1187-X1187)/Model!$B$11</f>
        <v>0</v>
      </c>
      <c r="Z1187" s="46" t="e">
        <f t="shared" si="389"/>
        <v>#DIV/0!</v>
      </c>
      <c r="AA1187" s="57">
        <f>Y1187/Model!$B$12*3600</f>
        <v>0</v>
      </c>
      <c r="AB1187" s="51">
        <f t="shared" si="394"/>
        <v>0</v>
      </c>
      <c r="AC1187" s="51">
        <f t="shared" si="398"/>
        <v>1800</v>
      </c>
      <c r="AD1187" s="13">
        <f>IF(AE1187=0, Model!$B$19, 0 )</f>
        <v>0</v>
      </c>
      <c r="AE1187" s="51">
        <f>IF(AE1186+AB1186-AB1187&lt;Model!$B$19*Model!$B$18, AE1186+AB1186-AB1187,  0)</f>
        <v>443.63457370611354</v>
      </c>
      <c r="AF1187" s="13">
        <f t="shared" si="390"/>
        <v>1</v>
      </c>
      <c r="AG1187" s="50">
        <f t="shared" si="391"/>
        <v>0</v>
      </c>
    </row>
    <row r="1188" spans="2:33" x14ac:dyDescent="0.25">
      <c r="B1188" s="15">
        <f t="shared" si="392"/>
        <v>1</v>
      </c>
      <c r="C1188" s="15">
        <f>B1188+Model!$B$4</f>
        <v>3</v>
      </c>
      <c r="D1188" s="15">
        <f t="shared" si="393"/>
        <v>1</v>
      </c>
      <c r="E1188" s="15">
        <f t="shared" si="399"/>
        <v>3</v>
      </c>
      <c r="F1188" s="16">
        <f>IF(AB1188&gt;0, VLOOKUP(B1188,Model!$A$40:$B$60, 2), 0)</f>
        <v>0</v>
      </c>
      <c r="G1188" s="15">
        <f>IF(AB1188&gt;0, VLOOKUP(B1188,Model!$A$39:$C$58, 3), 0)</f>
        <v>0</v>
      </c>
      <c r="H1188" s="15">
        <f t="shared" si="382"/>
        <v>0</v>
      </c>
      <c r="I1188" s="45">
        <f>Model!$B$21*EXP((-0.029*9.81*F1188)/(8.31*(273+J1188)))</f>
        <v>104500</v>
      </c>
      <c r="J1188" s="15">
        <f>IF(Model!$B$31="Summer",  IF(F1188&lt;=2000,  Model!$B$20-Model!$B$35*F1188/1000,  IF(F1188&lt;Model!$B$36,  Model!$B$33-6.5*F1188/1000,  Model!$B$38)),     IF(F1188&lt;=2000,  Model!$B$20-Model!$B$35*F1188/1000,  IF(F1188&lt;Model!$B$36,  Model!$B$33-5.4*F1188/1000,   Model!$B$38)))</f>
        <v>-20</v>
      </c>
      <c r="K1188" s="15">
        <f t="shared" si="395"/>
        <v>253</v>
      </c>
      <c r="L1188" s="45">
        <f>IF(AB1187-AA1187*(B1188-B1187)&gt;0, L1187-Y1187*(B1188-B1187)*3600-AD1188*Model!$B$16, 0)</f>
        <v>0</v>
      </c>
      <c r="M1188" s="56">
        <f t="shared" si="383"/>
        <v>0</v>
      </c>
      <c r="N1188" s="56">
        <f>Model!$B$13*I1188*K1188/(Model!$B$13*I1188-L1188*287*K1188)</f>
        <v>253</v>
      </c>
      <c r="O1188" s="56">
        <f t="shared" si="384"/>
        <v>253</v>
      </c>
      <c r="P1188" s="56">
        <f t="shared" si="385"/>
        <v>-10</v>
      </c>
      <c r="Q1188" s="62">
        <f t="shared" si="396"/>
        <v>2.2579999999999999E-2</v>
      </c>
      <c r="R1188" s="33">
        <f t="shared" si="397"/>
        <v>1.152E-5</v>
      </c>
      <c r="S1188" s="45">
        <f>0.37*Model!$B$10*(Q1188^2*(N1188-K1188)*I1188/(R1188*O1188^2))^0.33333*(N1188-K1188)</f>
        <v>0</v>
      </c>
      <c r="T1188" s="50">
        <f>Model!$B$32+(90-Model!$B$6)*SIN(RADIANS(-15*(E1188+6)))</f>
        <v>-31.619472402513487</v>
      </c>
      <c r="U1188" s="45">
        <f t="shared" si="386"/>
        <v>0</v>
      </c>
      <c r="V1188" s="50">
        <f t="shared" si="387"/>
        <v>99999</v>
      </c>
      <c r="W1188" s="45">
        <f t="shared" si="388"/>
        <v>0</v>
      </c>
      <c r="X1188" s="45">
        <f>0.3*W1188*Model!$B$9</f>
        <v>0</v>
      </c>
      <c r="Y1188" s="33">
        <f>(S1188-X1188)/Model!$B$11</f>
        <v>0</v>
      </c>
      <c r="Z1188" s="45" t="e">
        <f t="shared" si="389"/>
        <v>#DIV/0!</v>
      </c>
      <c r="AA1188" s="56">
        <f>Y1188/Model!$B$12*3600</f>
        <v>0</v>
      </c>
      <c r="AB1188" s="50">
        <f t="shared" si="394"/>
        <v>0</v>
      </c>
      <c r="AC1188" s="50">
        <f t="shared" si="398"/>
        <v>1800</v>
      </c>
      <c r="AD1188" s="15">
        <f>IF(AE1188=0, Model!$B$19, 0 )</f>
        <v>0</v>
      </c>
      <c r="AE1188" s="50">
        <f>IF(AE1187+AB1187-AB1188&lt;Model!$B$19*Model!$B$18, AE1187+AB1187-AB1188,  0)</f>
        <v>443.63457370611354</v>
      </c>
      <c r="AF1188" s="15">
        <f t="shared" si="390"/>
        <v>1</v>
      </c>
      <c r="AG1188" s="50">
        <f t="shared" si="391"/>
        <v>0</v>
      </c>
    </row>
    <row r="1189" spans="2:33" x14ac:dyDescent="0.25">
      <c r="B1189" s="13">
        <f t="shared" si="392"/>
        <v>1</v>
      </c>
      <c r="C1189" s="13">
        <f>B1189+Model!$B$4</f>
        <v>3</v>
      </c>
      <c r="D1189" s="13">
        <f t="shared" si="393"/>
        <v>1</v>
      </c>
      <c r="E1189" s="13">
        <f t="shared" si="399"/>
        <v>3</v>
      </c>
      <c r="F1189" s="14">
        <f>IF(AB1189&gt;0, VLOOKUP(B1189,Model!$A$40:$B$60, 2), 0)</f>
        <v>0</v>
      </c>
      <c r="G1189" s="13">
        <f>IF(AB1189&gt;0, VLOOKUP(B1189,Model!$A$39:$C$58, 3), 0)</f>
        <v>0</v>
      </c>
      <c r="H1189" s="13">
        <f t="shared" si="382"/>
        <v>0</v>
      </c>
      <c r="I1189" s="46">
        <f>Model!$B$21*EXP((-0.029*9.81*F1189)/(8.31*(273+J1189)))</f>
        <v>104500</v>
      </c>
      <c r="J1189" s="13">
        <f>IF(Model!$B$31="Summer",  IF(F1189&lt;=2000,  Model!$B$20-Model!$B$35*F1189/1000,  IF(F1189&lt;Model!$B$36,  Model!$B$33-6.5*F1189/1000,  Model!$B$38)),     IF(F1189&lt;=2000,  Model!$B$20-Model!$B$35*F1189/1000,  IF(F1189&lt;Model!$B$36,  Model!$B$33-5.4*F1189/1000,   Model!$B$38)))</f>
        <v>-20</v>
      </c>
      <c r="K1189" s="13">
        <f t="shared" si="395"/>
        <v>253</v>
      </c>
      <c r="L1189" s="46">
        <f>IF(AB1188-AA1188*(B1189-B1188)&gt;0, L1188-Y1188*(B1189-B1188)*3600-AD1189*Model!$B$16, 0)</f>
        <v>0</v>
      </c>
      <c r="M1189" s="57">
        <f t="shared" si="383"/>
        <v>0</v>
      </c>
      <c r="N1189" s="57">
        <f>Model!$B$13*I1189*K1189/(Model!$B$13*I1189-L1189*287*K1189)</f>
        <v>253</v>
      </c>
      <c r="O1189" s="57">
        <f t="shared" si="384"/>
        <v>253</v>
      </c>
      <c r="P1189" s="57">
        <f t="shared" si="385"/>
        <v>-10</v>
      </c>
      <c r="Q1189" s="63">
        <f t="shared" si="396"/>
        <v>2.2579999999999999E-2</v>
      </c>
      <c r="R1189" s="17">
        <f t="shared" si="397"/>
        <v>1.152E-5</v>
      </c>
      <c r="S1189" s="46">
        <f>0.37*Model!$B$10*(Q1189^2*(N1189-K1189)*I1189/(R1189*O1189^2))^0.33333*(N1189-K1189)</f>
        <v>0</v>
      </c>
      <c r="T1189" s="51">
        <f>Model!$B$32+(90-Model!$B$6)*SIN(RADIANS(-15*(E1189+6)))</f>
        <v>-31.619472402513487</v>
      </c>
      <c r="U1189" s="46">
        <f t="shared" si="386"/>
        <v>0</v>
      </c>
      <c r="V1189" s="51">
        <f t="shared" si="387"/>
        <v>99999</v>
      </c>
      <c r="W1189" s="46">
        <f t="shared" si="388"/>
        <v>0</v>
      </c>
      <c r="X1189" s="46">
        <f>0.3*W1189*Model!$B$9</f>
        <v>0</v>
      </c>
      <c r="Y1189" s="17">
        <f>(S1189-X1189)/Model!$B$11</f>
        <v>0</v>
      </c>
      <c r="Z1189" s="46" t="e">
        <f t="shared" si="389"/>
        <v>#DIV/0!</v>
      </c>
      <c r="AA1189" s="57">
        <f>Y1189/Model!$B$12*3600</f>
        <v>0</v>
      </c>
      <c r="AB1189" s="51">
        <f t="shared" si="394"/>
        <v>0</v>
      </c>
      <c r="AC1189" s="51">
        <f t="shared" si="398"/>
        <v>1800</v>
      </c>
      <c r="AD1189" s="13">
        <f>IF(AE1189=0, Model!$B$19, 0 )</f>
        <v>0</v>
      </c>
      <c r="AE1189" s="51">
        <f>IF(AE1188+AB1188-AB1189&lt;Model!$B$19*Model!$B$18, AE1188+AB1188-AB1189,  0)</f>
        <v>443.63457370611354</v>
      </c>
      <c r="AF1189" s="13">
        <f t="shared" si="390"/>
        <v>1</v>
      </c>
      <c r="AG1189" s="50">
        <f t="shared" si="391"/>
        <v>0</v>
      </c>
    </row>
    <row r="1190" spans="2:33" x14ac:dyDescent="0.25">
      <c r="B1190" s="15">
        <f t="shared" si="392"/>
        <v>1</v>
      </c>
      <c r="C1190" s="15">
        <f>B1190+Model!$B$4</f>
        <v>3</v>
      </c>
      <c r="D1190" s="15">
        <f t="shared" si="393"/>
        <v>1</v>
      </c>
      <c r="E1190" s="15">
        <f t="shared" si="399"/>
        <v>3</v>
      </c>
      <c r="F1190" s="16">
        <f>IF(AB1190&gt;0, VLOOKUP(B1190,Model!$A$40:$B$60, 2), 0)</f>
        <v>0</v>
      </c>
      <c r="G1190" s="15">
        <f>IF(AB1190&gt;0, VLOOKUP(B1190,Model!$A$39:$C$58, 3), 0)</f>
        <v>0</v>
      </c>
      <c r="H1190" s="15">
        <f t="shared" si="382"/>
        <v>0</v>
      </c>
      <c r="I1190" s="45">
        <f>Model!$B$21*EXP((-0.029*9.81*F1190)/(8.31*(273+J1190)))</f>
        <v>104500</v>
      </c>
      <c r="J1190" s="15">
        <f>IF(Model!$B$31="Summer",  IF(F1190&lt;=2000,  Model!$B$20-Model!$B$35*F1190/1000,  IF(F1190&lt;Model!$B$36,  Model!$B$33-6.5*F1190/1000,  Model!$B$38)),     IF(F1190&lt;=2000,  Model!$B$20-Model!$B$35*F1190/1000,  IF(F1190&lt;Model!$B$36,  Model!$B$33-5.4*F1190/1000,   Model!$B$38)))</f>
        <v>-20</v>
      </c>
      <c r="K1190" s="15">
        <f t="shared" si="395"/>
        <v>253</v>
      </c>
      <c r="L1190" s="45">
        <f>IF(AB1189-AA1189*(B1190-B1189)&gt;0, L1189-Y1189*(B1190-B1189)*3600-AD1190*Model!$B$16, 0)</f>
        <v>0</v>
      </c>
      <c r="M1190" s="56">
        <f t="shared" si="383"/>
        <v>0</v>
      </c>
      <c r="N1190" s="56">
        <f>Model!$B$13*I1190*K1190/(Model!$B$13*I1190-L1190*287*K1190)</f>
        <v>253</v>
      </c>
      <c r="O1190" s="56">
        <f t="shared" si="384"/>
        <v>253</v>
      </c>
      <c r="P1190" s="56">
        <f t="shared" si="385"/>
        <v>-10</v>
      </c>
      <c r="Q1190" s="62">
        <f t="shared" si="396"/>
        <v>2.2579999999999999E-2</v>
      </c>
      <c r="R1190" s="33">
        <f t="shared" si="397"/>
        <v>1.152E-5</v>
      </c>
      <c r="S1190" s="45">
        <f>0.37*Model!$B$10*(Q1190^2*(N1190-K1190)*I1190/(R1190*O1190^2))^0.33333*(N1190-K1190)</f>
        <v>0</v>
      </c>
      <c r="T1190" s="50">
        <f>Model!$B$32+(90-Model!$B$6)*SIN(RADIANS(-15*(E1190+6)))</f>
        <v>-31.619472402513487</v>
      </c>
      <c r="U1190" s="45">
        <f t="shared" si="386"/>
        <v>0</v>
      </c>
      <c r="V1190" s="50">
        <f t="shared" si="387"/>
        <v>99999</v>
      </c>
      <c r="W1190" s="45">
        <f t="shared" si="388"/>
        <v>0</v>
      </c>
      <c r="X1190" s="45">
        <f>0.3*W1190*Model!$B$9</f>
        <v>0</v>
      </c>
      <c r="Y1190" s="33">
        <f>(S1190-X1190)/Model!$B$11</f>
        <v>0</v>
      </c>
      <c r="Z1190" s="45" t="e">
        <f t="shared" si="389"/>
        <v>#DIV/0!</v>
      </c>
      <c r="AA1190" s="56">
        <f>Y1190/Model!$B$12*3600</f>
        <v>0</v>
      </c>
      <c r="AB1190" s="50">
        <f t="shared" si="394"/>
        <v>0</v>
      </c>
      <c r="AC1190" s="50">
        <f t="shared" si="398"/>
        <v>1800</v>
      </c>
      <c r="AD1190" s="15">
        <f>IF(AE1190=0, Model!$B$19, 0 )</f>
        <v>0</v>
      </c>
      <c r="AE1190" s="50">
        <f>IF(AE1189+AB1189-AB1190&lt;Model!$B$19*Model!$B$18, AE1189+AB1189-AB1190,  0)</f>
        <v>443.63457370611354</v>
      </c>
      <c r="AF1190" s="15">
        <f t="shared" si="390"/>
        <v>1</v>
      </c>
      <c r="AG1190" s="50">
        <f t="shared" si="391"/>
        <v>0</v>
      </c>
    </row>
    <row r="1191" spans="2:33" x14ac:dyDescent="0.25">
      <c r="B1191" s="13">
        <f t="shared" si="392"/>
        <v>1</v>
      </c>
      <c r="C1191" s="13">
        <f>B1191+Model!$B$4</f>
        <v>3</v>
      </c>
      <c r="D1191" s="13">
        <f t="shared" si="393"/>
        <v>1</v>
      </c>
      <c r="E1191" s="13">
        <f t="shared" si="399"/>
        <v>3</v>
      </c>
      <c r="F1191" s="14">
        <f>IF(AB1191&gt;0, VLOOKUP(B1191,Model!$A$40:$B$60, 2), 0)</f>
        <v>0</v>
      </c>
      <c r="G1191" s="13">
        <f>IF(AB1191&gt;0, VLOOKUP(B1191,Model!$A$39:$C$58, 3), 0)</f>
        <v>0</v>
      </c>
      <c r="H1191" s="13">
        <f t="shared" si="382"/>
        <v>0</v>
      </c>
      <c r="I1191" s="46">
        <f>Model!$B$21*EXP((-0.029*9.81*F1191)/(8.31*(273+J1191)))</f>
        <v>104500</v>
      </c>
      <c r="J1191" s="13">
        <f>IF(Model!$B$31="Summer",  IF(F1191&lt;=2000,  Model!$B$20-Model!$B$35*F1191/1000,  IF(F1191&lt;Model!$B$36,  Model!$B$33-6.5*F1191/1000,  Model!$B$38)),     IF(F1191&lt;=2000,  Model!$B$20-Model!$B$35*F1191/1000,  IF(F1191&lt;Model!$B$36,  Model!$B$33-5.4*F1191/1000,   Model!$B$38)))</f>
        <v>-20</v>
      </c>
      <c r="K1191" s="13">
        <f t="shared" si="395"/>
        <v>253</v>
      </c>
      <c r="L1191" s="46">
        <f>IF(AB1190-AA1190*(B1191-B1190)&gt;0, L1190-Y1190*(B1191-B1190)*3600-AD1191*Model!$B$16, 0)</f>
        <v>0</v>
      </c>
      <c r="M1191" s="57">
        <f t="shared" si="383"/>
        <v>0</v>
      </c>
      <c r="N1191" s="57">
        <f>Model!$B$13*I1191*K1191/(Model!$B$13*I1191-L1191*287*K1191)</f>
        <v>253</v>
      </c>
      <c r="O1191" s="57">
        <f t="shared" si="384"/>
        <v>253</v>
      </c>
      <c r="P1191" s="57">
        <f t="shared" si="385"/>
        <v>-10</v>
      </c>
      <c r="Q1191" s="63">
        <f t="shared" si="396"/>
        <v>2.2579999999999999E-2</v>
      </c>
      <c r="R1191" s="17">
        <f t="shared" si="397"/>
        <v>1.152E-5</v>
      </c>
      <c r="S1191" s="46">
        <f>0.37*Model!$B$10*(Q1191^2*(N1191-K1191)*I1191/(R1191*O1191^2))^0.33333*(N1191-K1191)</f>
        <v>0</v>
      </c>
      <c r="T1191" s="51">
        <f>Model!$B$32+(90-Model!$B$6)*SIN(RADIANS(-15*(E1191+6)))</f>
        <v>-31.619472402513487</v>
      </c>
      <c r="U1191" s="46">
        <f t="shared" si="386"/>
        <v>0</v>
      </c>
      <c r="V1191" s="51">
        <f t="shared" si="387"/>
        <v>99999</v>
      </c>
      <c r="W1191" s="46">
        <f t="shared" si="388"/>
        <v>0</v>
      </c>
      <c r="X1191" s="46">
        <f>0.3*W1191*Model!$B$9</f>
        <v>0</v>
      </c>
      <c r="Y1191" s="17">
        <f>(S1191-X1191)/Model!$B$11</f>
        <v>0</v>
      </c>
      <c r="Z1191" s="46" t="e">
        <f t="shared" si="389"/>
        <v>#DIV/0!</v>
      </c>
      <c r="AA1191" s="57">
        <f>Y1191/Model!$B$12*3600</f>
        <v>0</v>
      </c>
      <c r="AB1191" s="51">
        <f t="shared" si="394"/>
        <v>0</v>
      </c>
      <c r="AC1191" s="51">
        <f t="shared" si="398"/>
        <v>1800</v>
      </c>
      <c r="AD1191" s="13">
        <f>IF(AE1191=0, Model!$B$19, 0 )</f>
        <v>0</v>
      </c>
      <c r="AE1191" s="51">
        <f>IF(AE1190+AB1190-AB1191&lt;Model!$B$19*Model!$B$18, AE1190+AB1190-AB1191,  0)</f>
        <v>443.63457370611354</v>
      </c>
      <c r="AF1191" s="13">
        <f t="shared" si="390"/>
        <v>1</v>
      </c>
      <c r="AG1191" s="50">
        <f t="shared" si="391"/>
        <v>0</v>
      </c>
    </row>
    <row r="1192" spans="2:33" x14ac:dyDescent="0.25">
      <c r="B1192" s="15">
        <f t="shared" si="392"/>
        <v>1</v>
      </c>
      <c r="C1192" s="15">
        <f>B1192+Model!$B$4</f>
        <v>3</v>
      </c>
      <c r="D1192" s="15">
        <f t="shared" si="393"/>
        <v>1</v>
      </c>
      <c r="E1192" s="15">
        <f t="shared" si="399"/>
        <v>3</v>
      </c>
      <c r="F1192" s="16">
        <f>IF(AB1192&gt;0, VLOOKUP(B1192,Model!$A$40:$B$60, 2), 0)</f>
        <v>0</v>
      </c>
      <c r="G1192" s="15">
        <f>IF(AB1192&gt;0, VLOOKUP(B1192,Model!$A$39:$C$58, 3), 0)</f>
        <v>0</v>
      </c>
      <c r="H1192" s="15">
        <f t="shared" si="382"/>
        <v>0</v>
      </c>
      <c r="I1192" s="45">
        <f>Model!$B$21*EXP((-0.029*9.81*F1192)/(8.31*(273+J1192)))</f>
        <v>104500</v>
      </c>
      <c r="J1192" s="15">
        <f>IF(Model!$B$31="Summer",  IF(F1192&lt;=2000,  Model!$B$20-Model!$B$35*F1192/1000,  IF(F1192&lt;Model!$B$36,  Model!$B$33-6.5*F1192/1000,  Model!$B$38)),     IF(F1192&lt;=2000,  Model!$B$20-Model!$B$35*F1192/1000,  IF(F1192&lt;Model!$B$36,  Model!$B$33-5.4*F1192/1000,   Model!$B$38)))</f>
        <v>-20</v>
      </c>
      <c r="K1192" s="15">
        <f t="shared" si="395"/>
        <v>253</v>
      </c>
      <c r="L1192" s="45">
        <f>IF(AB1191-AA1191*(B1192-B1191)&gt;0, L1191-Y1191*(B1192-B1191)*3600-AD1192*Model!$B$16, 0)</f>
        <v>0</v>
      </c>
      <c r="M1192" s="56">
        <f t="shared" si="383"/>
        <v>0</v>
      </c>
      <c r="N1192" s="56">
        <f>Model!$B$13*I1192*K1192/(Model!$B$13*I1192-L1192*287*K1192)</f>
        <v>253</v>
      </c>
      <c r="O1192" s="56">
        <f t="shared" si="384"/>
        <v>253</v>
      </c>
      <c r="P1192" s="56">
        <f t="shared" si="385"/>
        <v>-10</v>
      </c>
      <c r="Q1192" s="62">
        <f t="shared" si="396"/>
        <v>2.2579999999999999E-2</v>
      </c>
      <c r="R1192" s="33">
        <f t="shared" si="397"/>
        <v>1.152E-5</v>
      </c>
      <c r="S1192" s="45">
        <f>0.37*Model!$B$10*(Q1192^2*(N1192-K1192)*I1192/(R1192*O1192^2))^0.33333*(N1192-K1192)</f>
        <v>0</v>
      </c>
      <c r="T1192" s="50">
        <f>Model!$B$32+(90-Model!$B$6)*SIN(RADIANS(-15*(E1192+6)))</f>
        <v>-31.619472402513487</v>
      </c>
      <c r="U1192" s="45">
        <f t="shared" si="386"/>
        <v>0</v>
      </c>
      <c r="V1192" s="50">
        <f t="shared" si="387"/>
        <v>99999</v>
      </c>
      <c r="W1192" s="45">
        <f t="shared" si="388"/>
        <v>0</v>
      </c>
      <c r="X1192" s="45">
        <f>0.3*W1192*Model!$B$9</f>
        <v>0</v>
      </c>
      <c r="Y1192" s="33">
        <f>(S1192-X1192)/Model!$B$11</f>
        <v>0</v>
      </c>
      <c r="Z1192" s="45" t="e">
        <f t="shared" si="389"/>
        <v>#DIV/0!</v>
      </c>
      <c r="AA1192" s="56">
        <f>Y1192/Model!$B$12*3600</f>
        <v>0</v>
      </c>
      <c r="AB1192" s="50">
        <f t="shared" si="394"/>
        <v>0</v>
      </c>
      <c r="AC1192" s="50">
        <f t="shared" si="398"/>
        <v>1800</v>
      </c>
      <c r="AD1192" s="15">
        <f>IF(AE1192=0, Model!$B$19, 0 )</f>
        <v>0</v>
      </c>
      <c r="AE1192" s="50">
        <f>IF(AE1191+AB1191-AB1192&lt;Model!$B$19*Model!$B$18, AE1191+AB1191-AB1192,  0)</f>
        <v>443.63457370611354</v>
      </c>
      <c r="AF1192" s="15">
        <f t="shared" si="390"/>
        <v>1</v>
      </c>
      <c r="AG1192" s="50">
        <f t="shared" si="391"/>
        <v>0</v>
      </c>
    </row>
    <row r="1193" spans="2:33" x14ac:dyDescent="0.25">
      <c r="B1193" s="13">
        <f t="shared" si="392"/>
        <v>1</v>
      </c>
      <c r="C1193" s="13">
        <f>B1193+Model!$B$4</f>
        <v>3</v>
      </c>
      <c r="D1193" s="13">
        <f t="shared" si="393"/>
        <v>1</v>
      </c>
      <c r="E1193" s="13">
        <f t="shared" si="399"/>
        <v>3</v>
      </c>
      <c r="F1193" s="14">
        <f>IF(AB1193&gt;0, VLOOKUP(B1193,Model!$A$40:$B$60, 2), 0)</f>
        <v>0</v>
      </c>
      <c r="G1193" s="13">
        <f>IF(AB1193&gt;0, VLOOKUP(B1193,Model!$A$39:$C$58, 3), 0)</f>
        <v>0</v>
      </c>
      <c r="H1193" s="13">
        <f t="shared" si="382"/>
        <v>0</v>
      </c>
      <c r="I1193" s="46">
        <f>Model!$B$21*EXP((-0.029*9.81*F1193)/(8.31*(273+J1193)))</f>
        <v>104500</v>
      </c>
      <c r="J1193" s="13">
        <f>IF(Model!$B$31="Summer",  IF(F1193&lt;=2000,  Model!$B$20-Model!$B$35*F1193/1000,  IF(F1193&lt;Model!$B$36,  Model!$B$33-6.5*F1193/1000,  Model!$B$38)),     IF(F1193&lt;=2000,  Model!$B$20-Model!$B$35*F1193/1000,  IF(F1193&lt;Model!$B$36,  Model!$B$33-5.4*F1193/1000,   Model!$B$38)))</f>
        <v>-20</v>
      </c>
      <c r="K1193" s="13">
        <f t="shared" si="395"/>
        <v>253</v>
      </c>
      <c r="L1193" s="46">
        <f>IF(AB1192-AA1192*(B1193-B1192)&gt;0, L1192-Y1192*(B1193-B1192)*3600-AD1193*Model!$B$16, 0)</f>
        <v>0</v>
      </c>
      <c r="M1193" s="57">
        <f t="shared" si="383"/>
        <v>0</v>
      </c>
      <c r="N1193" s="57">
        <f>Model!$B$13*I1193*K1193/(Model!$B$13*I1193-L1193*287*K1193)</f>
        <v>253</v>
      </c>
      <c r="O1193" s="57">
        <f t="shared" si="384"/>
        <v>253</v>
      </c>
      <c r="P1193" s="57">
        <f t="shared" si="385"/>
        <v>-10</v>
      </c>
      <c r="Q1193" s="63">
        <f t="shared" si="396"/>
        <v>2.2579999999999999E-2</v>
      </c>
      <c r="R1193" s="17">
        <f t="shared" si="397"/>
        <v>1.152E-5</v>
      </c>
      <c r="S1193" s="46">
        <f>0.37*Model!$B$10*(Q1193^2*(N1193-K1193)*I1193/(R1193*O1193^2))^0.33333*(N1193-K1193)</f>
        <v>0</v>
      </c>
      <c r="T1193" s="51">
        <f>Model!$B$32+(90-Model!$B$6)*SIN(RADIANS(-15*(E1193+6)))</f>
        <v>-31.619472402513487</v>
      </c>
      <c r="U1193" s="46">
        <f t="shared" si="386"/>
        <v>0</v>
      </c>
      <c r="V1193" s="51">
        <f t="shared" si="387"/>
        <v>99999</v>
      </c>
      <c r="W1193" s="46">
        <f t="shared" si="388"/>
        <v>0</v>
      </c>
      <c r="X1193" s="46">
        <f>0.3*W1193*Model!$B$9</f>
        <v>0</v>
      </c>
      <c r="Y1193" s="17">
        <f>(S1193-X1193)/Model!$B$11</f>
        <v>0</v>
      </c>
      <c r="Z1193" s="46" t="e">
        <f t="shared" si="389"/>
        <v>#DIV/0!</v>
      </c>
      <c r="AA1193" s="57">
        <f>Y1193/Model!$B$12*3600</f>
        <v>0</v>
      </c>
      <c r="AB1193" s="51">
        <f t="shared" si="394"/>
        <v>0</v>
      </c>
      <c r="AC1193" s="51">
        <f t="shared" si="398"/>
        <v>1800</v>
      </c>
      <c r="AD1193" s="13">
        <f>IF(AE1193=0, Model!$B$19, 0 )</f>
        <v>0</v>
      </c>
      <c r="AE1193" s="51">
        <f>IF(AE1192+AB1192-AB1193&lt;Model!$B$19*Model!$B$18, AE1192+AB1192-AB1193,  0)</f>
        <v>443.63457370611354</v>
      </c>
      <c r="AF1193" s="13">
        <f t="shared" si="390"/>
        <v>1</v>
      </c>
      <c r="AG1193" s="50">
        <f t="shared" si="391"/>
        <v>0</v>
      </c>
    </row>
    <row r="1194" spans="2:33" x14ac:dyDescent="0.25">
      <c r="B1194" s="15">
        <f t="shared" si="392"/>
        <v>1</v>
      </c>
      <c r="C1194" s="15">
        <f>B1194+Model!$B$4</f>
        <v>3</v>
      </c>
      <c r="D1194" s="15">
        <f t="shared" si="393"/>
        <v>1</v>
      </c>
      <c r="E1194" s="15">
        <f t="shared" si="399"/>
        <v>3</v>
      </c>
      <c r="F1194" s="16">
        <f>IF(AB1194&gt;0, VLOOKUP(B1194,Model!$A$40:$B$60, 2), 0)</f>
        <v>0</v>
      </c>
      <c r="G1194" s="15">
        <f>IF(AB1194&gt;0, VLOOKUP(B1194,Model!$A$39:$C$58, 3), 0)</f>
        <v>0</v>
      </c>
      <c r="H1194" s="15">
        <f t="shared" si="382"/>
        <v>0</v>
      </c>
      <c r="I1194" s="45">
        <f>Model!$B$21*EXP((-0.029*9.81*F1194)/(8.31*(273+J1194)))</f>
        <v>104500</v>
      </c>
      <c r="J1194" s="15">
        <f>IF(Model!$B$31="Summer",  IF(F1194&lt;=2000,  Model!$B$20-Model!$B$35*F1194/1000,  IF(F1194&lt;Model!$B$36,  Model!$B$33-6.5*F1194/1000,  Model!$B$38)),     IF(F1194&lt;=2000,  Model!$B$20-Model!$B$35*F1194/1000,  IF(F1194&lt;Model!$B$36,  Model!$B$33-5.4*F1194/1000,   Model!$B$38)))</f>
        <v>-20</v>
      </c>
      <c r="K1194" s="15">
        <f t="shared" si="395"/>
        <v>253</v>
      </c>
      <c r="L1194" s="45">
        <f>IF(AB1193-AA1193*(B1194-B1193)&gt;0, L1193-Y1193*(B1194-B1193)*3600-AD1194*Model!$B$16, 0)</f>
        <v>0</v>
      </c>
      <c r="M1194" s="56">
        <f t="shared" si="383"/>
        <v>0</v>
      </c>
      <c r="N1194" s="56">
        <f>Model!$B$13*I1194*K1194/(Model!$B$13*I1194-L1194*287*K1194)</f>
        <v>253</v>
      </c>
      <c r="O1194" s="56">
        <f t="shared" si="384"/>
        <v>253</v>
      </c>
      <c r="P1194" s="56">
        <f t="shared" si="385"/>
        <v>-10</v>
      </c>
      <c r="Q1194" s="62">
        <f t="shared" si="396"/>
        <v>2.2579999999999999E-2</v>
      </c>
      <c r="R1194" s="33">
        <f t="shared" si="397"/>
        <v>1.152E-5</v>
      </c>
      <c r="S1194" s="45">
        <f>0.37*Model!$B$10*(Q1194^2*(N1194-K1194)*I1194/(R1194*O1194^2))^0.33333*(N1194-K1194)</f>
        <v>0</v>
      </c>
      <c r="T1194" s="50">
        <f>Model!$B$32+(90-Model!$B$6)*SIN(RADIANS(-15*(E1194+6)))</f>
        <v>-31.619472402513487</v>
      </c>
      <c r="U1194" s="45">
        <f t="shared" si="386"/>
        <v>0</v>
      </c>
      <c r="V1194" s="50">
        <f t="shared" si="387"/>
        <v>99999</v>
      </c>
      <c r="W1194" s="45">
        <f t="shared" si="388"/>
        <v>0</v>
      </c>
      <c r="X1194" s="45">
        <f>0.3*W1194*Model!$B$9</f>
        <v>0</v>
      </c>
      <c r="Y1194" s="33">
        <f>(S1194-X1194)/Model!$B$11</f>
        <v>0</v>
      </c>
      <c r="Z1194" s="45" t="e">
        <f t="shared" si="389"/>
        <v>#DIV/0!</v>
      </c>
      <c r="AA1194" s="56">
        <f>Y1194/Model!$B$12*3600</f>
        <v>0</v>
      </c>
      <c r="AB1194" s="50">
        <f t="shared" si="394"/>
        <v>0</v>
      </c>
      <c r="AC1194" s="50">
        <f t="shared" si="398"/>
        <v>1800</v>
      </c>
      <c r="AD1194" s="15">
        <f>IF(AE1194=0, Model!$B$19, 0 )</f>
        <v>0</v>
      </c>
      <c r="AE1194" s="50">
        <f>IF(AE1193+AB1193-AB1194&lt;Model!$B$19*Model!$B$18, AE1193+AB1193-AB1194,  0)</f>
        <v>443.63457370611354</v>
      </c>
      <c r="AF1194" s="15">
        <f t="shared" si="390"/>
        <v>1</v>
      </c>
      <c r="AG1194" s="50">
        <f t="shared" si="391"/>
        <v>0</v>
      </c>
    </row>
    <row r="1195" spans="2:33" x14ac:dyDescent="0.25">
      <c r="B1195" s="13">
        <f t="shared" si="392"/>
        <v>1</v>
      </c>
      <c r="C1195" s="13">
        <f>B1195+Model!$B$4</f>
        <v>3</v>
      </c>
      <c r="D1195" s="13">
        <f t="shared" si="393"/>
        <v>1</v>
      </c>
      <c r="E1195" s="13">
        <f t="shared" si="399"/>
        <v>3</v>
      </c>
      <c r="F1195" s="14">
        <f>IF(AB1195&gt;0, VLOOKUP(B1195,Model!$A$40:$B$60, 2), 0)</f>
        <v>0</v>
      </c>
      <c r="G1195" s="13">
        <f>IF(AB1195&gt;0, VLOOKUP(B1195,Model!$A$39:$C$58, 3), 0)</f>
        <v>0</v>
      </c>
      <c r="H1195" s="13">
        <f t="shared" si="382"/>
        <v>0</v>
      </c>
      <c r="I1195" s="46">
        <f>Model!$B$21*EXP((-0.029*9.81*F1195)/(8.31*(273+J1195)))</f>
        <v>104500</v>
      </c>
      <c r="J1195" s="13">
        <f>IF(Model!$B$31="Summer",  IF(F1195&lt;=2000,  Model!$B$20-Model!$B$35*F1195/1000,  IF(F1195&lt;Model!$B$36,  Model!$B$33-6.5*F1195/1000,  Model!$B$38)),     IF(F1195&lt;=2000,  Model!$B$20-Model!$B$35*F1195/1000,  IF(F1195&lt;Model!$B$36,  Model!$B$33-5.4*F1195/1000,   Model!$B$38)))</f>
        <v>-20</v>
      </c>
      <c r="K1195" s="13">
        <f t="shared" si="395"/>
        <v>253</v>
      </c>
      <c r="L1195" s="46">
        <f>IF(AB1194-AA1194*(B1195-B1194)&gt;0, L1194-Y1194*(B1195-B1194)*3600-AD1195*Model!$B$16, 0)</f>
        <v>0</v>
      </c>
      <c r="M1195" s="57">
        <f t="shared" si="383"/>
        <v>0</v>
      </c>
      <c r="N1195" s="57">
        <f>Model!$B$13*I1195*K1195/(Model!$B$13*I1195-L1195*287*K1195)</f>
        <v>253</v>
      </c>
      <c r="O1195" s="57">
        <f t="shared" si="384"/>
        <v>253</v>
      </c>
      <c r="P1195" s="57">
        <f t="shared" si="385"/>
        <v>-10</v>
      </c>
      <c r="Q1195" s="63">
        <f t="shared" si="396"/>
        <v>2.2579999999999999E-2</v>
      </c>
      <c r="R1195" s="17">
        <f t="shared" si="397"/>
        <v>1.152E-5</v>
      </c>
      <c r="S1195" s="46">
        <f>0.37*Model!$B$10*(Q1195^2*(N1195-K1195)*I1195/(R1195*O1195^2))^0.33333*(N1195-K1195)</f>
        <v>0</v>
      </c>
      <c r="T1195" s="51">
        <f>Model!$B$32+(90-Model!$B$6)*SIN(RADIANS(-15*(E1195+6)))</f>
        <v>-31.619472402513487</v>
      </c>
      <c r="U1195" s="46">
        <f t="shared" si="386"/>
        <v>0</v>
      </c>
      <c r="V1195" s="51">
        <f t="shared" si="387"/>
        <v>99999</v>
      </c>
      <c r="W1195" s="46">
        <f t="shared" si="388"/>
        <v>0</v>
      </c>
      <c r="X1195" s="46">
        <f>0.3*W1195*Model!$B$9</f>
        <v>0</v>
      </c>
      <c r="Y1195" s="17">
        <f>(S1195-X1195)/Model!$B$11</f>
        <v>0</v>
      </c>
      <c r="Z1195" s="46" t="e">
        <f t="shared" si="389"/>
        <v>#DIV/0!</v>
      </c>
      <c r="AA1195" s="57">
        <f>Y1195/Model!$B$12*3600</f>
        <v>0</v>
      </c>
      <c r="AB1195" s="51">
        <f t="shared" si="394"/>
        <v>0</v>
      </c>
      <c r="AC1195" s="51">
        <f t="shared" si="398"/>
        <v>1800</v>
      </c>
      <c r="AD1195" s="13">
        <f>IF(AE1195=0, Model!$B$19, 0 )</f>
        <v>0</v>
      </c>
      <c r="AE1195" s="51">
        <f>IF(AE1194+AB1194-AB1195&lt;Model!$B$19*Model!$B$18, AE1194+AB1194-AB1195,  0)</f>
        <v>443.63457370611354</v>
      </c>
      <c r="AF1195" s="13">
        <f t="shared" si="390"/>
        <v>1</v>
      </c>
      <c r="AG1195" s="50">
        <f t="shared" si="391"/>
        <v>0</v>
      </c>
    </row>
    <row r="1196" spans="2:33" x14ac:dyDescent="0.25">
      <c r="B1196" s="15">
        <f t="shared" si="392"/>
        <v>1</v>
      </c>
      <c r="C1196" s="15">
        <f>B1196+Model!$B$4</f>
        <v>3</v>
      </c>
      <c r="D1196" s="15">
        <f t="shared" si="393"/>
        <v>1</v>
      </c>
      <c r="E1196" s="15">
        <f t="shared" si="399"/>
        <v>3</v>
      </c>
      <c r="F1196" s="16">
        <f>IF(AB1196&gt;0, VLOOKUP(B1196,Model!$A$40:$B$60, 2), 0)</f>
        <v>0</v>
      </c>
      <c r="G1196" s="15">
        <f>IF(AB1196&gt;0, VLOOKUP(B1196,Model!$A$39:$C$58, 3), 0)</f>
        <v>0</v>
      </c>
      <c r="H1196" s="15">
        <f t="shared" si="382"/>
        <v>0</v>
      </c>
      <c r="I1196" s="45">
        <f>Model!$B$21*EXP((-0.029*9.81*F1196)/(8.31*(273+J1196)))</f>
        <v>104500</v>
      </c>
      <c r="J1196" s="15">
        <f>IF(Model!$B$31="Summer",  IF(F1196&lt;=2000,  Model!$B$20-Model!$B$35*F1196/1000,  IF(F1196&lt;Model!$B$36,  Model!$B$33-6.5*F1196/1000,  Model!$B$38)),     IF(F1196&lt;=2000,  Model!$B$20-Model!$B$35*F1196/1000,  IF(F1196&lt;Model!$B$36,  Model!$B$33-5.4*F1196/1000,   Model!$B$38)))</f>
        <v>-20</v>
      </c>
      <c r="K1196" s="15">
        <f t="shared" si="395"/>
        <v>253</v>
      </c>
      <c r="L1196" s="45">
        <f>IF(AB1195-AA1195*(B1196-B1195)&gt;0, L1195-Y1195*(B1196-B1195)*3600-AD1196*Model!$B$16, 0)</f>
        <v>0</v>
      </c>
      <c r="M1196" s="56">
        <f t="shared" si="383"/>
        <v>0</v>
      </c>
      <c r="N1196" s="56">
        <f>Model!$B$13*I1196*K1196/(Model!$B$13*I1196-L1196*287*K1196)</f>
        <v>253</v>
      </c>
      <c r="O1196" s="56">
        <f t="shared" si="384"/>
        <v>253</v>
      </c>
      <c r="P1196" s="56">
        <f t="shared" si="385"/>
        <v>-10</v>
      </c>
      <c r="Q1196" s="62">
        <f t="shared" si="396"/>
        <v>2.2579999999999999E-2</v>
      </c>
      <c r="R1196" s="33">
        <f t="shared" si="397"/>
        <v>1.152E-5</v>
      </c>
      <c r="S1196" s="45">
        <f>0.37*Model!$B$10*(Q1196^2*(N1196-K1196)*I1196/(R1196*O1196^2))^0.33333*(N1196-K1196)</f>
        <v>0</v>
      </c>
      <c r="T1196" s="50">
        <f>Model!$B$32+(90-Model!$B$6)*SIN(RADIANS(-15*(E1196+6)))</f>
        <v>-31.619472402513487</v>
      </c>
      <c r="U1196" s="45">
        <f t="shared" si="386"/>
        <v>0</v>
      </c>
      <c r="V1196" s="50">
        <f t="shared" si="387"/>
        <v>99999</v>
      </c>
      <c r="W1196" s="45">
        <f t="shared" si="388"/>
        <v>0</v>
      </c>
      <c r="X1196" s="45">
        <f>0.3*W1196*Model!$B$9</f>
        <v>0</v>
      </c>
      <c r="Y1196" s="33">
        <f>(S1196-X1196)/Model!$B$11</f>
        <v>0</v>
      </c>
      <c r="Z1196" s="45" t="e">
        <f t="shared" si="389"/>
        <v>#DIV/0!</v>
      </c>
      <c r="AA1196" s="56">
        <f>Y1196/Model!$B$12*3600</f>
        <v>0</v>
      </c>
      <c r="AB1196" s="50">
        <f t="shared" si="394"/>
        <v>0</v>
      </c>
      <c r="AC1196" s="50">
        <f t="shared" si="398"/>
        <v>1800</v>
      </c>
      <c r="AD1196" s="15">
        <f>IF(AE1196=0, Model!$B$19, 0 )</f>
        <v>0</v>
      </c>
      <c r="AE1196" s="50">
        <f>IF(AE1195+AB1195-AB1196&lt;Model!$B$19*Model!$B$18, AE1195+AB1195-AB1196,  0)</f>
        <v>443.63457370611354</v>
      </c>
      <c r="AF1196" s="15">
        <f t="shared" si="390"/>
        <v>1</v>
      </c>
      <c r="AG1196" s="50">
        <f t="shared" si="391"/>
        <v>0</v>
      </c>
    </row>
    <row r="1197" spans="2:33" x14ac:dyDescent="0.25">
      <c r="B1197" s="13">
        <f t="shared" si="392"/>
        <v>1</v>
      </c>
      <c r="C1197" s="13">
        <f>B1197+Model!$B$4</f>
        <v>3</v>
      </c>
      <c r="D1197" s="13">
        <f t="shared" si="393"/>
        <v>1</v>
      </c>
      <c r="E1197" s="13">
        <f t="shared" si="399"/>
        <v>3</v>
      </c>
      <c r="F1197" s="14">
        <f>IF(AB1197&gt;0, VLOOKUP(B1197,Model!$A$40:$B$60, 2), 0)</f>
        <v>0</v>
      </c>
      <c r="G1197" s="13">
        <f>IF(AB1197&gt;0, VLOOKUP(B1197,Model!$A$39:$C$58, 3), 0)</f>
        <v>0</v>
      </c>
      <c r="H1197" s="13">
        <f t="shared" si="382"/>
        <v>0</v>
      </c>
      <c r="I1197" s="46">
        <f>Model!$B$21*EXP((-0.029*9.81*F1197)/(8.31*(273+J1197)))</f>
        <v>104500</v>
      </c>
      <c r="J1197" s="13">
        <f>IF(Model!$B$31="Summer",  IF(F1197&lt;=2000,  Model!$B$20-Model!$B$35*F1197/1000,  IF(F1197&lt;Model!$B$36,  Model!$B$33-6.5*F1197/1000,  Model!$B$38)),     IF(F1197&lt;=2000,  Model!$B$20-Model!$B$35*F1197/1000,  IF(F1197&lt;Model!$B$36,  Model!$B$33-5.4*F1197/1000,   Model!$B$38)))</f>
        <v>-20</v>
      </c>
      <c r="K1197" s="13">
        <f t="shared" si="395"/>
        <v>253</v>
      </c>
      <c r="L1197" s="46">
        <f>IF(AB1196-AA1196*(B1197-B1196)&gt;0, L1196-Y1196*(B1197-B1196)*3600-AD1197*Model!$B$16, 0)</f>
        <v>0</v>
      </c>
      <c r="M1197" s="57">
        <f t="shared" si="383"/>
        <v>0</v>
      </c>
      <c r="N1197" s="57">
        <f>Model!$B$13*I1197*K1197/(Model!$B$13*I1197-L1197*287*K1197)</f>
        <v>253</v>
      </c>
      <c r="O1197" s="57">
        <f t="shared" si="384"/>
        <v>253</v>
      </c>
      <c r="P1197" s="57">
        <f t="shared" si="385"/>
        <v>-10</v>
      </c>
      <c r="Q1197" s="63">
        <f t="shared" si="396"/>
        <v>2.2579999999999999E-2</v>
      </c>
      <c r="R1197" s="17">
        <f t="shared" si="397"/>
        <v>1.152E-5</v>
      </c>
      <c r="S1197" s="46">
        <f>0.37*Model!$B$10*(Q1197^2*(N1197-K1197)*I1197/(R1197*O1197^2))^0.33333*(N1197-K1197)</f>
        <v>0</v>
      </c>
      <c r="T1197" s="51">
        <f>Model!$B$32+(90-Model!$B$6)*SIN(RADIANS(-15*(E1197+6)))</f>
        <v>-31.619472402513487</v>
      </c>
      <c r="U1197" s="46">
        <f t="shared" si="386"/>
        <v>0</v>
      </c>
      <c r="V1197" s="51">
        <f t="shared" si="387"/>
        <v>99999</v>
      </c>
      <c r="W1197" s="46">
        <f t="shared" si="388"/>
        <v>0</v>
      </c>
      <c r="X1197" s="46">
        <f>0.3*W1197*Model!$B$9</f>
        <v>0</v>
      </c>
      <c r="Y1197" s="17">
        <f>(S1197-X1197)/Model!$B$11</f>
        <v>0</v>
      </c>
      <c r="Z1197" s="46" t="e">
        <f t="shared" si="389"/>
        <v>#DIV/0!</v>
      </c>
      <c r="AA1197" s="57">
        <f>Y1197/Model!$B$12*3600</f>
        <v>0</v>
      </c>
      <c r="AB1197" s="51">
        <f t="shared" si="394"/>
        <v>0</v>
      </c>
      <c r="AC1197" s="51">
        <f t="shared" si="398"/>
        <v>1800</v>
      </c>
      <c r="AD1197" s="13">
        <f>IF(AE1197=0, Model!$B$19, 0 )</f>
        <v>0</v>
      </c>
      <c r="AE1197" s="51">
        <f>IF(AE1196+AB1196-AB1197&lt;Model!$B$19*Model!$B$18, AE1196+AB1196-AB1197,  0)</f>
        <v>443.63457370611354</v>
      </c>
      <c r="AF1197" s="13">
        <f t="shared" si="390"/>
        <v>1</v>
      </c>
      <c r="AG1197" s="50">
        <f t="shared" si="391"/>
        <v>0</v>
      </c>
    </row>
    <row r="1198" spans="2:33" x14ac:dyDescent="0.25">
      <c r="B1198" s="15">
        <f t="shared" si="392"/>
        <v>1</v>
      </c>
      <c r="C1198" s="15">
        <f>B1198+Model!$B$4</f>
        <v>3</v>
      </c>
      <c r="D1198" s="15">
        <f t="shared" si="393"/>
        <v>1</v>
      </c>
      <c r="E1198" s="15">
        <f t="shared" si="399"/>
        <v>3</v>
      </c>
      <c r="F1198" s="16">
        <f>IF(AB1198&gt;0, VLOOKUP(B1198,Model!$A$40:$B$60, 2), 0)</f>
        <v>0</v>
      </c>
      <c r="G1198" s="15">
        <f>IF(AB1198&gt;0, VLOOKUP(B1198,Model!$A$39:$C$58, 3), 0)</f>
        <v>0</v>
      </c>
      <c r="H1198" s="15">
        <f t="shared" si="382"/>
        <v>0</v>
      </c>
      <c r="I1198" s="45">
        <f>Model!$B$21*EXP((-0.029*9.81*F1198)/(8.31*(273+J1198)))</f>
        <v>104500</v>
      </c>
      <c r="J1198" s="15">
        <f>IF(Model!$B$31="Summer",  IF(F1198&lt;=2000,  Model!$B$20-Model!$B$35*F1198/1000,  IF(F1198&lt;Model!$B$36,  Model!$B$33-6.5*F1198/1000,  Model!$B$38)),     IF(F1198&lt;=2000,  Model!$B$20-Model!$B$35*F1198/1000,  IF(F1198&lt;Model!$B$36,  Model!$B$33-5.4*F1198/1000,   Model!$B$38)))</f>
        <v>-20</v>
      </c>
      <c r="K1198" s="15">
        <f t="shared" si="395"/>
        <v>253</v>
      </c>
      <c r="L1198" s="45">
        <f>IF(AB1197-AA1197*(B1198-B1197)&gt;0, L1197-Y1197*(B1198-B1197)*3600-AD1198*Model!$B$16, 0)</f>
        <v>0</v>
      </c>
      <c r="M1198" s="56">
        <f t="shared" si="383"/>
        <v>0</v>
      </c>
      <c r="N1198" s="56">
        <f>Model!$B$13*I1198*K1198/(Model!$B$13*I1198-L1198*287*K1198)</f>
        <v>253</v>
      </c>
      <c r="O1198" s="56">
        <f t="shared" si="384"/>
        <v>253</v>
      </c>
      <c r="P1198" s="56">
        <f t="shared" si="385"/>
        <v>-10</v>
      </c>
      <c r="Q1198" s="62">
        <f t="shared" si="396"/>
        <v>2.2579999999999999E-2</v>
      </c>
      <c r="R1198" s="33">
        <f t="shared" si="397"/>
        <v>1.152E-5</v>
      </c>
      <c r="S1198" s="45">
        <f>0.37*Model!$B$10*(Q1198^2*(N1198-K1198)*I1198/(R1198*O1198^2))^0.33333*(N1198-K1198)</f>
        <v>0</v>
      </c>
      <c r="T1198" s="50">
        <f>Model!$B$32+(90-Model!$B$6)*SIN(RADIANS(-15*(E1198+6)))</f>
        <v>-31.619472402513487</v>
      </c>
      <c r="U1198" s="45">
        <f t="shared" si="386"/>
        <v>0</v>
      </c>
      <c r="V1198" s="50">
        <f t="shared" si="387"/>
        <v>99999</v>
      </c>
      <c r="W1198" s="45">
        <f t="shared" si="388"/>
        <v>0</v>
      </c>
      <c r="X1198" s="45">
        <f>0.3*W1198*Model!$B$9</f>
        <v>0</v>
      </c>
      <c r="Y1198" s="33">
        <f>(S1198-X1198)/Model!$B$11</f>
        <v>0</v>
      </c>
      <c r="Z1198" s="45" t="e">
        <f t="shared" si="389"/>
        <v>#DIV/0!</v>
      </c>
      <c r="AA1198" s="56">
        <f>Y1198/Model!$B$12*3600</f>
        <v>0</v>
      </c>
      <c r="AB1198" s="50">
        <f t="shared" si="394"/>
        <v>0</v>
      </c>
      <c r="AC1198" s="50">
        <f t="shared" si="398"/>
        <v>1800</v>
      </c>
      <c r="AD1198" s="15">
        <f>IF(AE1198=0, Model!$B$19, 0 )</f>
        <v>0</v>
      </c>
      <c r="AE1198" s="50">
        <f>IF(AE1197+AB1197-AB1198&lt;Model!$B$19*Model!$B$18, AE1197+AB1197-AB1198,  0)</f>
        <v>443.63457370611354</v>
      </c>
      <c r="AF1198" s="15">
        <f t="shared" si="390"/>
        <v>1</v>
      </c>
      <c r="AG1198" s="50">
        <f t="shared" si="391"/>
        <v>0</v>
      </c>
    </row>
    <row r="1199" spans="2:33" x14ac:dyDescent="0.25">
      <c r="B1199" s="13">
        <f t="shared" si="392"/>
        <v>1</v>
      </c>
      <c r="C1199" s="13">
        <f>B1199+Model!$B$4</f>
        <v>3</v>
      </c>
      <c r="D1199" s="13">
        <f t="shared" si="393"/>
        <v>1</v>
      </c>
      <c r="E1199" s="13">
        <f t="shared" si="399"/>
        <v>3</v>
      </c>
      <c r="F1199" s="14">
        <f>IF(AB1199&gt;0, VLOOKUP(B1199,Model!$A$40:$B$60, 2), 0)</f>
        <v>0</v>
      </c>
      <c r="G1199" s="13">
        <f>IF(AB1199&gt;0, VLOOKUP(B1199,Model!$A$39:$C$58, 3), 0)</f>
        <v>0</v>
      </c>
      <c r="H1199" s="13">
        <f t="shared" si="382"/>
        <v>0</v>
      </c>
      <c r="I1199" s="46">
        <f>Model!$B$21*EXP((-0.029*9.81*F1199)/(8.31*(273+J1199)))</f>
        <v>104500</v>
      </c>
      <c r="J1199" s="13">
        <f>IF(Model!$B$31="Summer",  IF(F1199&lt;=2000,  Model!$B$20-Model!$B$35*F1199/1000,  IF(F1199&lt;Model!$B$36,  Model!$B$33-6.5*F1199/1000,  Model!$B$38)),     IF(F1199&lt;=2000,  Model!$B$20-Model!$B$35*F1199/1000,  IF(F1199&lt;Model!$B$36,  Model!$B$33-5.4*F1199/1000,   Model!$B$38)))</f>
        <v>-20</v>
      </c>
      <c r="K1199" s="13">
        <f t="shared" si="395"/>
        <v>253</v>
      </c>
      <c r="L1199" s="46">
        <f>IF(AB1198-AA1198*(B1199-B1198)&gt;0, L1198-Y1198*(B1199-B1198)*3600-AD1199*Model!$B$16, 0)</f>
        <v>0</v>
      </c>
      <c r="M1199" s="57">
        <f t="shared" si="383"/>
        <v>0</v>
      </c>
      <c r="N1199" s="57">
        <f>Model!$B$13*I1199*K1199/(Model!$B$13*I1199-L1199*287*K1199)</f>
        <v>253</v>
      </c>
      <c r="O1199" s="57">
        <f t="shared" si="384"/>
        <v>253</v>
      </c>
      <c r="P1199" s="57">
        <f t="shared" si="385"/>
        <v>-10</v>
      </c>
      <c r="Q1199" s="63">
        <f t="shared" si="396"/>
        <v>2.2579999999999999E-2</v>
      </c>
      <c r="R1199" s="17">
        <f t="shared" si="397"/>
        <v>1.152E-5</v>
      </c>
      <c r="S1199" s="46">
        <f>0.37*Model!$B$10*(Q1199^2*(N1199-K1199)*I1199/(R1199*O1199^2))^0.33333*(N1199-K1199)</f>
        <v>0</v>
      </c>
      <c r="T1199" s="51">
        <f>Model!$B$32+(90-Model!$B$6)*SIN(RADIANS(-15*(E1199+6)))</f>
        <v>-31.619472402513487</v>
      </c>
      <c r="U1199" s="46">
        <f t="shared" si="386"/>
        <v>0</v>
      </c>
      <c r="V1199" s="51">
        <f t="shared" si="387"/>
        <v>99999</v>
      </c>
      <c r="W1199" s="46">
        <f t="shared" si="388"/>
        <v>0</v>
      </c>
      <c r="X1199" s="46">
        <f>0.3*W1199*Model!$B$9</f>
        <v>0</v>
      </c>
      <c r="Y1199" s="17">
        <f>(S1199-X1199)/Model!$B$11</f>
        <v>0</v>
      </c>
      <c r="Z1199" s="46" t="e">
        <f t="shared" si="389"/>
        <v>#DIV/0!</v>
      </c>
      <c r="AA1199" s="57">
        <f>Y1199/Model!$B$12*3600</f>
        <v>0</v>
      </c>
      <c r="AB1199" s="51">
        <f t="shared" si="394"/>
        <v>0</v>
      </c>
      <c r="AC1199" s="51">
        <f t="shared" si="398"/>
        <v>1800</v>
      </c>
      <c r="AD1199" s="13">
        <f>IF(AE1199=0, Model!$B$19, 0 )</f>
        <v>0</v>
      </c>
      <c r="AE1199" s="51">
        <f>IF(AE1198+AB1198-AB1199&lt;Model!$B$19*Model!$B$18, AE1198+AB1198-AB1199,  0)</f>
        <v>443.63457370611354</v>
      </c>
      <c r="AF1199" s="13">
        <f t="shared" si="390"/>
        <v>1</v>
      </c>
      <c r="AG1199" s="50">
        <f t="shared" si="391"/>
        <v>0</v>
      </c>
    </row>
    <row r="1200" spans="2:33" x14ac:dyDescent="0.25">
      <c r="B1200" s="15">
        <f t="shared" si="392"/>
        <v>1</v>
      </c>
      <c r="C1200" s="15">
        <f>B1200+Model!$B$4</f>
        <v>3</v>
      </c>
      <c r="D1200" s="15">
        <f t="shared" si="393"/>
        <v>1</v>
      </c>
      <c r="E1200" s="15">
        <f t="shared" si="399"/>
        <v>3</v>
      </c>
      <c r="F1200" s="16">
        <f>IF(AB1200&gt;0, VLOOKUP(B1200,Model!$A$40:$B$60, 2), 0)</f>
        <v>0</v>
      </c>
      <c r="G1200" s="15">
        <f>IF(AB1200&gt;0, VLOOKUP(B1200,Model!$A$39:$C$58, 3), 0)</f>
        <v>0</v>
      </c>
      <c r="H1200" s="15">
        <f t="shared" si="382"/>
        <v>0</v>
      </c>
      <c r="I1200" s="45">
        <f>Model!$B$21*EXP((-0.029*9.81*F1200)/(8.31*(273+J1200)))</f>
        <v>104500</v>
      </c>
      <c r="J1200" s="15">
        <f>IF(Model!$B$31="Summer",  IF(F1200&lt;=2000,  Model!$B$20-Model!$B$35*F1200/1000,  IF(F1200&lt;Model!$B$36,  Model!$B$33-6.5*F1200/1000,  Model!$B$38)),     IF(F1200&lt;=2000,  Model!$B$20-Model!$B$35*F1200/1000,  IF(F1200&lt;Model!$B$36,  Model!$B$33-5.4*F1200/1000,   Model!$B$38)))</f>
        <v>-20</v>
      </c>
      <c r="K1200" s="15">
        <f t="shared" si="395"/>
        <v>253</v>
      </c>
      <c r="L1200" s="45">
        <f>IF(AB1199-AA1199*(B1200-B1199)&gt;0, L1199-Y1199*(B1200-B1199)*3600-AD1200*Model!$B$16, 0)</f>
        <v>0</v>
      </c>
      <c r="M1200" s="56">
        <f t="shared" si="383"/>
        <v>0</v>
      </c>
      <c r="N1200" s="56">
        <f>Model!$B$13*I1200*K1200/(Model!$B$13*I1200-L1200*287*K1200)</f>
        <v>253</v>
      </c>
      <c r="O1200" s="56">
        <f t="shared" si="384"/>
        <v>253</v>
      </c>
      <c r="P1200" s="56">
        <f t="shared" si="385"/>
        <v>-10</v>
      </c>
      <c r="Q1200" s="62">
        <f t="shared" si="396"/>
        <v>2.2579999999999999E-2</v>
      </c>
      <c r="R1200" s="33">
        <f t="shared" si="397"/>
        <v>1.152E-5</v>
      </c>
      <c r="S1200" s="45">
        <f>0.37*Model!$B$10*(Q1200^2*(N1200-K1200)*I1200/(R1200*O1200^2))^0.33333*(N1200-K1200)</f>
        <v>0</v>
      </c>
      <c r="T1200" s="50">
        <f>Model!$B$32+(90-Model!$B$6)*SIN(RADIANS(-15*(E1200+6)))</f>
        <v>-31.619472402513487</v>
      </c>
      <c r="U1200" s="45">
        <f t="shared" si="386"/>
        <v>0</v>
      </c>
      <c r="V1200" s="50">
        <f t="shared" si="387"/>
        <v>99999</v>
      </c>
      <c r="W1200" s="45">
        <f t="shared" si="388"/>
        <v>0</v>
      </c>
      <c r="X1200" s="45">
        <f>0.3*W1200*Model!$B$9</f>
        <v>0</v>
      </c>
      <c r="Y1200" s="33">
        <f>(S1200-X1200)/Model!$B$11</f>
        <v>0</v>
      </c>
      <c r="Z1200" s="45" t="e">
        <f t="shared" si="389"/>
        <v>#DIV/0!</v>
      </c>
      <c r="AA1200" s="56">
        <f>Y1200/Model!$B$12*3600</f>
        <v>0</v>
      </c>
      <c r="AB1200" s="50">
        <f t="shared" si="394"/>
        <v>0</v>
      </c>
      <c r="AC1200" s="50">
        <f t="shared" si="398"/>
        <v>1800</v>
      </c>
      <c r="AD1200" s="15">
        <f>IF(AE1200=0, Model!$B$19, 0 )</f>
        <v>0</v>
      </c>
      <c r="AE1200" s="50">
        <f>IF(AE1199+AB1199-AB1200&lt;Model!$B$19*Model!$B$18, AE1199+AB1199-AB1200,  0)</f>
        <v>443.63457370611354</v>
      </c>
      <c r="AF1200" s="15">
        <f t="shared" si="390"/>
        <v>1</v>
      </c>
      <c r="AG1200" s="50">
        <f t="shared" si="391"/>
        <v>0</v>
      </c>
    </row>
    <row r="1201" spans="2:33" x14ac:dyDescent="0.25">
      <c r="B1201" s="13">
        <f t="shared" si="392"/>
        <v>1</v>
      </c>
      <c r="C1201" s="13">
        <f>B1201+Model!$B$4</f>
        <v>3</v>
      </c>
      <c r="D1201" s="13">
        <f t="shared" si="393"/>
        <v>1</v>
      </c>
      <c r="E1201" s="13">
        <f t="shared" si="399"/>
        <v>3</v>
      </c>
      <c r="F1201" s="14">
        <f>IF(AB1201&gt;0, VLOOKUP(B1201,Model!$A$40:$B$60, 2), 0)</f>
        <v>0</v>
      </c>
      <c r="G1201" s="13">
        <f>IF(AB1201&gt;0, VLOOKUP(B1201,Model!$A$39:$C$58, 3), 0)</f>
        <v>0</v>
      </c>
      <c r="H1201" s="13">
        <f t="shared" si="382"/>
        <v>0</v>
      </c>
      <c r="I1201" s="46">
        <f>Model!$B$21*EXP((-0.029*9.81*F1201)/(8.31*(273+J1201)))</f>
        <v>104500</v>
      </c>
      <c r="J1201" s="13">
        <f>IF(Model!$B$31="Summer",  IF(F1201&lt;=2000,  Model!$B$20-Model!$B$35*F1201/1000,  IF(F1201&lt;Model!$B$36,  Model!$B$33-6.5*F1201/1000,  Model!$B$38)),     IF(F1201&lt;=2000,  Model!$B$20-Model!$B$35*F1201/1000,  IF(F1201&lt;Model!$B$36,  Model!$B$33-5.4*F1201/1000,   Model!$B$38)))</f>
        <v>-20</v>
      </c>
      <c r="K1201" s="13">
        <f t="shared" si="395"/>
        <v>253</v>
      </c>
      <c r="L1201" s="46">
        <f>IF(AB1200-AA1200*(B1201-B1200)&gt;0, L1200-Y1200*(B1201-B1200)*3600-AD1201*Model!$B$16, 0)</f>
        <v>0</v>
      </c>
      <c r="M1201" s="57">
        <f t="shared" si="383"/>
        <v>0</v>
      </c>
      <c r="N1201" s="57">
        <f>Model!$B$13*I1201*K1201/(Model!$B$13*I1201-L1201*287*K1201)</f>
        <v>253</v>
      </c>
      <c r="O1201" s="57">
        <f t="shared" si="384"/>
        <v>253</v>
      </c>
      <c r="P1201" s="57">
        <f t="shared" si="385"/>
        <v>-10</v>
      </c>
      <c r="Q1201" s="63">
        <f t="shared" si="396"/>
        <v>2.2579999999999999E-2</v>
      </c>
      <c r="R1201" s="17">
        <f t="shared" si="397"/>
        <v>1.152E-5</v>
      </c>
      <c r="S1201" s="46">
        <f>0.37*Model!$B$10*(Q1201^2*(N1201-K1201)*I1201/(R1201*O1201^2))^0.33333*(N1201-K1201)</f>
        <v>0</v>
      </c>
      <c r="T1201" s="51">
        <f>Model!$B$32+(90-Model!$B$6)*SIN(RADIANS(-15*(E1201+6)))</f>
        <v>-31.619472402513487</v>
      </c>
      <c r="U1201" s="46">
        <f t="shared" si="386"/>
        <v>0</v>
      </c>
      <c r="V1201" s="51">
        <f t="shared" si="387"/>
        <v>99999</v>
      </c>
      <c r="W1201" s="46">
        <f t="shared" si="388"/>
        <v>0</v>
      </c>
      <c r="X1201" s="46">
        <f>0.3*W1201*Model!$B$9</f>
        <v>0</v>
      </c>
      <c r="Y1201" s="17">
        <f>(S1201-X1201)/Model!$B$11</f>
        <v>0</v>
      </c>
      <c r="Z1201" s="46" t="e">
        <f t="shared" si="389"/>
        <v>#DIV/0!</v>
      </c>
      <c r="AA1201" s="57">
        <f>Y1201/Model!$B$12*3600</f>
        <v>0</v>
      </c>
      <c r="AB1201" s="51">
        <f t="shared" si="394"/>
        <v>0</v>
      </c>
      <c r="AC1201" s="51">
        <f t="shared" si="398"/>
        <v>1800</v>
      </c>
      <c r="AD1201" s="13">
        <f>IF(AE1201=0, Model!$B$19, 0 )</f>
        <v>0</v>
      </c>
      <c r="AE1201" s="51">
        <f>IF(AE1200+AB1200-AB1201&lt;Model!$B$19*Model!$B$18, AE1200+AB1200-AB1201,  0)</f>
        <v>443.63457370611354</v>
      </c>
      <c r="AF1201" s="13">
        <f t="shared" si="390"/>
        <v>1</v>
      </c>
      <c r="AG1201" s="50">
        <f t="shared" si="391"/>
        <v>0</v>
      </c>
    </row>
    <row r="1202" spans="2:33" x14ac:dyDescent="0.25">
      <c r="B1202" s="15">
        <f t="shared" si="392"/>
        <v>1</v>
      </c>
      <c r="C1202" s="15">
        <f>B1202+Model!$B$4</f>
        <v>3</v>
      </c>
      <c r="D1202" s="15">
        <f t="shared" si="393"/>
        <v>1</v>
      </c>
      <c r="E1202" s="15">
        <f t="shared" si="399"/>
        <v>3</v>
      </c>
      <c r="F1202" s="16">
        <f>IF(AB1202&gt;0, VLOOKUP(B1202,Model!$A$40:$B$60, 2), 0)</f>
        <v>0</v>
      </c>
      <c r="G1202" s="15">
        <f>IF(AB1202&gt;0, VLOOKUP(B1202,Model!$A$39:$C$58, 3), 0)</f>
        <v>0</v>
      </c>
      <c r="H1202" s="15">
        <f t="shared" si="382"/>
        <v>0</v>
      </c>
      <c r="I1202" s="45">
        <f>Model!$B$21*EXP((-0.029*9.81*F1202)/(8.31*(273+J1202)))</f>
        <v>104500</v>
      </c>
      <c r="J1202" s="15">
        <f>IF(Model!$B$31="Summer",  IF(F1202&lt;=2000,  Model!$B$20-Model!$B$35*F1202/1000,  IF(F1202&lt;Model!$B$36,  Model!$B$33-6.5*F1202/1000,  Model!$B$38)),     IF(F1202&lt;=2000,  Model!$B$20-Model!$B$35*F1202/1000,  IF(F1202&lt;Model!$B$36,  Model!$B$33-5.4*F1202/1000,   Model!$B$38)))</f>
        <v>-20</v>
      </c>
      <c r="K1202" s="15">
        <f t="shared" si="395"/>
        <v>253</v>
      </c>
      <c r="L1202" s="45">
        <f>IF(AB1201-AA1201*(B1202-B1201)&gt;0, L1201-Y1201*(B1202-B1201)*3600-AD1202*Model!$B$16, 0)</f>
        <v>0</v>
      </c>
      <c r="M1202" s="56">
        <f t="shared" si="383"/>
        <v>0</v>
      </c>
      <c r="N1202" s="56">
        <f>Model!$B$13*I1202*K1202/(Model!$B$13*I1202-L1202*287*K1202)</f>
        <v>253</v>
      </c>
      <c r="O1202" s="56">
        <f t="shared" si="384"/>
        <v>253</v>
      </c>
      <c r="P1202" s="56">
        <f t="shared" si="385"/>
        <v>-10</v>
      </c>
      <c r="Q1202" s="62">
        <f t="shared" si="396"/>
        <v>2.2579999999999999E-2</v>
      </c>
      <c r="R1202" s="33">
        <f t="shared" si="397"/>
        <v>1.152E-5</v>
      </c>
      <c r="S1202" s="45">
        <f>0.37*Model!$B$10*(Q1202^2*(N1202-K1202)*I1202/(R1202*O1202^2))^0.33333*(N1202-K1202)</f>
        <v>0</v>
      </c>
      <c r="T1202" s="50">
        <f>Model!$B$32+(90-Model!$B$6)*SIN(RADIANS(-15*(E1202+6)))</f>
        <v>-31.619472402513487</v>
      </c>
      <c r="U1202" s="45">
        <f t="shared" si="386"/>
        <v>0</v>
      </c>
      <c r="V1202" s="50">
        <f t="shared" si="387"/>
        <v>99999</v>
      </c>
      <c r="W1202" s="45">
        <f t="shared" si="388"/>
        <v>0</v>
      </c>
      <c r="X1202" s="45">
        <f>0.3*W1202*Model!$B$9</f>
        <v>0</v>
      </c>
      <c r="Y1202" s="33">
        <f>(S1202-X1202)/Model!$B$11</f>
        <v>0</v>
      </c>
      <c r="Z1202" s="45" t="e">
        <f t="shared" si="389"/>
        <v>#DIV/0!</v>
      </c>
      <c r="AA1202" s="56">
        <f>Y1202/Model!$B$12*3600</f>
        <v>0</v>
      </c>
      <c r="AB1202" s="50">
        <f t="shared" si="394"/>
        <v>0</v>
      </c>
      <c r="AC1202" s="50">
        <f t="shared" si="398"/>
        <v>1800</v>
      </c>
      <c r="AD1202" s="15">
        <f>IF(AE1202=0, Model!$B$19, 0 )</f>
        <v>0</v>
      </c>
      <c r="AE1202" s="50">
        <f>IF(AE1201+AB1201-AB1202&lt;Model!$B$19*Model!$B$18, AE1201+AB1201-AB1202,  0)</f>
        <v>443.63457370611354</v>
      </c>
      <c r="AF1202" s="15">
        <f t="shared" si="390"/>
        <v>1</v>
      </c>
      <c r="AG1202" s="50">
        <f t="shared" si="391"/>
        <v>0</v>
      </c>
    </row>
    <row r="1203" spans="2:33" x14ac:dyDescent="0.25">
      <c r="B1203" s="13">
        <f t="shared" si="392"/>
        <v>1</v>
      </c>
      <c r="C1203" s="13">
        <f>B1203+Model!$B$4</f>
        <v>3</v>
      </c>
      <c r="D1203" s="13">
        <f t="shared" si="393"/>
        <v>1</v>
      </c>
      <c r="E1203" s="13">
        <f t="shared" si="399"/>
        <v>3</v>
      </c>
      <c r="F1203" s="14">
        <f>IF(AB1203&gt;0, VLOOKUP(B1203,Model!$A$40:$B$60, 2), 0)</f>
        <v>0</v>
      </c>
      <c r="G1203" s="13">
        <f>IF(AB1203&gt;0, VLOOKUP(B1203,Model!$A$39:$C$58, 3), 0)</f>
        <v>0</v>
      </c>
      <c r="H1203" s="13">
        <f t="shared" si="382"/>
        <v>0</v>
      </c>
      <c r="I1203" s="46">
        <f>Model!$B$21*EXP((-0.029*9.81*F1203)/(8.31*(273+J1203)))</f>
        <v>104500</v>
      </c>
      <c r="J1203" s="13">
        <f>IF(Model!$B$31="Summer",  IF(F1203&lt;=2000,  Model!$B$20-Model!$B$35*F1203/1000,  IF(F1203&lt;Model!$B$36,  Model!$B$33-6.5*F1203/1000,  Model!$B$38)),     IF(F1203&lt;=2000,  Model!$B$20-Model!$B$35*F1203/1000,  IF(F1203&lt;Model!$B$36,  Model!$B$33-5.4*F1203/1000,   Model!$B$38)))</f>
        <v>-20</v>
      </c>
      <c r="K1203" s="13">
        <f t="shared" si="395"/>
        <v>253</v>
      </c>
      <c r="L1203" s="46">
        <f>IF(AB1202-AA1202*(B1203-B1202)&gt;0, L1202-Y1202*(B1203-B1202)*3600-AD1203*Model!$B$16, 0)</f>
        <v>0</v>
      </c>
      <c r="M1203" s="57">
        <f t="shared" si="383"/>
        <v>0</v>
      </c>
      <c r="N1203" s="57">
        <f>Model!$B$13*I1203*K1203/(Model!$B$13*I1203-L1203*287*K1203)</f>
        <v>253</v>
      </c>
      <c r="O1203" s="57">
        <f t="shared" si="384"/>
        <v>253</v>
      </c>
      <c r="P1203" s="57">
        <f t="shared" si="385"/>
        <v>-10</v>
      </c>
      <c r="Q1203" s="63">
        <f t="shared" si="396"/>
        <v>2.2579999999999999E-2</v>
      </c>
      <c r="R1203" s="17">
        <f t="shared" si="397"/>
        <v>1.152E-5</v>
      </c>
      <c r="S1203" s="46">
        <f>0.37*Model!$B$10*(Q1203^2*(N1203-K1203)*I1203/(R1203*O1203^2))^0.33333*(N1203-K1203)</f>
        <v>0</v>
      </c>
      <c r="T1203" s="51">
        <f>Model!$B$32+(90-Model!$B$6)*SIN(RADIANS(-15*(E1203+6)))</f>
        <v>-31.619472402513487</v>
      </c>
      <c r="U1203" s="46">
        <f t="shared" si="386"/>
        <v>0</v>
      </c>
      <c r="V1203" s="51">
        <f t="shared" si="387"/>
        <v>99999</v>
      </c>
      <c r="W1203" s="46">
        <f t="shared" si="388"/>
        <v>0</v>
      </c>
      <c r="X1203" s="46">
        <f>0.3*W1203*Model!$B$9</f>
        <v>0</v>
      </c>
      <c r="Y1203" s="17">
        <f>(S1203-X1203)/Model!$B$11</f>
        <v>0</v>
      </c>
      <c r="Z1203" s="46" t="e">
        <f t="shared" si="389"/>
        <v>#DIV/0!</v>
      </c>
      <c r="AA1203" s="57">
        <f>Y1203/Model!$B$12*3600</f>
        <v>0</v>
      </c>
      <c r="AB1203" s="51">
        <f t="shared" si="394"/>
        <v>0</v>
      </c>
      <c r="AC1203" s="51">
        <f t="shared" si="398"/>
        <v>1800</v>
      </c>
      <c r="AD1203" s="13">
        <f>IF(AE1203=0, Model!$B$19, 0 )</f>
        <v>0</v>
      </c>
      <c r="AE1203" s="51">
        <f>IF(AE1202+AB1202-AB1203&lt;Model!$B$19*Model!$B$18, AE1202+AB1202-AB1203,  0)</f>
        <v>443.63457370611354</v>
      </c>
      <c r="AF1203" s="13">
        <f t="shared" si="390"/>
        <v>1</v>
      </c>
      <c r="AG1203" s="50">
        <f t="shared" si="391"/>
        <v>0</v>
      </c>
    </row>
    <row r="1204" spans="2:33" x14ac:dyDescent="0.25">
      <c r="B1204" s="15">
        <f t="shared" si="392"/>
        <v>1</v>
      </c>
      <c r="C1204" s="15">
        <f>B1204+Model!$B$4</f>
        <v>3</v>
      </c>
      <c r="D1204" s="15">
        <f t="shared" si="393"/>
        <v>1</v>
      </c>
      <c r="E1204" s="15">
        <f t="shared" si="399"/>
        <v>3</v>
      </c>
      <c r="F1204" s="16">
        <f>IF(AB1204&gt;0, VLOOKUP(B1204,Model!$A$40:$B$60, 2), 0)</f>
        <v>0</v>
      </c>
      <c r="G1204" s="15">
        <f>IF(AB1204&gt;0, VLOOKUP(B1204,Model!$A$39:$C$58, 3), 0)</f>
        <v>0</v>
      </c>
      <c r="H1204" s="15">
        <f t="shared" si="382"/>
        <v>0</v>
      </c>
      <c r="I1204" s="45">
        <f>Model!$B$21*EXP((-0.029*9.81*F1204)/(8.31*(273+J1204)))</f>
        <v>104500</v>
      </c>
      <c r="J1204" s="15">
        <f>IF(Model!$B$31="Summer",  IF(F1204&lt;=2000,  Model!$B$20-Model!$B$35*F1204/1000,  IF(F1204&lt;Model!$B$36,  Model!$B$33-6.5*F1204/1000,  Model!$B$38)),     IF(F1204&lt;=2000,  Model!$B$20-Model!$B$35*F1204/1000,  IF(F1204&lt;Model!$B$36,  Model!$B$33-5.4*F1204/1000,   Model!$B$38)))</f>
        <v>-20</v>
      </c>
      <c r="K1204" s="15">
        <f t="shared" si="395"/>
        <v>253</v>
      </c>
      <c r="L1204" s="45">
        <f>IF(AB1203-AA1203*(B1204-B1203)&gt;0, L1203-Y1203*(B1204-B1203)*3600-AD1204*Model!$B$16, 0)</f>
        <v>0</v>
      </c>
      <c r="M1204" s="56">
        <f t="shared" si="383"/>
        <v>0</v>
      </c>
      <c r="N1204" s="56">
        <f>Model!$B$13*I1204*K1204/(Model!$B$13*I1204-L1204*287*K1204)</f>
        <v>253</v>
      </c>
      <c r="O1204" s="56">
        <f t="shared" si="384"/>
        <v>253</v>
      </c>
      <c r="P1204" s="56">
        <f t="shared" si="385"/>
        <v>-10</v>
      </c>
      <c r="Q1204" s="62">
        <f t="shared" si="396"/>
        <v>2.2579999999999999E-2</v>
      </c>
      <c r="R1204" s="33">
        <f t="shared" si="397"/>
        <v>1.152E-5</v>
      </c>
      <c r="S1204" s="45">
        <f>0.37*Model!$B$10*(Q1204^2*(N1204-K1204)*I1204/(R1204*O1204^2))^0.33333*(N1204-K1204)</f>
        <v>0</v>
      </c>
      <c r="T1204" s="50">
        <f>Model!$B$32+(90-Model!$B$6)*SIN(RADIANS(-15*(E1204+6)))</f>
        <v>-31.619472402513487</v>
      </c>
      <c r="U1204" s="45">
        <f t="shared" si="386"/>
        <v>0</v>
      </c>
      <c r="V1204" s="50">
        <f t="shared" si="387"/>
        <v>99999</v>
      </c>
      <c r="W1204" s="45">
        <f t="shared" si="388"/>
        <v>0</v>
      </c>
      <c r="X1204" s="45">
        <f>0.3*W1204*Model!$B$9</f>
        <v>0</v>
      </c>
      <c r="Y1204" s="33">
        <f>(S1204-X1204)/Model!$B$11</f>
        <v>0</v>
      </c>
      <c r="Z1204" s="45" t="e">
        <f t="shared" si="389"/>
        <v>#DIV/0!</v>
      </c>
      <c r="AA1204" s="56">
        <f>Y1204/Model!$B$12*3600</f>
        <v>0</v>
      </c>
      <c r="AB1204" s="50">
        <f t="shared" si="394"/>
        <v>0</v>
      </c>
      <c r="AC1204" s="50">
        <f t="shared" si="398"/>
        <v>1800</v>
      </c>
      <c r="AD1204" s="15">
        <f>IF(AE1204=0, Model!$B$19, 0 )</f>
        <v>0</v>
      </c>
      <c r="AE1204" s="50">
        <f>IF(AE1203+AB1203-AB1204&lt;Model!$B$19*Model!$B$18, AE1203+AB1203-AB1204,  0)</f>
        <v>443.63457370611354</v>
      </c>
      <c r="AF1204" s="15">
        <f t="shared" si="390"/>
        <v>1</v>
      </c>
      <c r="AG1204" s="50">
        <f t="shared" si="391"/>
        <v>0</v>
      </c>
    </row>
    <row r="1205" spans="2:33" x14ac:dyDescent="0.25">
      <c r="B1205" s="13">
        <f t="shared" si="392"/>
        <v>1</v>
      </c>
      <c r="C1205" s="13">
        <f>B1205+Model!$B$4</f>
        <v>3</v>
      </c>
      <c r="D1205" s="13">
        <f t="shared" si="393"/>
        <v>1</v>
      </c>
      <c r="E1205" s="13">
        <f t="shared" si="399"/>
        <v>3</v>
      </c>
      <c r="F1205" s="14">
        <f>IF(AB1205&gt;0, VLOOKUP(B1205,Model!$A$40:$B$60, 2), 0)</f>
        <v>0</v>
      </c>
      <c r="G1205" s="13">
        <f>IF(AB1205&gt;0, VLOOKUP(B1205,Model!$A$39:$C$58, 3), 0)</f>
        <v>0</v>
      </c>
      <c r="H1205" s="13">
        <f t="shared" si="382"/>
        <v>0</v>
      </c>
      <c r="I1205" s="46">
        <f>Model!$B$21*EXP((-0.029*9.81*F1205)/(8.31*(273+J1205)))</f>
        <v>104500</v>
      </c>
      <c r="J1205" s="13">
        <f>IF(Model!$B$31="Summer",  IF(F1205&lt;=2000,  Model!$B$20-Model!$B$35*F1205/1000,  IF(F1205&lt;Model!$B$36,  Model!$B$33-6.5*F1205/1000,  Model!$B$38)),     IF(F1205&lt;=2000,  Model!$B$20-Model!$B$35*F1205/1000,  IF(F1205&lt;Model!$B$36,  Model!$B$33-5.4*F1205/1000,   Model!$B$38)))</f>
        <v>-20</v>
      </c>
      <c r="K1205" s="13">
        <f t="shared" ref="K1205:K1226" si="400">273+J1205</f>
        <v>253</v>
      </c>
      <c r="L1205" s="46">
        <f>IF(AB1204-AA1204*(B1205-B1204)&gt;0, L1204-Y1204*(B1205-B1204)*3600-AD1205*Model!$B$16, 0)</f>
        <v>0</v>
      </c>
      <c r="M1205" s="57">
        <f t="shared" si="383"/>
        <v>0</v>
      </c>
      <c r="N1205" s="57">
        <f>Model!$B$13*I1205*K1205/(Model!$B$13*I1205-L1205*287*K1205)</f>
        <v>253</v>
      </c>
      <c r="O1205" s="57">
        <f t="shared" si="384"/>
        <v>253</v>
      </c>
      <c r="P1205" s="57">
        <f t="shared" si="385"/>
        <v>-10</v>
      </c>
      <c r="Q1205" s="63">
        <f t="shared" ref="Q1205:Q1226" si="401">(O1205-273)*7.1*0.00001+0.024</f>
        <v>2.2579999999999999E-2</v>
      </c>
      <c r="R1205" s="17">
        <f t="shared" ref="R1205:R1226" si="402">((O1205-273)*0.104+13.6)*0.000001</f>
        <v>1.152E-5</v>
      </c>
      <c r="S1205" s="46">
        <f>0.37*Model!$B$10*(Q1205^2*(N1205-K1205)*I1205/(R1205*O1205^2))^0.33333*(N1205-K1205)</f>
        <v>0</v>
      </c>
      <c r="T1205" s="51">
        <f>Model!$B$32+(90-Model!$B$6)*SIN(RADIANS(-15*(E1205+6)))</f>
        <v>-31.619472402513487</v>
      </c>
      <c r="U1205" s="46">
        <f t="shared" si="386"/>
        <v>0</v>
      </c>
      <c r="V1205" s="51">
        <f t="shared" si="387"/>
        <v>99999</v>
      </c>
      <c r="W1205" s="46">
        <f t="shared" si="388"/>
        <v>0</v>
      </c>
      <c r="X1205" s="46">
        <f>0.3*W1205*Model!$B$9</f>
        <v>0</v>
      </c>
      <c r="Y1205" s="17">
        <f>(S1205-X1205)/Model!$B$11</f>
        <v>0</v>
      </c>
      <c r="Z1205" s="46" t="e">
        <f t="shared" si="389"/>
        <v>#DIV/0!</v>
      </c>
      <c r="AA1205" s="57">
        <f>Y1205/Model!$B$12*3600</f>
        <v>0</v>
      </c>
      <c r="AB1205" s="51">
        <f t="shared" si="394"/>
        <v>0</v>
      </c>
      <c r="AC1205" s="51">
        <f t="shared" ref="AC1205:AC1226" si="403">AC1204+AB1204-AB1205</f>
        <v>1800</v>
      </c>
      <c r="AD1205" s="13">
        <f>IF(AE1205=0, Model!$B$19, 0 )</f>
        <v>0</v>
      </c>
      <c r="AE1205" s="51">
        <f>IF(AE1204+AB1204-AB1205&lt;Model!$B$19*Model!$B$18, AE1204+AB1204-AB1205,  0)</f>
        <v>443.63457370611354</v>
      </c>
      <c r="AF1205" s="13">
        <f t="shared" si="390"/>
        <v>1</v>
      </c>
      <c r="AG1205" s="50">
        <f t="shared" si="391"/>
        <v>0</v>
      </c>
    </row>
    <row r="1206" spans="2:33" x14ac:dyDescent="0.25">
      <c r="B1206" s="15">
        <f t="shared" si="392"/>
        <v>1</v>
      </c>
      <c r="C1206" s="15">
        <f>B1206+Model!$B$4</f>
        <v>3</v>
      </c>
      <c r="D1206" s="15">
        <f t="shared" si="393"/>
        <v>1</v>
      </c>
      <c r="E1206" s="15">
        <f t="shared" si="399"/>
        <v>3</v>
      </c>
      <c r="F1206" s="16">
        <f>IF(AB1206&gt;0, VLOOKUP(B1206,Model!$A$40:$B$60, 2), 0)</f>
        <v>0</v>
      </c>
      <c r="G1206" s="15">
        <f>IF(AB1206&gt;0, VLOOKUP(B1206,Model!$A$39:$C$58, 3), 0)</f>
        <v>0</v>
      </c>
      <c r="H1206" s="15">
        <f t="shared" si="382"/>
        <v>0</v>
      </c>
      <c r="I1206" s="45">
        <f>Model!$B$21*EXP((-0.029*9.81*F1206)/(8.31*(273+J1206)))</f>
        <v>104500</v>
      </c>
      <c r="J1206" s="15">
        <f>IF(Model!$B$31="Summer",  IF(F1206&lt;=2000,  Model!$B$20-Model!$B$35*F1206/1000,  IF(F1206&lt;Model!$B$36,  Model!$B$33-6.5*F1206/1000,  Model!$B$38)),     IF(F1206&lt;=2000,  Model!$B$20-Model!$B$35*F1206/1000,  IF(F1206&lt;Model!$B$36,  Model!$B$33-5.4*F1206/1000,   Model!$B$38)))</f>
        <v>-20</v>
      </c>
      <c r="K1206" s="15">
        <f t="shared" si="400"/>
        <v>253</v>
      </c>
      <c r="L1206" s="45">
        <f>IF(AB1205-AA1205*(B1206-B1205)&gt;0, L1205-Y1205*(B1206-B1205)*3600-AD1206*Model!$B$16, 0)</f>
        <v>0</v>
      </c>
      <c r="M1206" s="56">
        <f t="shared" si="383"/>
        <v>0</v>
      </c>
      <c r="N1206" s="56">
        <f>Model!$B$13*I1206*K1206/(Model!$B$13*I1206-L1206*287*K1206)</f>
        <v>253</v>
      </c>
      <c r="O1206" s="56">
        <f t="shared" si="384"/>
        <v>253</v>
      </c>
      <c r="P1206" s="56">
        <f t="shared" si="385"/>
        <v>-10</v>
      </c>
      <c r="Q1206" s="62">
        <f t="shared" si="401"/>
        <v>2.2579999999999999E-2</v>
      </c>
      <c r="R1206" s="33">
        <f t="shared" si="402"/>
        <v>1.152E-5</v>
      </c>
      <c r="S1206" s="45">
        <f>0.37*Model!$B$10*(Q1206^2*(N1206-K1206)*I1206/(R1206*O1206^2))^0.33333*(N1206-K1206)</f>
        <v>0</v>
      </c>
      <c r="T1206" s="50">
        <f>Model!$B$32+(90-Model!$B$6)*SIN(RADIANS(-15*(E1206+6)))</f>
        <v>-31.619472402513487</v>
      </c>
      <c r="U1206" s="45">
        <f t="shared" si="386"/>
        <v>0</v>
      </c>
      <c r="V1206" s="50">
        <f t="shared" si="387"/>
        <v>99999</v>
      </c>
      <c r="W1206" s="45">
        <f t="shared" si="388"/>
        <v>0</v>
      </c>
      <c r="X1206" s="45">
        <f>0.3*W1206*Model!$B$9</f>
        <v>0</v>
      </c>
      <c r="Y1206" s="33">
        <f>(S1206-X1206)/Model!$B$11</f>
        <v>0</v>
      </c>
      <c r="Z1206" s="45" t="e">
        <f t="shared" si="389"/>
        <v>#DIV/0!</v>
      </c>
      <c r="AA1206" s="56">
        <f>Y1206/Model!$B$12*3600</f>
        <v>0</v>
      </c>
      <c r="AB1206" s="50">
        <f t="shared" si="394"/>
        <v>0</v>
      </c>
      <c r="AC1206" s="50">
        <f t="shared" si="403"/>
        <v>1800</v>
      </c>
      <c r="AD1206" s="15">
        <f>IF(AE1206=0, Model!$B$19, 0 )</f>
        <v>0</v>
      </c>
      <c r="AE1206" s="50">
        <f>IF(AE1205+AB1205-AB1206&lt;Model!$B$19*Model!$B$18, AE1205+AB1205-AB1206,  0)</f>
        <v>443.63457370611354</v>
      </c>
      <c r="AF1206" s="15">
        <f t="shared" si="390"/>
        <v>1</v>
      </c>
      <c r="AG1206" s="50">
        <f t="shared" si="391"/>
        <v>0</v>
      </c>
    </row>
    <row r="1207" spans="2:33" x14ac:dyDescent="0.25">
      <c r="B1207" s="13">
        <f t="shared" si="392"/>
        <v>1</v>
      </c>
      <c r="C1207" s="13">
        <f>B1207+Model!$B$4</f>
        <v>3</v>
      </c>
      <c r="D1207" s="13">
        <f t="shared" si="393"/>
        <v>1</v>
      </c>
      <c r="E1207" s="13">
        <f t="shared" si="399"/>
        <v>3</v>
      </c>
      <c r="F1207" s="14">
        <f>IF(AB1207&gt;0, VLOOKUP(B1207,Model!$A$40:$B$60, 2), 0)</f>
        <v>0</v>
      </c>
      <c r="G1207" s="13">
        <f>IF(AB1207&gt;0, VLOOKUP(B1207,Model!$A$39:$C$58, 3), 0)</f>
        <v>0</v>
      </c>
      <c r="H1207" s="13">
        <f t="shared" si="382"/>
        <v>0</v>
      </c>
      <c r="I1207" s="46">
        <f>Model!$B$21*EXP((-0.029*9.81*F1207)/(8.31*(273+J1207)))</f>
        <v>104500</v>
      </c>
      <c r="J1207" s="13">
        <f>IF(Model!$B$31="Summer",  IF(F1207&lt;=2000,  Model!$B$20-Model!$B$35*F1207/1000,  IF(F1207&lt;Model!$B$36,  Model!$B$33-6.5*F1207/1000,  Model!$B$38)),     IF(F1207&lt;=2000,  Model!$B$20-Model!$B$35*F1207/1000,  IF(F1207&lt;Model!$B$36,  Model!$B$33-5.4*F1207/1000,   Model!$B$38)))</f>
        <v>-20</v>
      </c>
      <c r="K1207" s="13">
        <f t="shared" si="400"/>
        <v>253</v>
      </c>
      <c r="L1207" s="46">
        <f>IF(AB1206-AA1206*(B1207-B1206)&gt;0, L1206-Y1206*(B1207-B1206)*3600-AD1207*Model!$B$16, 0)</f>
        <v>0</v>
      </c>
      <c r="M1207" s="57">
        <f t="shared" si="383"/>
        <v>0</v>
      </c>
      <c r="N1207" s="57">
        <f>Model!$B$13*I1207*K1207/(Model!$B$13*I1207-L1207*287*K1207)</f>
        <v>253</v>
      </c>
      <c r="O1207" s="57">
        <f t="shared" si="384"/>
        <v>253</v>
      </c>
      <c r="P1207" s="57">
        <f t="shared" si="385"/>
        <v>-10</v>
      </c>
      <c r="Q1207" s="63">
        <f t="shared" si="401"/>
        <v>2.2579999999999999E-2</v>
      </c>
      <c r="R1207" s="17">
        <f t="shared" si="402"/>
        <v>1.152E-5</v>
      </c>
      <c r="S1207" s="46">
        <f>0.37*Model!$B$10*(Q1207^2*(N1207-K1207)*I1207/(R1207*O1207^2))^0.33333*(N1207-K1207)</f>
        <v>0</v>
      </c>
      <c r="T1207" s="51">
        <f>Model!$B$32+(90-Model!$B$6)*SIN(RADIANS(-15*(E1207+6)))</f>
        <v>-31.619472402513487</v>
      </c>
      <c r="U1207" s="46">
        <f t="shared" si="386"/>
        <v>0</v>
      </c>
      <c r="V1207" s="51">
        <f t="shared" si="387"/>
        <v>99999</v>
      </c>
      <c r="W1207" s="46">
        <f t="shared" si="388"/>
        <v>0</v>
      </c>
      <c r="X1207" s="46">
        <f>0.3*W1207*Model!$B$9</f>
        <v>0</v>
      </c>
      <c r="Y1207" s="17">
        <f>(S1207-X1207)/Model!$B$11</f>
        <v>0</v>
      </c>
      <c r="Z1207" s="46" t="e">
        <f t="shared" si="389"/>
        <v>#DIV/0!</v>
      </c>
      <c r="AA1207" s="57">
        <f>Y1207/Model!$B$12*3600</f>
        <v>0</v>
      </c>
      <c r="AB1207" s="51">
        <f t="shared" si="394"/>
        <v>0</v>
      </c>
      <c r="AC1207" s="51">
        <f t="shared" si="403"/>
        <v>1800</v>
      </c>
      <c r="AD1207" s="13">
        <f>IF(AE1207=0, Model!$B$19, 0 )</f>
        <v>0</v>
      </c>
      <c r="AE1207" s="51">
        <f>IF(AE1206+AB1206-AB1207&lt;Model!$B$19*Model!$B$18, AE1206+AB1206-AB1207,  0)</f>
        <v>443.63457370611354</v>
      </c>
      <c r="AF1207" s="13">
        <f t="shared" si="390"/>
        <v>1</v>
      </c>
      <c r="AG1207" s="50">
        <f t="shared" si="391"/>
        <v>0</v>
      </c>
    </row>
    <row r="1208" spans="2:33" x14ac:dyDescent="0.25">
      <c r="B1208" s="15">
        <f t="shared" si="392"/>
        <v>1</v>
      </c>
      <c r="C1208" s="15">
        <f>B1208+Model!$B$4</f>
        <v>3</v>
      </c>
      <c r="D1208" s="15">
        <f t="shared" si="393"/>
        <v>1</v>
      </c>
      <c r="E1208" s="15">
        <f t="shared" si="399"/>
        <v>3</v>
      </c>
      <c r="F1208" s="16">
        <f>IF(AB1208&gt;0, VLOOKUP(B1208,Model!$A$40:$B$60, 2), 0)</f>
        <v>0</v>
      </c>
      <c r="G1208" s="15">
        <f>IF(AB1208&gt;0, VLOOKUP(B1208,Model!$A$39:$C$58, 3), 0)</f>
        <v>0</v>
      </c>
      <c r="H1208" s="15">
        <f t="shared" si="382"/>
        <v>0</v>
      </c>
      <c r="I1208" s="45">
        <f>Model!$B$21*EXP((-0.029*9.81*F1208)/(8.31*(273+J1208)))</f>
        <v>104500</v>
      </c>
      <c r="J1208" s="15">
        <f>IF(Model!$B$31="Summer",  IF(F1208&lt;=2000,  Model!$B$20-Model!$B$35*F1208/1000,  IF(F1208&lt;Model!$B$36,  Model!$B$33-6.5*F1208/1000,  Model!$B$38)),     IF(F1208&lt;=2000,  Model!$B$20-Model!$B$35*F1208/1000,  IF(F1208&lt;Model!$B$36,  Model!$B$33-5.4*F1208/1000,   Model!$B$38)))</f>
        <v>-20</v>
      </c>
      <c r="K1208" s="15">
        <f t="shared" si="400"/>
        <v>253</v>
      </c>
      <c r="L1208" s="45">
        <f>IF(AB1207-AA1207*(B1208-B1207)&gt;0, L1207-Y1207*(B1208-B1207)*3600-AD1208*Model!$B$16, 0)</f>
        <v>0</v>
      </c>
      <c r="M1208" s="56">
        <f t="shared" si="383"/>
        <v>0</v>
      </c>
      <c r="N1208" s="56">
        <f>Model!$B$13*I1208*K1208/(Model!$B$13*I1208-L1208*287*K1208)</f>
        <v>253</v>
      </c>
      <c r="O1208" s="56">
        <f t="shared" si="384"/>
        <v>253</v>
      </c>
      <c r="P1208" s="56">
        <f t="shared" si="385"/>
        <v>-10</v>
      </c>
      <c r="Q1208" s="62">
        <f t="shared" si="401"/>
        <v>2.2579999999999999E-2</v>
      </c>
      <c r="R1208" s="33">
        <f t="shared" si="402"/>
        <v>1.152E-5</v>
      </c>
      <c r="S1208" s="45">
        <f>0.37*Model!$B$10*(Q1208^2*(N1208-K1208)*I1208/(R1208*O1208^2))^0.33333*(N1208-K1208)</f>
        <v>0</v>
      </c>
      <c r="T1208" s="50">
        <f>Model!$B$32+(90-Model!$B$6)*SIN(RADIANS(-15*(E1208+6)))</f>
        <v>-31.619472402513487</v>
      </c>
      <c r="U1208" s="45">
        <f t="shared" si="386"/>
        <v>0</v>
      </c>
      <c r="V1208" s="50">
        <f t="shared" si="387"/>
        <v>99999</v>
      </c>
      <c r="W1208" s="45">
        <f t="shared" si="388"/>
        <v>0</v>
      </c>
      <c r="X1208" s="45">
        <f>0.3*W1208*Model!$B$9</f>
        <v>0</v>
      </c>
      <c r="Y1208" s="33">
        <f>(S1208-X1208)/Model!$B$11</f>
        <v>0</v>
      </c>
      <c r="Z1208" s="45" t="e">
        <f t="shared" si="389"/>
        <v>#DIV/0!</v>
      </c>
      <c r="AA1208" s="56">
        <f>Y1208/Model!$B$12*3600</f>
        <v>0</v>
      </c>
      <c r="AB1208" s="50">
        <f t="shared" si="394"/>
        <v>0</v>
      </c>
      <c r="AC1208" s="50">
        <f t="shared" si="403"/>
        <v>1800</v>
      </c>
      <c r="AD1208" s="15">
        <f>IF(AE1208=0, Model!$B$19, 0 )</f>
        <v>0</v>
      </c>
      <c r="AE1208" s="50">
        <f>IF(AE1207+AB1207-AB1208&lt;Model!$B$19*Model!$B$18, AE1207+AB1207-AB1208,  0)</f>
        <v>443.63457370611354</v>
      </c>
      <c r="AF1208" s="15">
        <f t="shared" si="390"/>
        <v>1</v>
      </c>
      <c r="AG1208" s="50">
        <f t="shared" si="391"/>
        <v>0</v>
      </c>
    </row>
    <row r="1209" spans="2:33" x14ac:dyDescent="0.25">
      <c r="B1209" s="13">
        <f t="shared" si="392"/>
        <v>1</v>
      </c>
      <c r="C1209" s="13">
        <f>B1209+Model!$B$4</f>
        <v>3</v>
      </c>
      <c r="D1209" s="13">
        <f t="shared" si="393"/>
        <v>1</v>
      </c>
      <c r="E1209" s="13">
        <f t="shared" si="399"/>
        <v>3</v>
      </c>
      <c r="F1209" s="14">
        <f>IF(AB1209&gt;0, VLOOKUP(B1209,Model!$A$40:$B$60, 2), 0)</f>
        <v>0</v>
      </c>
      <c r="G1209" s="13">
        <f>IF(AB1209&gt;0, VLOOKUP(B1209,Model!$A$39:$C$58, 3), 0)</f>
        <v>0</v>
      </c>
      <c r="H1209" s="13">
        <f t="shared" si="382"/>
        <v>0</v>
      </c>
      <c r="I1209" s="46">
        <f>Model!$B$21*EXP((-0.029*9.81*F1209)/(8.31*(273+J1209)))</f>
        <v>104500</v>
      </c>
      <c r="J1209" s="13">
        <f>IF(Model!$B$31="Summer",  IF(F1209&lt;=2000,  Model!$B$20-Model!$B$35*F1209/1000,  IF(F1209&lt;Model!$B$36,  Model!$B$33-6.5*F1209/1000,  Model!$B$38)),     IF(F1209&lt;=2000,  Model!$B$20-Model!$B$35*F1209/1000,  IF(F1209&lt;Model!$B$36,  Model!$B$33-5.4*F1209/1000,   Model!$B$38)))</f>
        <v>-20</v>
      </c>
      <c r="K1209" s="13">
        <f t="shared" si="400"/>
        <v>253</v>
      </c>
      <c r="L1209" s="46">
        <f>IF(AB1208-AA1208*(B1209-B1208)&gt;0, L1208-Y1208*(B1209-B1208)*3600-AD1209*Model!$B$16, 0)</f>
        <v>0</v>
      </c>
      <c r="M1209" s="57">
        <f t="shared" si="383"/>
        <v>0</v>
      </c>
      <c r="N1209" s="57">
        <f>Model!$B$13*I1209*K1209/(Model!$B$13*I1209-L1209*287*K1209)</f>
        <v>253</v>
      </c>
      <c r="O1209" s="57">
        <f t="shared" si="384"/>
        <v>253</v>
      </c>
      <c r="P1209" s="57">
        <f t="shared" si="385"/>
        <v>-10</v>
      </c>
      <c r="Q1209" s="63">
        <f t="shared" si="401"/>
        <v>2.2579999999999999E-2</v>
      </c>
      <c r="R1209" s="17">
        <f t="shared" si="402"/>
        <v>1.152E-5</v>
      </c>
      <c r="S1209" s="46">
        <f>0.37*Model!$B$10*(Q1209^2*(N1209-K1209)*I1209/(R1209*O1209^2))^0.33333*(N1209-K1209)</f>
        <v>0</v>
      </c>
      <c r="T1209" s="51">
        <f>Model!$B$32+(90-Model!$B$6)*SIN(RADIANS(-15*(E1209+6)))</f>
        <v>-31.619472402513487</v>
      </c>
      <c r="U1209" s="46">
        <f t="shared" si="386"/>
        <v>0</v>
      </c>
      <c r="V1209" s="51">
        <f t="shared" si="387"/>
        <v>99999</v>
      </c>
      <c r="W1209" s="46">
        <f t="shared" si="388"/>
        <v>0</v>
      </c>
      <c r="X1209" s="46">
        <f>0.3*W1209*Model!$B$9</f>
        <v>0</v>
      </c>
      <c r="Y1209" s="17">
        <f>(S1209-X1209)/Model!$B$11</f>
        <v>0</v>
      </c>
      <c r="Z1209" s="46" t="e">
        <f t="shared" si="389"/>
        <v>#DIV/0!</v>
      </c>
      <c r="AA1209" s="57">
        <f>Y1209/Model!$B$12*3600</f>
        <v>0</v>
      </c>
      <c r="AB1209" s="51">
        <f t="shared" si="394"/>
        <v>0</v>
      </c>
      <c r="AC1209" s="51">
        <f t="shared" si="403"/>
        <v>1800</v>
      </c>
      <c r="AD1209" s="13">
        <f>IF(AE1209=0, Model!$B$19, 0 )</f>
        <v>0</v>
      </c>
      <c r="AE1209" s="51">
        <f>IF(AE1208+AB1208-AB1209&lt;Model!$B$19*Model!$B$18, AE1208+AB1208-AB1209,  0)</f>
        <v>443.63457370611354</v>
      </c>
      <c r="AF1209" s="13">
        <f t="shared" si="390"/>
        <v>1</v>
      </c>
      <c r="AG1209" s="50">
        <f t="shared" si="391"/>
        <v>0</v>
      </c>
    </row>
    <row r="1210" spans="2:33" x14ac:dyDescent="0.25">
      <c r="B1210" s="15">
        <f t="shared" si="392"/>
        <v>1</v>
      </c>
      <c r="C1210" s="15">
        <f>B1210+Model!$B$4</f>
        <v>3</v>
      </c>
      <c r="D1210" s="15">
        <f t="shared" si="393"/>
        <v>1</v>
      </c>
      <c r="E1210" s="15">
        <f t="shared" si="399"/>
        <v>3</v>
      </c>
      <c r="F1210" s="16">
        <f>IF(AB1210&gt;0, VLOOKUP(B1210,Model!$A$40:$B$60, 2), 0)</f>
        <v>0</v>
      </c>
      <c r="G1210" s="15">
        <f>IF(AB1210&gt;0, VLOOKUP(B1210,Model!$A$39:$C$58, 3), 0)</f>
        <v>0</v>
      </c>
      <c r="H1210" s="15">
        <f t="shared" si="382"/>
        <v>0</v>
      </c>
      <c r="I1210" s="45">
        <f>Model!$B$21*EXP((-0.029*9.81*F1210)/(8.31*(273+J1210)))</f>
        <v>104500</v>
      </c>
      <c r="J1210" s="15">
        <f>IF(Model!$B$31="Summer",  IF(F1210&lt;=2000,  Model!$B$20-Model!$B$35*F1210/1000,  IF(F1210&lt;Model!$B$36,  Model!$B$33-6.5*F1210/1000,  Model!$B$38)),     IF(F1210&lt;=2000,  Model!$B$20-Model!$B$35*F1210/1000,  IF(F1210&lt;Model!$B$36,  Model!$B$33-5.4*F1210/1000,   Model!$B$38)))</f>
        <v>-20</v>
      </c>
      <c r="K1210" s="15">
        <f t="shared" si="400"/>
        <v>253</v>
      </c>
      <c r="L1210" s="45">
        <f>IF(AB1209-AA1209*(B1210-B1209)&gt;0, L1209-Y1209*(B1210-B1209)*3600-AD1210*Model!$B$16, 0)</f>
        <v>0</v>
      </c>
      <c r="M1210" s="56">
        <f t="shared" si="383"/>
        <v>0</v>
      </c>
      <c r="N1210" s="56">
        <f>Model!$B$13*I1210*K1210/(Model!$B$13*I1210-L1210*287*K1210)</f>
        <v>253</v>
      </c>
      <c r="O1210" s="56">
        <f t="shared" si="384"/>
        <v>253</v>
      </c>
      <c r="P1210" s="56">
        <f t="shared" si="385"/>
        <v>-10</v>
      </c>
      <c r="Q1210" s="62">
        <f t="shared" si="401"/>
        <v>2.2579999999999999E-2</v>
      </c>
      <c r="R1210" s="33">
        <f t="shared" si="402"/>
        <v>1.152E-5</v>
      </c>
      <c r="S1210" s="45">
        <f>0.37*Model!$B$10*(Q1210^2*(N1210-K1210)*I1210/(R1210*O1210^2))^0.33333*(N1210-K1210)</f>
        <v>0</v>
      </c>
      <c r="T1210" s="50">
        <f>Model!$B$32+(90-Model!$B$6)*SIN(RADIANS(-15*(E1210+6)))</f>
        <v>-31.619472402513487</v>
      </c>
      <c r="U1210" s="45">
        <f t="shared" si="386"/>
        <v>0</v>
      </c>
      <c r="V1210" s="50">
        <f t="shared" si="387"/>
        <v>99999</v>
      </c>
      <c r="W1210" s="45">
        <f t="shared" si="388"/>
        <v>0</v>
      </c>
      <c r="X1210" s="45">
        <f>0.3*W1210*Model!$B$9</f>
        <v>0</v>
      </c>
      <c r="Y1210" s="33">
        <f>(S1210-X1210)/Model!$B$11</f>
        <v>0</v>
      </c>
      <c r="Z1210" s="45" t="e">
        <f t="shared" si="389"/>
        <v>#DIV/0!</v>
      </c>
      <c r="AA1210" s="56">
        <f>Y1210/Model!$B$12*3600</f>
        <v>0</v>
      </c>
      <c r="AB1210" s="50">
        <f t="shared" si="394"/>
        <v>0</v>
      </c>
      <c r="AC1210" s="50">
        <f t="shared" si="403"/>
        <v>1800</v>
      </c>
      <c r="AD1210" s="15">
        <f>IF(AE1210=0, Model!$B$19, 0 )</f>
        <v>0</v>
      </c>
      <c r="AE1210" s="50">
        <f>IF(AE1209+AB1209-AB1210&lt;Model!$B$19*Model!$B$18, AE1209+AB1209-AB1210,  0)</f>
        <v>443.63457370611354</v>
      </c>
      <c r="AF1210" s="15">
        <f t="shared" si="390"/>
        <v>1</v>
      </c>
      <c r="AG1210" s="50">
        <f t="shared" si="391"/>
        <v>0</v>
      </c>
    </row>
    <row r="1211" spans="2:33" x14ac:dyDescent="0.25">
      <c r="B1211" s="13">
        <f t="shared" si="392"/>
        <v>1</v>
      </c>
      <c r="C1211" s="13">
        <f>B1211+Model!$B$4</f>
        <v>3</v>
      </c>
      <c r="D1211" s="13">
        <f t="shared" si="393"/>
        <v>1</v>
      </c>
      <c r="E1211" s="13">
        <f t="shared" si="399"/>
        <v>3</v>
      </c>
      <c r="F1211" s="14">
        <f>IF(AB1211&gt;0, VLOOKUP(B1211,Model!$A$40:$B$60, 2), 0)</f>
        <v>0</v>
      </c>
      <c r="G1211" s="13">
        <f>IF(AB1211&gt;0, VLOOKUP(B1211,Model!$A$39:$C$58, 3), 0)</f>
        <v>0</v>
      </c>
      <c r="H1211" s="13">
        <f t="shared" si="382"/>
        <v>0</v>
      </c>
      <c r="I1211" s="46">
        <f>Model!$B$21*EXP((-0.029*9.81*F1211)/(8.31*(273+J1211)))</f>
        <v>104500</v>
      </c>
      <c r="J1211" s="13">
        <f>IF(Model!$B$31="Summer",  IF(F1211&lt;=2000,  Model!$B$20-Model!$B$35*F1211/1000,  IF(F1211&lt;Model!$B$36,  Model!$B$33-6.5*F1211/1000,  Model!$B$38)),     IF(F1211&lt;=2000,  Model!$B$20-Model!$B$35*F1211/1000,  IF(F1211&lt;Model!$B$36,  Model!$B$33-5.4*F1211/1000,   Model!$B$38)))</f>
        <v>-20</v>
      </c>
      <c r="K1211" s="13">
        <f t="shared" si="400"/>
        <v>253</v>
      </c>
      <c r="L1211" s="46">
        <f>IF(AB1210-AA1210*(B1211-B1210)&gt;0, L1210-Y1210*(B1211-B1210)*3600-AD1211*Model!$B$16, 0)</f>
        <v>0</v>
      </c>
      <c r="M1211" s="57">
        <f t="shared" si="383"/>
        <v>0</v>
      </c>
      <c r="N1211" s="57">
        <f>Model!$B$13*I1211*K1211/(Model!$B$13*I1211-L1211*287*K1211)</f>
        <v>253</v>
      </c>
      <c r="O1211" s="57">
        <f t="shared" si="384"/>
        <v>253</v>
      </c>
      <c r="P1211" s="57">
        <f t="shared" si="385"/>
        <v>-10</v>
      </c>
      <c r="Q1211" s="63">
        <f t="shared" si="401"/>
        <v>2.2579999999999999E-2</v>
      </c>
      <c r="R1211" s="17">
        <f t="shared" si="402"/>
        <v>1.152E-5</v>
      </c>
      <c r="S1211" s="46">
        <f>0.37*Model!$B$10*(Q1211^2*(N1211-K1211)*I1211/(R1211*O1211^2))^0.33333*(N1211-K1211)</f>
        <v>0</v>
      </c>
      <c r="T1211" s="51">
        <f>Model!$B$32+(90-Model!$B$6)*SIN(RADIANS(-15*(E1211+6)))</f>
        <v>-31.619472402513487</v>
      </c>
      <c r="U1211" s="46">
        <f t="shared" si="386"/>
        <v>0</v>
      </c>
      <c r="V1211" s="51">
        <f t="shared" si="387"/>
        <v>99999</v>
      </c>
      <c r="W1211" s="46">
        <f t="shared" si="388"/>
        <v>0</v>
      </c>
      <c r="X1211" s="46">
        <f>0.3*W1211*Model!$B$9</f>
        <v>0</v>
      </c>
      <c r="Y1211" s="17">
        <f>(S1211-X1211)/Model!$B$11</f>
        <v>0</v>
      </c>
      <c r="Z1211" s="46" t="e">
        <f t="shared" si="389"/>
        <v>#DIV/0!</v>
      </c>
      <c r="AA1211" s="57">
        <f>Y1211/Model!$B$12*3600</f>
        <v>0</v>
      </c>
      <c r="AB1211" s="51">
        <f t="shared" si="394"/>
        <v>0</v>
      </c>
      <c r="AC1211" s="51">
        <f t="shared" si="403"/>
        <v>1800</v>
      </c>
      <c r="AD1211" s="13">
        <f>IF(AE1211=0, Model!$B$19, 0 )</f>
        <v>0</v>
      </c>
      <c r="AE1211" s="51">
        <f>IF(AE1210+AB1210-AB1211&lt;Model!$B$19*Model!$B$18, AE1210+AB1210-AB1211,  0)</f>
        <v>443.63457370611354</v>
      </c>
      <c r="AF1211" s="13">
        <f t="shared" si="390"/>
        <v>1</v>
      </c>
      <c r="AG1211" s="50">
        <f t="shared" si="391"/>
        <v>0</v>
      </c>
    </row>
    <row r="1212" spans="2:33" x14ac:dyDescent="0.25">
      <c r="B1212" s="15">
        <f t="shared" si="392"/>
        <v>1</v>
      </c>
      <c r="C1212" s="15">
        <f>B1212+Model!$B$4</f>
        <v>3</v>
      </c>
      <c r="D1212" s="15">
        <f t="shared" si="393"/>
        <v>1</v>
      </c>
      <c r="E1212" s="15">
        <f t="shared" si="399"/>
        <v>3</v>
      </c>
      <c r="F1212" s="16">
        <f>IF(AB1212&gt;0, VLOOKUP(B1212,Model!$A$40:$B$60, 2), 0)</f>
        <v>0</v>
      </c>
      <c r="G1212" s="15">
        <f>IF(AB1212&gt;0, VLOOKUP(B1212,Model!$A$39:$C$58, 3), 0)</f>
        <v>0</v>
      </c>
      <c r="H1212" s="15">
        <f t="shared" si="382"/>
        <v>0</v>
      </c>
      <c r="I1212" s="45">
        <f>Model!$B$21*EXP((-0.029*9.81*F1212)/(8.31*(273+J1212)))</f>
        <v>104500</v>
      </c>
      <c r="J1212" s="15">
        <f>IF(Model!$B$31="Summer",  IF(F1212&lt;=2000,  Model!$B$20-Model!$B$35*F1212/1000,  IF(F1212&lt;Model!$B$36,  Model!$B$33-6.5*F1212/1000,  Model!$B$38)),     IF(F1212&lt;=2000,  Model!$B$20-Model!$B$35*F1212/1000,  IF(F1212&lt;Model!$B$36,  Model!$B$33-5.4*F1212/1000,   Model!$B$38)))</f>
        <v>-20</v>
      </c>
      <c r="K1212" s="15">
        <f t="shared" si="400"/>
        <v>253</v>
      </c>
      <c r="L1212" s="45">
        <f>IF(AB1211-AA1211*(B1212-B1211)&gt;0, L1211-Y1211*(B1212-B1211)*3600-AD1212*Model!$B$16, 0)</f>
        <v>0</v>
      </c>
      <c r="M1212" s="56">
        <f t="shared" si="383"/>
        <v>0</v>
      </c>
      <c r="N1212" s="56">
        <f>Model!$B$13*I1212*K1212/(Model!$B$13*I1212-L1212*287*K1212)</f>
        <v>253</v>
      </c>
      <c r="O1212" s="56">
        <f t="shared" si="384"/>
        <v>253</v>
      </c>
      <c r="P1212" s="56">
        <f t="shared" si="385"/>
        <v>-10</v>
      </c>
      <c r="Q1212" s="62">
        <f t="shared" si="401"/>
        <v>2.2579999999999999E-2</v>
      </c>
      <c r="R1212" s="33">
        <f t="shared" si="402"/>
        <v>1.152E-5</v>
      </c>
      <c r="S1212" s="45">
        <f>0.37*Model!$B$10*(Q1212^2*(N1212-K1212)*I1212/(R1212*O1212^2))^0.33333*(N1212-K1212)</f>
        <v>0</v>
      </c>
      <c r="T1212" s="50">
        <f>Model!$B$32+(90-Model!$B$6)*SIN(RADIANS(-15*(E1212+6)))</f>
        <v>-31.619472402513487</v>
      </c>
      <c r="U1212" s="45">
        <f t="shared" si="386"/>
        <v>0</v>
      </c>
      <c r="V1212" s="50">
        <f t="shared" si="387"/>
        <v>99999</v>
      </c>
      <c r="W1212" s="45">
        <f t="shared" si="388"/>
        <v>0</v>
      </c>
      <c r="X1212" s="45">
        <f>0.3*W1212*Model!$B$9</f>
        <v>0</v>
      </c>
      <c r="Y1212" s="33">
        <f>(S1212-X1212)/Model!$B$11</f>
        <v>0</v>
      </c>
      <c r="Z1212" s="45" t="e">
        <f t="shared" si="389"/>
        <v>#DIV/0!</v>
      </c>
      <c r="AA1212" s="56">
        <f>Y1212/Model!$B$12*3600</f>
        <v>0</v>
      </c>
      <c r="AB1212" s="50">
        <f t="shared" si="394"/>
        <v>0</v>
      </c>
      <c r="AC1212" s="50">
        <f t="shared" si="403"/>
        <v>1800</v>
      </c>
      <c r="AD1212" s="15">
        <f>IF(AE1212=0, Model!$B$19, 0 )</f>
        <v>0</v>
      </c>
      <c r="AE1212" s="50">
        <f>IF(AE1211+AB1211-AB1212&lt;Model!$B$19*Model!$B$18, AE1211+AB1211-AB1212,  0)</f>
        <v>443.63457370611354</v>
      </c>
      <c r="AF1212" s="15">
        <f t="shared" si="390"/>
        <v>1</v>
      </c>
      <c r="AG1212" s="50">
        <f t="shared" si="391"/>
        <v>0</v>
      </c>
    </row>
    <row r="1213" spans="2:33" x14ac:dyDescent="0.25">
      <c r="B1213" s="13">
        <f t="shared" si="392"/>
        <v>1</v>
      </c>
      <c r="C1213" s="13">
        <f>B1213+Model!$B$4</f>
        <v>3</v>
      </c>
      <c r="D1213" s="13">
        <f t="shared" si="393"/>
        <v>1</v>
      </c>
      <c r="E1213" s="13">
        <f t="shared" si="399"/>
        <v>3</v>
      </c>
      <c r="F1213" s="14">
        <f>IF(AB1213&gt;0, VLOOKUP(B1213,Model!$A$40:$B$60, 2), 0)</f>
        <v>0</v>
      </c>
      <c r="G1213" s="13">
        <f>IF(AB1213&gt;0, VLOOKUP(B1213,Model!$A$39:$C$58, 3), 0)</f>
        <v>0</v>
      </c>
      <c r="H1213" s="13">
        <f t="shared" si="382"/>
        <v>0</v>
      </c>
      <c r="I1213" s="46">
        <f>Model!$B$21*EXP((-0.029*9.81*F1213)/(8.31*(273+J1213)))</f>
        <v>104500</v>
      </c>
      <c r="J1213" s="13">
        <f>IF(Model!$B$31="Summer",  IF(F1213&lt;=2000,  Model!$B$20-Model!$B$35*F1213/1000,  IF(F1213&lt;Model!$B$36,  Model!$B$33-6.5*F1213/1000,  Model!$B$38)),     IF(F1213&lt;=2000,  Model!$B$20-Model!$B$35*F1213/1000,  IF(F1213&lt;Model!$B$36,  Model!$B$33-5.4*F1213/1000,   Model!$B$38)))</f>
        <v>-20</v>
      </c>
      <c r="K1213" s="13">
        <f t="shared" si="400"/>
        <v>253</v>
      </c>
      <c r="L1213" s="46">
        <f>IF(AB1212-AA1212*(B1213-B1212)&gt;0, L1212-Y1212*(B1213-B1212)*3600-AD1213*Model!$B$16, 0)</f>
        <v>0</v>
      </c>
      <c r="M1213" s="57">
        <f t="shared" si="383"/>
        <v>0</v>
      </c>
      <c r="N1213" s="57">
        <f>Model!$B$13*I1213*K1213/(Model!$B$13*I1213-L1213*287*K1213)</f>
        <v>253</v>
      </c>
      <c r="O1213" s="57">
        <f t="shared" si="384"/>
        <v>253</v>
      </c>
      <c r="P1213" s="57">
        <f t="shared" si="385"/>
        <v>-10</v>
      </c>
      <c r="Q1213" s="63">
        <f t="shared" si="401"/>
        <v>2.2579999999999999E-2</v>
      </c>
      <c r="R1213" s="17">
        <f t="shared" si="402"/>
        <v>1.152E-5</v>
      </c>
      <c r="S1213" s="46">
        <f>0.37*Model!$B$10*(Q1213^2*(N1213-K1213)*I1213/(R1213*O1213^2))^0.33333*(N1213-K1213)</f>
        <v>0</v>
      </c>
      <c r="T1213" s="51">
        <f>Model!$B$32+(90-Model!$B$6)*SIN(RADIANS(-15*(E1213+6)))</f>
        <v>-31.619472402513487</v>
      </c>
      <c r="U1213" s="46">
        <f t="shared" si="386"/>
        <v>0</v>
      </c>
      <c r="V1213" s="51">
        <f t="shared" si="387"/>
        <v>99999</v>
      </c>
      <c r="W1213" s="46">
        <f t="shared" si="388"/>
        <v>0</v>
      </c>
      <c r="X1213" s="46">
        <f>0.3*W1213*Model!$B$9</f>
        <v>0</v>
      </c>
      <c r="Y1213" s="17">
        <f>(S1213-X1213)/Model!$B$11</f>
        <v>0</v>
      </c>
      <c r="Z1213" s="46" t="e">
        <f t="shared" si="389"/>
        <v>#DIV/0!</v>
      </c>
      <c r="AA1213" s="57">
        <f>Y1213/Model!$B$12*3600</f>
        <v>0</v>
      </c>
      <c r="AB1213" s="51">
        <f t="shared" si="394"/>
        <v>0</v>
      </c>
      <c r="AC1213" s="51">
        <f t="shared" si="403"/>
        <v>1800</v>
      </c>
      <c r="AD1213" s="13">
        <f>IF(AE1213=0, Model!$B$19, 0 )</f>
        <v>0</v>
      </c>
      <c r="AE1213" s="51">
        <f>IF(AE1212+AB1212-AB1213&lt;Model!$B$19*Model!$B$18, AE1212+AB1212-AB1213,  0)</f>
        <v>443.63457370611354</v>
      </c>
      <c r="AF1213" s="13">
        <f t="shared" si="390"/>
        <v>1</v>
      </c>
      <c r="AG1213" s="50">
        <f t="shared" si="391"/>
        <v>0</v>
      </c>
    </row>
    <row r="1214" spans="2:33" x14ac:dyDescent="0.25">
      <c r="B1214" s="15">
        <f t="shared" si="392"/>
        <v>1</v>
      </c>
      <c r="C1214" s="15">
        <f>B1214+Model!$B$4</f>
        <v>3</v>
      </c>
      <c r="D1214" s="15">
        <f t="shared" si="393"/>
        <v>1</v>
      </c>
      <c r="E1214" s="15">
        <f t="shared" si="399"/>
        <v>3</v>
      </c>
      <c r="F1214" s="16">
        <f>IF(AB1214&gt;0, VLOOKUP(B1214,Model!$A$40:$B$60, 2), 0)</f>
        <v>0</v>
      </c>
      <c r="G1214" s="15">
        <f>IF(AB1214&gt;0, VLOOKUP(B1214,Model!$A$39:$C$58, 3), 0)</f>
        <v>0</v>
      </c>
      <c r="H1214" s="15">
        <f t="shared" si="382"/>
        <v>0</v>
      </c>
      <c r="I1214" s="45">
        <f>Model!$B$21*EXP((-0.029*9.81*F1214)/(8.31*(273+J1214)))</f>
        <v>104500</v>
      </c>
      <c r="J1214" s="15">
        <f>IF(Model!$B$31="Summer",  IF(F1214&lt;=2000,  Model!$B$20-Model!$B$35*F1214/1000,  IF(F1214&lt;Model!$B$36,  Model!$B$33-6.5*F1214/1000,  Model!$B$38)),     IF(F1214&lt;=2000,  Model!$B$20-Model!$B$35*F1214/1000,  IF(F1214&lt;Model!$B$36,  Model!$B$33-5.4*F1214/1000,   Model!$B$38)))</f>
        <v>-20</v>
      </c>
      <c r="K1214" s="15">
        <f t="shared" si="400"/>
        <v>253</v>
      </c>
      <c r="L1214" s="45">
        <f>IF(AB1213-AA1213*(B1214-B1213)&gt;0, L1213-Y1213*(B1214-B1213)*3600-AD1214*Model!$B$16, 0)</f>
        <v>0</v>
      </c>
      <c r="M1214" s="56">
        <f t="shared" si="383"/>
        <v>0</v>
      </c>
      <c r="N1214" s="56">
        <f>Model!$B$13*I1214*K1214/(Model!$B$13*I1214-L1214*287*K1214)</f>
        <v>253</v>
      </c>
      <c r="O1214" s="56">
        <f t="shared" si="384"/>
        <v>253</v>
      </c>
      <c r="P1214" s="56">
        <f t="shared" si="385"/>
        <v>-10</v>
      </c>
      <c r="Q1214" s="62">
        <f t="shared" si="401"/>
        <v>2.2579999999999999E-2</v>
      </c>
      <c r="R1214" s="33">
        <f t="shared" si="402"/>
        <v>1.152E-5</v>
      </c>
      <c r="S1214" s="45">
        <f>0.37*Model!$B$10*(Q1214^2*(N1214-K1214)*I1214/(R1214*O1214^2))^0.33333*(N1214-K1214)</f>
        <v>0</v>
      </c>
      <c r="T1214" s="50">
        <f>Model!$B$32+(90-Model!$B$6)*SIN(RADIANS(-15*(E1214+6)))</f>
        <v>-31.619472402513487</v>
      </c>
      <c r="U1214" s="45">
        <f t="shared" si="386"/>
        <v>0</v>
      </c>
      <c r="V1214" s="50">
        <f t="shared" si="387"/>
        <v>99999</v>
      </c>
      <c r="W1214" s="45">
        <f t="shared" si="388"/>
        <v>0</v>
      </c>
      <c r="X1214" s="45">
        <f>0.3*W1214*Model!$B$9</f>
        <v>0</v>
      </c>
      <c r="Y1214" s="33">
        <f>(S1214-X1214)/Model!$B$11</f>
        <v>0</v>
      </c>
      <c r="Z1214" s="45" t="e">
        <f t="shared" si="389"/>
        <v>#DIV/0!</v>
      </c>
      <c r="AA1214" s="56">
        <f>Y1214/Model!$B$12*3600</f>
        <v>0</v>
      </c>
      <c r="AB1214" s="50">
        <f t="shared" si="394"/>
        <v>0</v>
      </c>
      <c r="AC1214" s="50">
        <f t="shared" si="403"/>
        <v>1800</v>
      </c>
      <c r="AD1214" s="15">
        <f>IF(AE1214=0, Model!$B$19, 0 )</f>
        <v>0</v>
      </c>
      <c r="AE1214" s="50">
        <f>IF(AE1213+AB1213-AB1214&lt;Model!$B$19*Model!$B$18, AE1213+AB1213-AB1214,  0)</f>
        <v>443.63457370611354</v>
      </c>
      <c r="AF1214" s="15">
        <f t="shared" si="390"/>
        <v>1</v>
      </c>
      <c r="AG1214" s="50">
        <f t="shared" si="391"/>
        <v>0</v>
      </c>
    </row>
    <row r="1215" spans="2:33" x14ac:dyDescent="0.25">
      <c r="B1215" s="13">
        <f t="shared" si="392"/>
        <v>1</v>
      </c>
      <c r="C1215" s="13">
        <f>B1215+Model!$B$4</f>
        <v>3</v>
      </c>
      <c r="D1215" s="13">
        <f t="shared" si="393"/>
        <v>1</v>
      </c>
      <c r="E1215" s="13">
        <f t="shared" si="399"/>
        <v>3</v>
      </c>
      <c r="F1215" s="14">
        <f>IF(AB1215&gt;0, VLOOKUP(B1215,Model!$A$40:$B$60, 2), 0)</f>
        <v>0</v>
      </c>
      <c r="G1215" s="13">
        <f>IF(AB1215&gt;0, VLOOKUP(B1215,Model!$A$39:$C$58, 3), 0)</f>
        <v>0</v>
      </c>
      <c r="H1215" s="13">
        <f t="shared" si="382"/>
        <v>0</v>
      </c>
      <c r="I1215" s="46">
        <f>Model!$B$21*EXP((-0.029*9.81*F1215)/(8.31*(273+J1215)))</f>
        <v>104500</v>
      </c>
      <c r="J1215" s="13">
        <f>IF(Model!$B$31="Summer",  IF(F1215&lt;=2000,  Model!$B$20-Model!$B$35*F1215/1000,  IF(F1215&lt;Model!$B$36,  Model!$B$33-6.5*F1215/1000,  Model!$B$38)),     IF(F1215&lt;=2000,  Model!$B$20-Model!$B$35*F1215/1000,  IF(F1215&lt;Model!$B$36,  Model!$B$33-5.4*F1215/1000,   Model!$B$38)))</f>
        <v>-20</v>
      </c>
      <c r="K1215" s="13">
        <f t="shared" si="400"/>
        <v>253</v>
      </c>
      <c r="L1215" s="46">
        <f>IF(AB1214-AA1214*(B1215-B1214)&gt;0, L1214-Y1214*(B1215-B1214)*3600-AD1215*Model!$B$16, 0)</f>
        <v>0</v>
      </c>
      <c r="M1215" s="57">
        <f t="shared" si="383"/>
        <v>0</v>
      </c>
      <c r="N1215" s="57">
        <f>Model!$B$13*I1215*K1215/(Model!$B$13*I1215-L1215*287*K1215)</f>
        <v>253</v>
      </c>
      <c r="O1215" s="57">
        <f t="shared" si="384"/>
        <v>253</v>
      </c>
      <c r="P1215" s="57">
        <f t="shared" si="385"/>
        <v>-10</v>
      </c>
      <c r="Q1215" s="63">
        <f t="shared" si="401"/>
        <v>2.2579999999999999E-2</v>
      </c>
      <c r="R1215" s="17">
        <f t="shared" si="402"/>
        <v>1.152E-5</v>
      </c>
      <c r="S1215" s="46">
        <f>0.37*Model!$B$10*(Q1215^2*(N1215-K1215)*I1215/(R1215*O1215^2))^0.33333*(N1215-K1215)</f>
        <v>0</v>
      </c>
      <c r="T1215" s="51">
        <f>Model!$B$32+(90-Model!$B$6)*SIN(RADIANS(-15*(E1215+6)))</f>
        <v>-31.619472402513487</v>
      </c>
      <c r="U1215" s="46">
        <f t="shared" si="386"/>
        <v>0</v>
      </c>
      <c r="V1215" s="51">
        <f t="shared" si="387"/>
        <v>99999</v>
      </c>
      <c r="W1215" s="46">
        <f t="shared" si="388"/>
        <v>0</v>
      </c>
      <c r="X1215" s="46">
        <f>0.3*W1215*Model!$B$9</f>
        <v>0</v>
      </c>
      <c r="Y1215" s="17">
        <f>(S1215-X1215)/Model!$B$11</f>
        <v>0</v>
      </c>
      <c r="Z1215" s="46" t="e">
        <f t="shared" si="389"/>
        <v>#DIV/0!</v>
      </c>
      <c r="AA1215" s="57">
        <f>Y1215/Model!$B$12*3600</f>
        <v>0</v>
      </c>
      <c r="AB1215" s="51">
        <f t="shared" si="394"/>
        <v>0</v>
      </c>
      <c r="AC1215" s="51">
        <f t="shared" si="403"/>
        <v>1800</v>
      </c>
      <c r="AD1215" s="13">
        <f>IF(AE1215=0, Model!$B$19, 0 )</f>
        <v>0</v>
      </c>
      <c r="AE1215" s="51">
        <f>IF(AE1214+AB1214-AB1215&lt;Model!$B$19*Model!$B$18, AE1214+AB1214-AB1215,  0)</f>
        <v>443.63457370611354</v>
      </c>
      <c r="AF1215" s="13">
        <f t="shared" si="390"/>
        <v>1</v>
      </c>
      <c r="AG1215" s="50">
        <f t="shared" si="391"/>
        <v>0</v>
      </c>
    </row>
    <row r="1216" spans="2:33" x14ac:dyDescent="0.25">
      <c r="B1216" s="15">
        <f t="shared" si="392"/>
        <v>1</v>
      </c>
      <c r="C1216" s="15">
        <f>B1216+Model!$B$4</f>
        <v>3</v>
      </c>
      <c r="D1216" s="15">
        <f t="shared" si="393"/>
        <v>1</v>
      </c>
      <c r="E1216" s="15">
        <f t="shared" si="399"/>
        <v>3</v>
      </c>
      <c r="F1216" s="16">
        <f>IF(AB1216&gt;0, VLOOKUP(B1216,Model!$A$40:$B$60, 2), 0)</f>
        <v>0</v>
      </c>
      <c r="G1216" s="15">
        <f>IF(AB1216&gt;0, VLOOKUP(B1216,Model!$A$39:$C$58, 3), 0)</f>
        <v>0</v>
      </c>
      <c r="H1216" s="15">
        <f t="shared" si="382"/>
        <v>0</v>
      </c>
      <c r="I1216" s="45">
        <f>Model!$B$21*EXP((-0.029*9.81*F1216)/(8.31*(273+J1216)))</f>
        <v>104500</v>
      </c>
      <c r="J1216" s="15">
        <f>IF(Model!$B$31="Summer",  IF(F1216&lt;=2000,  Model!$B$20-Model!$B$35*F1216/1000,  IF(F1216&lt;Model!$B$36,  Model!$B$33-6.5*F1216/1000,  Model!$B$38)),     IF(F1216&lt;=2000,  Model!$B$20-Model!$B$35*F1216/1000,  IF(F1216&lt;Model!$B$36,  Model!$B$33-5.4*F1216/1000,   Model!$B$38)))</f>
        <v>-20</v>
      </c>
      <c r="K1216" s="15">
        <f t="shared" si="400"/>
        <v>253</v>
      </c>
      <c r="L1216" s="45">
        <f>IF(AB1215-AA1215*(B1216-B1215)&gt;0, L1215-Y1215*(B1216-B1215)*3600-AD1216*Model!$B$16, 0)</f>
        <v>0</v>
      </c>
      <c r="M1216" s="56">
        <f t="shared" si="383"/>
        <v>0</v>
      </c>
      <c r="N1216" s="56">
        <f>Model!$B$13*I1216*K1216/(Model!$B$13*I1216-L1216*287*K1216)</f>
        <v>253</v>
      </c>
      <c r="O1216" s="56">
        <f t="shared" si="384"/>
        <v>253</v>
      </c>
      <c r="P1216" s="56">
        <f t="shared" si="385"/>
        <v>-10</v>
      </c>
      <c r="Q1216" s="62">
        <f t="shared" si="401"/>
        <v>2.2579999999999999E-2</v>
      </c>
      <c r="R1216" s="33">
        <f t="shared" si="402"/>
        <v>1.152E-5</v>
      </c>
      <c r="S1216" s="45">
        <f>0.37*Model!$B$10*(Q1216^2*(N1216-K1216)*I1216/(R1216*O1216^2))^0.33333*(N1216-K1216)</f>
        <v>0</v>
      </c>
      <c r="T1216" s="50">
        <f>Model!$B$32+(90-Model!$B$6)*SIN(RADIANS(-15*(E1216+6)))</f>
        <v>-31.619472402513487</v>
      </c>
      <c r="U1216" s="45">
        <f t="shared" si="386"/>
        <v>0</v>
      </c>
      <c r="V1216" s="50">
        <f t="shared" si="387"/>
        <v>99999</v>
      </c>
      <c r="W1216" s="45">
        <f t="shared" si="388"/>
        <v>0</v>
      </c>
      <c r="X1216" s="45">
        <f>0.3*W1216*Model!$B$9</f>
        <v>0</v>
      </c>
      <c r="Y1216" s="33">
        <f>(S1216-X1216)/Model!$B$11</f>
        <v>0</v>
      </c>
      <c r="Z1216" s="45" t="e">
        <f t="shared" si="389"/>
        <v>#DIV/0!</v>
      </c>
      <c r="AA1216" s="56">
        <f>Y1216/Model!$B$12*3600</f>
        <v>0</v>
      </c>
      <c r="AB1216" s="50">
        <f t="shared" si="394"/>
        <v>0</v>
      </c>
      <c r="AC1216" s="50">
        <f t="shared" si="403"/>
        <v>1800</v>
      </c>
      <c r="AD1216" s="15">
        <f>IF(AE1216=0, Model!$B$19, 0 )</f>
        <v>0</v>
      </c>
      <c r="AE1216" s="50">
        <f>IF(AE1215+AB1215-AB1216&lt;Model!$B$19*Model!$B$18, AE1215+AB1215-AB1216,  0)</f>
        <v>443.63457370611354</v>
      </c>
      <c r="AF1216" s="15">
        <f t="shared" si="390"/>
        <v>1</v>
      </c>
      <c r="AG1216" s="50">
        <f t="shared" si="391"/>
        <v>0</v>
      </c>
    </row>
    <row r="1217" spans="2:33" x14ac:dyDescent="0.25">
      <c r="B1217" s="13">
        <f t="shared" si="392"/>
        <v>1</v>
      </c>
      <c r="C1217" s="13">
        <f>B1217+Model!$B$4</f>
        <v>3</v>
      </c>
      <c r="D1217" s="13">
        <f t="shared" si="393"/>
        <v>1</v>
      </c>
      <c r="E1217" s="13">
        <f t="shared" si="399"/>
        <v>3</v>
      </c>
      <c r="F1217" s="14">
        <f>IF(AB1217&gt;0, VLOOKUP(B1217,Model!$A$40:$B$60, 2), 0)</f>
        <v>0</v>
      </c>
      <c r="G1217" s="13">
        <f>IF(AB1217&gt;0, VLOOKUP(B1217,Model!$A$39:$C$58, 3), 0)</f>
        <v>0</v>
      </c>
      <c r="H1217" s="13">
        <f t="shared" si="382"/>
        <v>0</v>
      </c>
      <c r="I1217" s="46">
        <f>Model!$B$21*EXP((-0.029*9.81*F1217)/(8.31*(273+J1217)))</f>
        <v>104500</v>
      </c>
      <c r="J1217" s="13">
        <f>IF(Model!$B$31="Summer",  IF(F1217&lt;=2000,  Model!$B$20-Model!$B$35*F1217/1000,  IF(F1217&lt;Model!$B$36,  Model!$B$33-6.5*F1217/1000,  Model!$B$38)),     IF(F1217&lt;=2000,  Model!$B$20-Model!$B$35*F1217/1000,  IF(F1217&lt;Model!$B$36,  Model!$B$33-5.4*F1217/1000,   Model!$B$38)))</f>
        <v>-20</v>
      </c>
      <c r="K1217" s="13">
        <f t="shared" si="400"/>
        <v>253</v>
      </c>
      <c r="L1217" s="46">
        <f>IF(AB1216-AA1216*(B1217-B1216)&gt;0, L1216-Y1216*(B1217-B1216)*3600-AD1217*Model!$B$16, 0)</f>
        <v>0</v>
      </c>
      <c r="M1217" s="57">
        <f t="shared" si="383"/>
        <v>0</v>
      </c>
      <c r="N1217" s="57">
        <f>Model!$B$13*I1217*K1217/(Model!$B$13*I1217-L1217*287*K1217)</f>
        <v>253</v>
      </c>
      <c r="O1217" s="57">
        <f t="shared" si="384"/>
        <v>253</v>
      </c>
      <c r="P1217" s="57">
        <f t="shared" si="385"/>
        <v>-10</v>
      </c>
      <c r="Q1217" s="63">
        <f t="shared" si="401"/>
        <v>2.2579999999999999E-2</v>
      </c>
      <c r="R1217" s="17">
        <f t="shared" si="402"/>
        <v>1.152E-5</v>
      </c>
      <c r="S1217" s="46">
        <f>0.37*Model!$B$10*(Q1217^2*(N1217-K1217)*I1217/(R1217*O1217^2))^0.33333*(N1217-K1217)</f>
        <v>0</v>
      </c>
      <c r="T1217" s="51">
        <f>Model!$B$32+(90-Model!$B$6)*SIN(RADIANS(-15*(E1217+6)))</f>
        <v>-31.619472402513487</v>
      </c>
      <c r="U1217" s="46">
        <f t="shared" si="386"/>
        <v>0</v>
      </c>
      <c r="V1217" s="51">
        <f t="shared" si="387"/>
        <v>99999</v>
      </c>
      <c r="W1217" s="46">
        <f t="shared" si="388"/>
        <v>0</v>
      </c>
      <c r="X1217" s="46">
        <f>0.3*W1217*Model!$B$9</f>
        <v>0</v>
      </c>
      <c r="Y1217" s="17">
        <f>(S1217-X1217)/Model!$B$11</f>
        <v>0</v>
      </c>
      <c r="Z1217" s="46" t="e">
        <f t="shared" si="389"/>
        <v>#DIV/0!</v>
      </c>
      <c r="AA1217" s="57">
        <f>Y1217/Model!$B$12*3600</f>
        <v>0</v>
      </c>
      <c r="AB1217" s="51">
        <f t="shared" si="394"/>
        <v>0</v>
      </c>
      <c r="AC1217" s="51">
        <f t="shared" si="403"/>
        <v>1800</v>
      </c>
      <c r="AD1217" s="13">
        <f>IF(AE1217=0, Model!$B$19, 0 )</f>
        <v>0</v>
      </c>
      <c r="AE1217" s="51">
        <f>IF(AE1216+AB1216-AB1217&lt;Model!$B$19*Model!$B$18, AE1216+AB1216-AB1217,  0)</f>
        <v>443.63457370611354</v>
      </c>
      <c r="AF1217" s="13">
        <f t="shared" si="390"/>
        <v>1</v>
      </c>
      <c r="AG1217" s="50">
        <f t="shared" si="391"/>
        <v>0</v>
      </c>
    </row>
    <row r="1218" spans="2:33" x14ac:dyDescent="0.25">
      <c r="B1218" s="15">
        <f t="shared" si="392"/>
        <v>1</v>
      </c>
      <c r="C1218" s="15">
        <f>B1218+Model!$B$4</f>
        <v>3</v>
      </c>
      <c r="D1218" s="15">
        <f t="shared" si="393"/>
        <v>1</v>
      </c>
      <c r="E1218" s="15">
        <f t="shared" si="399"/>
        <v>3</v>
      </c>
      <c r="F1218" s="16">
        <f>IF(AB1218&gt;0, VLOOKUP(B1218,Model!$A$40:$B$60, 2), 0)</f>
        <v>0</v>
      </c>
      <c r="G1218" s="15">
        <f>IF(AB1218&gt;0, VLOOKUP(B1218,Model!$A$39:$C$58, 3), 0)</f>
        <v>0</v>
      </c>
      <c r="H1218" s="15">
        <f t="shared" ref="H1218:H1281" si="404">IF(B1218=1, 0, G1218*97)</f>
        <v>0</v>
      </c>
      <c r="I1218" s="45">
        <f>Model!$B$21*EXP((-0.029*9.81*F1218)/(8.31*(273+J1218)))</f>
        <v>104500</v>
      </c>
      <c r="J1218" s="15">
        <f>IF(Model!$B$31="Summer",  IF(F1218&lt;=2000,  Model!$B$20-Model!$B$35*F1218/1000,  IF(F1218&lt;Model!$B$36,  Model!$B$33-6.5*F1218/1000,  Model!$B$38)),     IF(F1218&lt;=2000,  Model!$B$20-Model!$B$35*F1218/1000,  IF(F1218&lt;Model!$B$36,  Model!$B$33-5.4*F1218/1000,   Model!$B$38)))</f>
        <v>-20</v>
      </c>
      <c r="K1218" s="15">
        <f t="shared" si="400"/>
        <v>253</v>
      </c>
      <c r="L1218" s="45">
        <f>IF(AB1217-AA1217*(B1218-B1217)&gt;0, L1217-Y1217*(B1218-B1217)*3600-AD1218*Model!$B$16, 0)</f>
        <v>0</v>
      </c>
      <c r="M1218" s="56">
        <f t="shared" ref="M1218:M1281" si="405">IF(AB1218=0, 0, N1218-273)</f>
        <v>0</v>
      </c>
      <c r="N1218" s="56">
        <f>Model!$B$13*I1218*K1218/(Model!$B$13*I1218-L1218*287*K1218)</f>
        <v>253</v>
      </c>
      <c r="O1218" s="56">
        <f t="shared" ref="O1218:O1281" si="406">(K1218+N1218)/2</f>
        <v>253</v>
      </c>
      <c r="P1218" s="56">
        <f t="shared" ref="P1218:P1281" si="407">(J1218+M1218)/2+W1217/150</f>
        <v>-10</v>
      </c>
      <c r="Q1218" s="62">
        <f t="shared" si="401"/>
        <v>2.2579999999999999E-2</v>
      </c>
      <c r="R1218" s="33">
        <f t="shared" si="402"/>
        <v>1.152E-5</v>
      </c>
      <c r="S1218" s="45">
        <f>0.37*Model!$B$10*(Q1218^2*(N1218-K1218)*I1218/(R1218*O1218^2))^0.33333*(N1218-K1218)</f>
        <v>0</v>
      </c>
      <c r="T1218" s="50">
        <f>Model!$B$32+(90-Model!$B$6)*SIN(RADIANS(-15*(E1218+6)))</f>
        <v>-31.619472402513487</v>
      </c>
      <c r="U1218" s="45">
        <f t="shared" ref="U1218:U1281" si="408">IF(OR(T1218&lt;0, AB1218=0),  0, T1218)</f>
        <v>0</v>
      </c>
      <c r="V1218" s="50">
        <f t="shared" ref="V1218:V1281" si="409">IF(T1218&lt;0,99999,1/SIN(RADIANS(T1218)))</f>
        <v>99999</v>
      </c>
      <c r="W1218" s="45">
        <f t="shared" ref="W1218:W1281" si="410">IF(G1218=0,0, 1353*((1+F1218/7100)*0.7^V1218^0.678)+F1218/7100)</f>
        <v>0</v>
      </c>
      <c r="X1218" s="45">
        <f>0.3*W1218*Model!$B$9</f>
        <v>0</v>
      </c>
      <c r="Y1218" s="33">
        <f>(S1218-X1218)/Model!$B$11</f>
        <v>0</v>
      </c>
      <c r="Z1218" s="45" t="e">
        <f t="shared" ref="Z1218:Z1281" si="411">100*X1218/S1218</f>
        <v>#DIV/0!</v>
      </c>
      <c r="AA1218" s="56">
        <f>Y1218/Model!$B$12*3600</f>
        <v>0</v>
      </c>
      <c r="AB1218" s="50">
        <f t="shared" si="394"/>
        <v>0</v>
      </c>
      <c r="AC1218" s="50">
        <f t="shared" si="403"/>
        <v>1800</v>
      </c>
      <c r="AD1218" s="15">
        <f>IF(AE1218=0, Model!$B$19, 0 )</f>
        <v>0</v>
      </c>
      <c r="AE1218" s="50">
        <f>IF(AE1217+AB1217-AB1218&lt;Model!$B$19*Model!$B$18, AE1217+AB1217-AB1218,  0)</f>
        <v>443.63457370611354</v>
      </c>
      <c r="AF1218" s="15">
        <f t="shared" ref="AF1218:AF1281" si="412">B1218</f>
        <v>1</v>
      </c>
      <c r="AG1218" s="50">
        <f t="shared" ref="AG1218:AG1281" si="413">IF(OR(P1218&gt;0, AB1218&lt;=0),0, IF(P1218&lt;-2,0.99,ABS(P1218/2)))</f>
        <v>0</v>
      </c>
    </row>
    <row r="1219" spans="2:33" x14ac:dyDescent="0.25">
      <c r="B1219" s="13">
        <f t="shared" ref="B1219:B1282" si="414">IF(AB1218&gt;0, B1218+0.05, 1)</f>
        <v>1</v>
      </c>
      <c r="C1219" s="13">
        <f>B1219+Model!$B$4</f>
        <v>3</v>
      </c>
      <c r="D1219" s="13">
        <f t="shared" ref="D1219:D1282" si="415">INT(C1219/24+1)</f>
        <v>1</v>
      </c>
      <c r="E1219" s="13">
        <f t="shared" si="399"/>
        <v>3</v>
      </c>
      <c r="F1219" s="14">
        <f>IF(AB1219&gt;0, VLOOKUP(B1219,Model!$A$40:$B$60, 2), 0)</f>
        <v>0</v>
      </c>
      <c r="G1219" s="13">
        <f>IF(AB1219&gt;0, VLOOKUP(B1219,Model!$A$39:$C$58, 3), 0)</f>
        <v>0</v>
      </c>
      <c r="H1219" s="13">
        <f t="shared" si="404"/>
        <v>0</v>
      </c>
      <c r="I1219" s="46">
        <f>Model!$B$21*EXP((-0.029*9.81*F1219)/(8.31*(273+J1219)))</f>
        <v>104500</v>
      </c>
      <c r="J1219" s="13">
        <f>IF(Model!$B$31="Summer",  IF(F1219&lt;=2000,  Model!$B$20-Model!$B$35*F1219/1000,  IF(F1219&lt;Model!$B$36,  Model!$B$33-6.5*F1219/1000,  Model!$B$38)),     IF(F1219&lt;=2000,  Model!$B$20-Model!$B$35*F1219/1000,  IF(F1219&lt;Model!$B$36,  Model!$B$33-5.4*F1219/1000,   Model!$B$38)))</f>
        <v>-20</v>
      </c>
      <c r="K1219" s="13">
        <f t="shared" si="400"/>
        <v>253</v>
      </c>
      <c r="L1219" s="46">
        <f>IF(AB1218-AA1218*(B1219-B1218)&gt;0, L1218-Y1218*(B1219-B1218)*3600-AD1219*Model!$B$16, 0)</f>
        <v>0</v>
      </c>
      <c r="M1219" s="57">
        <f t="shared" si="405"/>
        <v>0</v>
      </c>
      <c r="N1219" s="57">
        <f>Model!$B$13*I1219*K1219/(Model!$B$13*I1219-L1219*287*K1219)</f>
        <v>253</v>
      </c>
      <c r="O1219" s="57">
        <f t="shared" si="406"/>
        <v>253</v>
      </c>
      <c r="P1219" s="57">
        <f t="shared" si="407"/>
        <v>-10</v>
      </c>
      <c r="Q1219" s="63">
        <f t="shared" si="401"/>
        <v>2.2579999999999999E-2</v>
      </c>
      <c r="R1219" s="17">
        <f t="shared" si="402"/>
        <v>1.152E-5</v>
      </c>
      <c r="S1219" s="46">
        <f>0.37*Model!$B$10*(Q1219^2*(N1219-K1219)*I1219/(R1219*O1219^2))^0.33333*(N1219-K1219)</f>
        <v>0</v>
      </c>
      <c r="T1219" s="51">
        <f>Model!$B$32+(90-Model!$B$6)*SIN(RADIANS(-15*(E1219+6)))</f>
        <v>-31.619472402513487</v>
      </c>
      <c r="U1219" s="46">
        <f t="shared" si="408"/>
        <v>0</v>
      </c>
      <c r="V1219" s="51">
        <f t="shared" si="409"/>
        <v>99999</v>
      </c>
      <c r="W1219" s="46">
        <f t="shared" si="410"/>
        <v>0</v>
      </c>
      <c r="X1219" s="46">
        <f>0.3*W1219*Model!$B$9</f>
        <v>0</v>
      </c>
      <c r="Y1219" s="17">
        <f>(S1219-X1219)/Model!$B$11</f>
        <v>0</v>
      </c>
      <c r="Z1219" s="46" t="e">
        <f t="shared" si="411"/>
        <v>#DIV/0!</v>
      </c>
      <c r="AA1219" s="57">
        <f>Y1219/Model!$B$12*3600</f>
        <v>0</v>
      </c>
      <c r="AB1219" s="51">
        <f t="shared" ref="AB1219:AB1282" si="416">IF(AB1218-AA1218*(B1219-B1218)&gt;0, AB1218-AA1218*(B1219-B1218), 0)</f>
        <v>0</v>
      </c>
      <c r="AC1219" s="51">
        <f t="shared" si="403"/>
        <v>1800</v>
      </c>
      <c r="AD1219" s="13">
        <f>IF(AE1219=0, Model!$B$19, 0 )</f>
        <v>0</v>
      </c>
      <c r="AE1219" s="51">
        <f>IF(AE1218+AB1218-AB1219&lt;Model!$B$19*Model!$B$18, AE1218+AB1218-AB1219,  0)</f>
        <v>443.63457370611354</v>
      </c>
      <c r="AF1219" s="13">
        <f t="shared" si="412"/>
        <v>1</v>
      </c>
      <c r="AG1219" s="50">
        <f t="shared" si="413"/>
        <v>0</v>
      </c>
    </row>
    <row r="1220" spans="2:33" x14ac:dyDescent="0.25">
      <c r="B1220" s="15">
        <f t="shared" si="414"/>
        <v>1</v>
      </c>
      <c r="C1220" s="15">
        <f>B1220+Model!$B$4</f>
        <v>3</v>
      </c>
      <c r="D1220" s="15">
        <f t="shared" si="415"/>
        <v>1</v>
      </c>
      <c r="E1220" s="15">
        <f t="shared" si="399"/>
        <v>3</v>
      </c>
      <c r="F1220" s="16">
        <f>IF(AB1220&gt;0, VLOOKUP(B1220,Model!$A$40:$B$60, 2), 0)</f>
        <v>0</v>
      </c>
      <c r="G1220" s="15">
        <f>IF(AB1220&gt;0, VLOOKUP(B1220,Model!$A$39:$C$58, 3), 0)</f>
        <v>0</v>
      </c>
      <c r="H1220" s="15">
        <f t="shared" si="404"/>
        <v>0</v>
      </c>
      <c r="I1220" s="45">
        <f>Model!$B$21*EXP((-0.029*9.81*F1220)/(8.31*(273+J1220)))</f>
        <v>104500</v>
      </c>
      <c r="J1220" s="15">
        <f>IF(Model!$B$31="Summer",  IF(F1220&lt;=2000,  Model!$B$20-Model!$B$35*F1220/1000,  IF(F1220&lt;Model!$B$36,  Model!$B$33-6.5*F1220/1000,  Model!$B$38)),     IF(F1220&lt;=2000,  Model!$B$20-Model!$B$35*F1220/1000,  IF(F1220&lt;Model!$B$36,  Model!$B$33-5.4*F1220/1000,   Model!$B$38)))</f>
        <v>-20</v>
      </c>
      <c r="K1220" s="15">
        <f t="shared" si="400"/>
        <v>253</v>
      </c>
      <c r="L1220" s="45">
        <f>IF(AB1219-AA1219*(B1220-B1219)&gt;0, L1219-Y1219*(B1220-B1219)*3600-AD1220*Model!$B$16, 0)</f>
        <v>0</v>
      </c>
      <c r="M1220" s="56">
        <f t="shared" si="405"/>
        <v>0</v>
      </c>
      <c r="N1220" s="56">
        <f>Model!$B$13*I1220*K1220/(Model!$B$13*I1220-L1220*287*K1220)</f>
        <v>253</v>
      </c>
      <c r="O1220" s="56">
        <f t="shared" si="406"/>
        <v>253</v>
      </c>
      <c r="P1220" s="56">
        <f t="shared" si="407"/>
        <v>-10</v>
      </c>
      <c r="Q1220" s="62">
        <f t="shared" si="401"/>
        <v>2.2579999999999999E-2</v>
      </c>
      <c r="R1220" s="33">
        <f t="shared" si="402"/>
        <v>1.152E-5</v>
      </c>
      <c r="S1220" s="45">
        <f>0.37*Model!$B$10*(Q1220^2*(N1220-K1220)*I1220/(R1220*O1220^2))^0.33333*(N1220-K1220)</f>
        <v>0</v>
      </c>
      <c r="T1220" s="50">
        <f>Model!$B$32+(90-Model!$B$6)*SIN(RADIANS(-15*(E1220+6)))</f>
        <v>-31.619472402513487</v>
      </c>
      <c r="U1220" s="45">
        <f t="shared" si="408"/>
        <v>0</v>
      </c>
      <c r="V1220" s="50">
        <f t="shared" si="409"/>
        <v>99999</v>
      </c>
      <c r="W1220" s="45">
        <f t="shared" si="410"/>
        <v>0</v>
      </c>
      <c r="X1220" s="45">
        <f>0.3*W1220*Model!$B$9</f>
        <v>0</v>
      </c>
      <c r="Y1220" s="33">
        <f>(S1220-X1220)/Model!$B$11</f>
        <v>0</v>
      </c>
      <c r="Z1220" s="45" t="e">
        <f t="shared" si="411"/>
        <v>#DIV/0!</v>
      </c>
      <c r="AA1220" s="56">
        <f>Y1220/Model!$B$12*3600</f>
        <v>0</v>
      </c>
      <c r="AB1220" s="50">
        <f t="shared" si="416"/>
        <v>0</v>
      </c>
      <c r="AC1220" s="50">
        <f t="shared" si="403"/>
        <v>1800</v>
      </c>
      <c r="AD1220" s="15">
        <f>IF(AE1220=0, Model!$B$19, 0 )</f>
        <v>0</v>
      </c>
      <c r="AE1220" s="50">
        <f>IF(AE1219+AB1219-AB1220&lt;Model!$B$19*Model!$B$18, AE1219+AB1219-AB1220,  0)</f>
        <v>443.63457370611354</v>
      </c>
      <c r="AF1220" s="15">
        <f t="shared" si="412"/>
        <v>1</v>
      </c>
      <c r="AG1220" s="50">
        <f t="shared" si="413"/>
        <v>0</v>
      </c>
    </row>
    <row r="1221" spans="2:33" x14ac:dyDescent="0.25">
      <c r="B1221" s="13">
        <f t="shared" si="414"/>
        <v>1</v>
      </c>
      <c r="C1221" s="13">
        <f>B1221+Model!$B$4</f>
        <v>3</v>
      </c>
      <c r="D1221" s="13">
        <f t="shared" si="415"/>
        <v>1</v>
      </c>
      <c r="E1221" s="13">
        <f t="shared" si="399"/>
        <v>3</v>
      </c>
      <c r="F1221" s="14">
        <f>IF(AB1221&gt;0, VLOOKUP(B1221,Model!$A$40:$B$60, 2), 0)</f>
        <v>0</v>
      </c>
      <c r="G1221" s="13">
        <f>IF(AB1221&gt;0, VLOOKUP(B1221,Model!$A$39:$C$58, 3), 0)</f>
        <v>0</v>
      </c>
      <c r="H1221" s="13">
        <f t="shared" si="404"/>
        <v>0</v>
      </c>
      <c r="I1221" s="46">
        <f>Model!$B$21*EXP((-0.029*9.81*F1221)/(8.31*(273+J1221)))</f>
        <v>104500</v>
      </c>
      <c r="J1221" s="13">
        <f>IF(Model!$B$31="Summer",  IF(F1221&lt;=2000,  Model!$B$20-Model!$B$35*F1221/1000,  IF(F1221&lt;Model!$B$36,  Model!$B$33-6.5*F1221/1000,  Model!$B$38)),     IF(F1221&lt;=2000,  Model!$B$20-Model!$B$35*F1221/1000,  IF(F1221&lt;Model!$B$36,  Model!$B$33-5.4*F1221/1000,   Model!$B$38)))</f>
        <v>-20</v>
      </c>
      <c r="K1221" s="13">
        <f t="shared" si="400"/>
        <v>253</v>
      </c>
      <c r="L1221" s="46">
        <f>IF(AB1220-AA1220*(B1221-B1220)&gt;0, L1220-Y1220*(B1221-B1220)*3600-AD1221*Model!$B$16, 0)</f>
        <v>0</v>
      </c>
      <c r="M1221" s="57">
        <f t="shared" si="405"/>
        <v>0</v>
      </c>
      <c r="N1221" s="57">
        <f>Model!$B$13*I1221*K1221/(Model!$B$13*I1221-L1221*287*K1221)</f>
        <v>253</v>
      </c>
      <c r="O1221" s="57">
        <f t="shared" si="406"/>
        <v>253</v>
      </c>
      <c r="P1221" s="57">
        <f t="shared" si="407"/>
        <v>-10</v>
      </c>
      <c r="Q1221" s="63">
        <f t="shared" si="401"/>
        <v>2.2579999999999999E-2</v>
      </c>
      <c r="R1221" s="17">
        <f t="shared" si="402"/>
        <v>1.152E-5</v>
      </c>
      <c r="S1221" s="46">
        <f>0.37*Model!$B$10*(Q1221^2*(N1221-K1221)*I1221/(R1221*O1221^2))^0.33333*(N1221-K1221)</f>
        <v>0</v>
      </c>
      <c r="T1221" s="51">
        <f>Model!$B$32+(90-Model!$B$6)*SIN(RADIANS(-15*(E1221+6)))</f>
        <v>-31.619472402513487</v>
      </c>
      <c r="U1221" s="46">
        <f t="shared" si="408"/>
        <v>0</v>
      </c>
      <c r="V1221" s="51">
        <f t="shared" si="409"/>
        <v>99999</v>
      </c>
      <c r="W1221" s="46">
        <f t="shared" si="410"/>
        <v>0</v>
      </c>
      <c r="X1221" s="46">
        <f>0.3*W1221*Model!$B$9</f>
        <v>0</v>
      </c>
      <c r="Y1221" s="17">
        <f>(S1221-X1221)/Model!$B$11</f>
        <v>0</v>
      </c>
      <c r="Z1221" s="46" t="e">
        <f t="shared" si="411"/>
        <v>#DIV/0!</v>
      </c>
      <c r="AA1221" s="57">
        <f>Y1221/Model!$B$12*3600</f>
        <v>0</v>
      </c>
      <c r="AB1221" s="51">
        <f t="shared" si="416"/>
        <v>0</v>
      </c>
      <c r="AC1221" s="51">
        <f t="shared" si="403"/>
        <v>1800</v>
      </c>
      <c r="AD1221" s="13">
        <f>IF(AE1221=0, Model!$B$19, 0 )</f>
        <v>0</v>
      </c>
      <c r="AE1221" s="51">
        <f>IF(AE1220+AB1220-AB1221&lt;Model!$B$19*Model!$B$18, AE1220+AB1220-AB1221,  0)</f>
        <v>443.63457370611354</v>
      </c>
      <c r="AF1221" s="13">
        <f t="shared" si="412"/>
        <v>1</v>
      </c>
      <c r="AG1221" s="50">
        <f t="shared" si="413"/>
        <v>0</v>
      </c>
    </row>
    <row r="1222" spans="2:33" x14ac:dyDescent="0.25">
      <c r="B1222" s="15">
        <f t="shared" si="414"/>
        <v>1</v>
      </c>
      <c r="C1222" s="15">
        <f>B1222+Model!$B$4</f>
        <v>3</v>
      </c>
      <c r="D1222" s="15">
        <f t="shared" si="415"/>
        <v>1</v>
      </c>
      <c r="E1222" s="15">
        <f t="shared" si="399"/>
        <v>3</v>
      </c>
      <c r="F1222" s="16">
        <f>IF(AB1222&gt;0, VLOOKUP(B1222,Model!$A$40:$B$60, 2), 0)</f>
        <v>0</v>
      </c>
      <c r="G1222" s="15">
        <f>IF(AB1222&gt;0, VLOOKUP(B1222,Model!$A$39:$C$58, 3), 0)</f>
        <v>0</v>
      </c>
      <c r="H1222" s="15">
        <f t="shared" si="404"/>
        <v>0</v>
      </c>
      <c r="I1222" s="45">
        <f>Model!$B$21*EXP((-0.029*9.81*F1222)/(8.31*(273+J1222)))</f>
        <v>104500</v>
      </c>
      <c r="J1222" s="15">
        <f>IF(Model!$B$31="Summer",  IF(F1222&lt;=2000,  Model!$B$20-Model!$B$35*F1222/1000,  IF(F1222&lt;Model!$B$36,  Model!$B$33-6.5*F1222/1000,  Model!$B$38)),     IF(F1222&lt;=2000,  Model!$B$20-Model!$B$35*F1222/1000,  IF(F1222&lt;Model!$B$36,  Model!$B$33-5.4*F1222/1000,   Model!$B$38)))</f>
        <v>-20</v>
      </c>
      <c r="K1222" s="15">
        <f t="shared" si="400"/>
        <v>253</v>
      </c>
      <c r="L1222" s="45">
        <f>IF(AB1221-AA1221*(B1222-B1221)&gt;0, L1221-Y1221*(B1222-B1221)*3600-AD1222*Model!$B$16, 0)</f>
        <v>0</v>
      </c>
      <c r="M1222" s="56">
        <f t="shared" si="405"/>
        <v>0</v>
      </c>
      <c r="N1222" s="56">
        <f>Model!$B$13*I1222*K1222/(Model!$B$13*I1222-L1222*287*K1222)</f>
        <v>253</v>
      </c>
      <c r="O1222" s="56">
        <f t="shared" si="406"/>
        <v>253</v>
      </c>
      <c r="P1222" s="56">
        <f t="shared" si="407"/>
        <v>-10</v>
      </c>
      <c r="Q1222" s="62">
        <f t="shared" si="401"/>
        <v>2.2579999999999999E-2</v>
      </c>
      <c r="R1222" s="33">
        <f t="shared" si="402"/>
        <v>1.152E-5</v>
      </c>
      <c r="S1222" s="45">
        <f>0.37*Model!$B$10*(Q1222^2*(N1222-K1222)*I1222/(R1222*O1222^2))^0.33333*(N1222-K1222)</f>
        <v>0</v>
      </c>
      <c r="T1222" s="50">
        <f>Model!$B$32+(90-Model!$B$6)*SIN(RADIANS(-15*(E1222+6)))</f>
        <v>-31.619472402513487</v>
      </c>
      <c r="U1222" s="45">
        <f t="shared" si="408"/>
        <v>0</v>
      </c>
      <c r="V1222" s="50">
        <f t="shared" si="409"/>
        <v>99999</v>
      </c>
      <c r="W1222" s="45">
        <f t="shared" si="410"/>
        <v>0</v>
      </c>
      <c r="X1222" s="45">
        <f>0.3*W1222*Model!$B$9</f>
        <v>0</v>
      </c>
      <c r="Y1222" s="33">
        <f>(S1222-X1222)/Model!$B$11</f>
        <v>0</v>
      </c>
      <c r="Z1222" s="45" t="e">
        <f t="shared" si="411"/>
        <v>#DIV/0!</v>
      </c>
      <c r="AA1222" s="56">
        <f>Y1222/Model!$B$12*3600</f>
        <v>0</v>
      </c>
      <c r="AB1222" s="50">
        <f t="shared" si="416"/>
        <v>0</v>
      </c>
      <c r="AC1222" s="50">
        <f t="shared" si="403"/>
        <v>1800</v>
      </c>
      <c r="AD1222" s="15">
        <f>IF(AE1222=0, Model!$B$19, 0 )</f>
        <v>0</v>
      </c>
      <c r="AE1222" s="50">
        <f>IF(AE1221+AB1221-AB1222&lt;Model!$B$19*Model!$B$18, AE1221+AB1221-AB1222,  0)</f>
        <v>443.63457370611354</v>
      </c>
      <c r="AF1222" s="15">
        <f t="shared" si="412"/>
        <v>1</v>
      </c>
      <c r="AG1222" s="50">
        <f t="shared" si="413"/>
        <v>0</v>
      </c>
    </row>
    <row r="1223" spans="2:33" x14ac:dyDescent="0.25">
      <c r="B1223" s="13">
        <f t="shared" si="414"/>
        <v>1</v>
      </c>
      <c r="C1223" s="13">
        <f>B1223+Model!$B$4</f>
        <v>3</v>
      </c>
      <c r="D1223" s="13">
        <f t="shared" si="415"/>
        <v>1</v>
      </c>
      <c r="E1223" s="13">
        <f t="shared" si="399"/>
        <v>3</v>
      </c>
      <c r="F1223" s="14">
        <f>IF(AB1223&gt;0, VLOOKUP(B1223,Model!$A$40:$B$60, 2), 0)</f>
        <v>0</v>
      </c>
      <c r="G1223" s="13">
        <f>IF(AB1223&gt;0, VLOOKUP(B1223,Model!$A$39:$C$58, 3), 0)</f>
        <v>0</v>
      </c>
      <c r="H1223" s="13">
        <f t="shared" si="404"/>
        <v>0</v>
      </c>
      <c r="I1223" s="46">
        <f>Model!$B$21*EXP((-0.029*9.81*F1223)/(8.31*(273+J1223)))</f>
        <v>104500</v>
      </c>
      <c r="J1223" s="13">
        <f>IF(Model!$B$31="Summer",  IF(F1223&lt;=2000,  Model!$B$20-Model!$B$35*F1223/1000,  IF(F1223&lt;Model!$B$36,  Model!$B$33-6.5*F1223/1000,  Model!$B$38)),     IF(F1223&lt;=2000,  Model!$B$20-Model!$B$35*F1223/1000,  IF(F1223&lt;Model!$B$36,  Model!$B$33-5.4*F1223/1000,   Model!$B$38)))</f>
        <v>-20</v>
      </c>
      <c r="K1223" s="13">
        <f t="shared" si="400"/>
        <v>253</v>
      </c>
      <c r="L1223" s="46">
        <f>IF(AB1222-AA1222*(B1223-B1222)&gt;0, L1222-Y1222*(B1223-B1222)*3600-AD1223*Model!$B$16, 0)</f>
        <v>0</v>
      </c>
      <c r="M1223" s="57">
        <f t="shared" si="405"/>
        <v>0</v>
      </c>
      <c r="N1223" s="57">
        <f>Model!$B$13*I1223*K1223/(Model!$B$13*I1223-L1223*287*K1223)</f>
        <v>253</v>
      </c>
      <c r="O1223" s="57">
        <f t="shared" si="406"/>
        <v>253</v>
      </c>
      <c r="P1223" s="57">
        <f t="shared" si="407"/>
        <v>-10</v>
      </c>
      <c r="Q1223" s="63">
        <f t="shared" si="401"/>
        <v>2.2579999999999999E-2</v>
      </c>
      <c r="R1223" s="17">
        <f t="shared" si="402"/>
        <v>1.152E-5</v>
      </c>
      <c r="S1223" s="46">
        <f>0.37*Model!$B$10*(Q1223^2*(N1223-K1223)*I1223/(R1223*O1223^2))^0.33333*(N1223-K1223)</f>
        <v>0</v>
      </c>
      <c r="T1223" s="51">
        <f>Model!$B$32+(90-Model!$B$6)*SIN(RADIANS(-15*(E1223+6)))</f>
        <v>-31.619472402513487</v>
      </c>
      <c r="U1223" s="46">
        <f t="shared" si="408"/>
        <v>0</v>
      </c>
      <c r="V1223" s="51">
        <f t="shared" si="409"/>
        <v>99999</v>
      </c>
      <c r="W1223" s="46">
        <f t="shared" si="410"/>
        <v>0</v>
      </c>
      <c r="X1223" s="46">
        <f>0.3*W1223*Model!$B$9</f>
        <v>0</v>
      </c>
      <c r="Y1223" s="17">
        <f>(S1223-X1223)/Model!$B$11</f>
        <v>0</v>
      </c>
      <c r="Z1223" s="46" t="e">
        <f t="shared" si="411"/>
        <v>#DIV/0!</v>
      </c>
      <c r="AA1223" s="57">
        <f>Y1223/Model!$B$12*3600</f>
        <v>0</v>
      </c>
      <c r="AB1223" s="51">
        <f t="shared" si="416"/>
        <v>0</v>
      </c>
      <c r="AC1223" s="51">
        <f t="shared" si="403"/>
        <v>1800</v>
      </c>
      <c r="AD1223" s="13">
        <f>IF(AE1223=0, Model!$B$19, 0 )</f>
        <v>0</v>
      </c>
      <c r="AE1223" s="51">
        <f>IF(AE1222+AB1222-AB1223&lt;Model!$B$19*Model!$B$18, AE1222+AB1222-AB1223,  0)</f>
        <v>443.63457370611354</v>
      </c>
      <c r="AF1223" s="13">
        <f t="shared" si="412"/>
        <v>1</v>
      </c>
      <c r="AG1223" s="50">
        <f t="shared" si="413"/>
        <v>0</v>
      </c>
    </row>
    <row r="1224" spans="2:33" x14ac:dyDescent="0.25">
      <c r="B1224" s="15">
        <f t="shared" si="414"/>
        <v>1</v>
      </c>
      <c r="C1224" s="15">
        <f>B1224+Model!$B$4</f>
        <v>3</v>
      </c>
      <c r="D1224" s="15">
        <f t="shared" si="415"/>
        <v>1</v>
      </c>
      <c r="E1224" s="15">
        <f t="shared" si="399"/>
        <v>3</v>
      </c>
      <c r="F1224" s="16">
        <f>IF(AB1224&gt;0, VLOOKUP(B1224,Model!$A$40:$B$60, 2), 0)</f>
        <v>0</v>
      </c>
      <c r="G1224" s="15">
        <f>IF(AB1224&gt;0, VLOOKUP(B1224,Model!$A$39:$C$58, 3), 0)</f>
        <v>0</v>
      </c>
      <c r="H1224" s="15">
        <f t="shared" si="404"/>
        <v>0</v>
      </c>
      <c r="I1224" s="45">
        <f>Model!$B$21*EXP((-0.029*9.81*F1224)/(8.31*(273+J1224)))</f>
        <v>104500</v>
      </c>
      <c r="J1224" s="15">
        <f>IF(Model!$B$31="Summer",  IF(F1224&lt;=2000,  Model!$B$20-Model!$B$35*F1224/1000,  IF(F1224&lt;Model!$B$36,  Model!$B$33-6.5*F1224/1000,  Model!$B$38)),     IF(F1224&lt;=2000,  Model!$B$20-Model!$B$35*F1224/1000,  IF(F1224&lt;Model!$B$36,  Model!$B$33-5.4*F1224/1000,   Model!$B$38)))</f>
        <v>-20</v>
      </c>
      <c r="K1224" s="15">
        <f t="shared" si="400"/>
        <v>253</v>
      </c>
      <c r="L1224" s="45">
        <f>IF(AB1223-AA1223*(B1224-B1223)&gt;0, L1223-Y1223*(B1224-B1223)*3600-AD1224*Model!$B$16, 0)</f>
        <v>0</v>
      </c>
      <c r="M1224" s="56">
        <f t="shared" si="405"/>
        <v>0</v>
      </c>
      <c r="N1224" s="56">
        <f>Model!$B$13*I1224*K1224/(Model!$B$13*I1224-L1224*287*K1224)</f>
        <v>253</v>
      </c>
      <c r="O1224" s="56">
        <f t="shared" si="406"/>
        <v>253</v>
      </c>
      <c r="P1224" s="56">
        <f t="shared" si="407"/>
        <v>-10</v>
      </c>
      <c r="Q1224" s="62">
        <f t="shared" si="401"/>
        <v>2.2579999999999999E-2</v>
      </c>
      <c r="R1224" s="33">
        <f t="shared" si="402"/>
        <v>1.152E-5</v>
      </c>
      <c r="S1224" s="45">
        <f>0.37*Model!$B$10*(Q1224^2*(N1224-K1224)*I1224/(R1224*O1224^2))^0.33333*(N1224-K1224)</f>
        <v>0</v>
      </c>
      <c r="T1224" s="50">
        <f>Model!$B$32+(90-Model!$B$6)*SIN(RADIANS(-15*(E1224+6)))</f>
        <v>-31.619472402513487</v>
      </c>
      <c r="U1224" s="45">
        <f t="shared" si="408"/>
        <v>0</v>
      </c>
      <c r="V1224" s="50">
        <f t="shared" si="409"/>
        <v>99999</v>
      </c>
      <c r="W1224" s="45">
        <f t="shared" si="410"/>
        <v>0</v>
      </c>
      <c r="X1224" s="45">
        <f>0.3*W1224*Model!$B$9</f>
        <v>0</v>
      </c>
      <c r="Y1224" s="33">
        <f>(S1224-X1224)/Model!$B$11</f>
        <v>0</v>
      </c>
      <c r="Z1224" s="45" t="e">
        <f t="shared" si="411"/>
        <v>#DIV/0!</v>
      </c>
      <c r="AA1224" s="56">
        <f>Y1224/Model!$B$12*3600</f>
        <v>0</v>
      </c>
      <c r="AB1224" s="50">
        <f t="shared" si="416"/>
        <v>0</v>
      </c>
      <c r="AC1224" s="50">
        <f t="shared" si="403"/>
        <v>1800</v>
      </c>
      <c r="AD1224" s="15">
        <f>IF(AE1224=0, Model!$B$19, 0 )</f>
        <v>0</v>
      </c>
      <c r="AE1224" s="50">
        <f>IF(AE1223+AB1223-AB1224&lt;Model!$B$19*Model!$B$18, AE1223+AB1223-AB1224,  0)</f>
        <v>443.63457370611354</v>
      </c>
      <c r="AF1224" s="15">
        <f t="shared" si="412"/>
        <v>1</v>
      </c>
      <c r="AG1224" s="50">
        <f t="shared" si="413"/>
        <v>0</v>
      </c>
    </row>
    <row r="1225" spans="2:33" x14ac:dyDescent="0.25">
      <c r="B1225" s="13">
        <f t="shared" si="414"/>
        <v>1</v>
      </c>
      <c r="C1225" s="13">
        <f>B1225+Model!$B$4</f>
        <v>3</v>
      </c>
      <c r="D1225" s="13">
        <f t="shared" si="415"/>
        <v>1</v>
      </c>
      <c r="E1225" s="13">
        <f t="shared" si="399"/>
        <v>3</v>
      </c>
      <c r="F1225" s="14">
        <f>IF(AB1225&gt;0, VLOOKUP(B1225,Model!$A$40:$B$60, 2), 0)</f>
        <v>0</v>
      </c>
      <c r="G1225" s="13">
        <f>IF(AB1225&gt;0, VLOOKUP(B1225,Model!$A$39:$C$58, 3), 0)</f>
        <v>0</v>
      </c>
      <c r="H1225" s="13">
        <f t="shared" si="404"/>
        <v>0</v>
      </c>
      <c r="I1225" s="46">
        <f>Model!$B$21*EXP((-0.029*9.81*F1225)/(8.31*(273+J1225)))</f>
        <v>104500</v>
      </c>
      <c r="J1225" s="13">
        <f>IF(Model!$B$31="Summer",  IF(F1225&lt;=2000,  Model!$B$20-Model!$B$35*F1225/1000,  IF(F1225&lt;Model!$B$36,  Model!$B$33-6.5*F1225/1000,  Model!$B$38)),     IF(F1225&lt;=2000,  Model!$B$20-Model!$B$35*F1225/1000,  IF(F1225&lt;Model!$B$36,  Model!$B$33-5.4*F1225/1000,   Model!$B$38)))</f>
        <v>-20</v>
      </c>
      <c r="K1225" s="13">
        <f t="shared" si="400"/>
        <v>253</v>
      </c>
      <c r="L1225" s="46">
        <f>IF(AB1224-AA1224*(B1225-B1224)&gt;0, L1224-Y1224*(B1225-B1224)*3600-AD1225*Model!$B$16, 0)</f>
        <v>0</v>
      </c>
      <c r="M1225" s="57">
        <f t="shared" si="405"/>
        <v>0</v>
      </c>
      <c r="N1225" s="57">
        <f>Model!$B$13*I1225*K1225/(Model!$B$13*I1225-L1225*287*K1225)</f>
        <v>253</v>
      </c>
      <c r="O1225" s="57">
        <f t="shared" si="406"/>
        <v>253</v>
      </c>
      <c r="P1225" s="57">
        <f t="shared" si="407"/>
        <v>-10</v>
      </c>
      <c r="Q1225" s="63">
        <f t="shared" si="401"/>
        <v>2.2579999999999999E-2</v>
      </c>
      <c r="R1225" s="17">
        <f t="shared" si="402"/>
        <v>1.152E-5</v>
      </c>
      <c r="S1225" s="46">
        <f>0.37*Model!$B$10*(Q1225^2*(N1225-K1225)*I1225/(R1225*O1225^2))^0.33333*(N1225-K1225)</f>
        <v>0</v>
      </c>
      <c r="T1225" s="51">
        <f>Model!$B$32+(90-Model!$B$6)*SIN(RADIANS(-15*(E1225+6)))</f>
        <v>-31.619472402513487</v>
      </c>
      <c r="U1225" s="46">
        <f t="shared" si="408"/>
        <v>0</v>
      </c>
      <c r="V1225" s="51">
        <f t="shared" si="409"/>
        <v>99999</v>
      </c>
      <c r="W1225" s="46">
        <f t="shared" si="410"/>
        <v>0</v>
      </c>
      <c r="X1225" s="46">
        <f>0.3*W1225*Model!$B$9</f>
        <v>0</v>
      </c>
      <c r="Y1225" s="17">
        <f>(S1225-X1225)/Model!$B$11</f>
        <v>0</v>
      </c>
      <c r="Z1225" s="46" t="e">
        <f t="shared" si="411"/>
        <v>#DIV/0!</v>
      </c>
      <c r="AA1225" s="57">
        <f>Y1225/Model!$B$12*3600</f>
        <v>0</v>
      </c>
      <c r="AB1225" s="51">
        <f t="shared" si="416"/>
        <v>0</v>
      </c>
      <c r="AC1225" s="51">
        <f t="shared" si="403"/>
        <v>1800</v>
      </c>
      <c r="AD1225" s="13">
        <f>IF(AE1225=0, Model!$B$19, 0 )</f>
        <v>0</v>
      </c>
      <c r="AE1225" s="51">
        <f>IF(AE1224+AB1224-AB1225&lt;Model!$B$19*Model!$B$18, AE1224+AB1224-AB1225,  0)</f>
        <v>443.63457370611354</v>
      </c>
      <c r="AF1225" s="13">
        <f t="shared" si="412"/>
        <v>1</v>
      </c>
      <c r="AG1225" s="50">
        <f t="shared" si="413"/>
        <v>0</v>
      </c>
    </row>
    <row r="1226" spans="2:33" x14ac:dyDescent="0.25">
      <c r="B1226" s="15">
        <f t="shared" si="414"/>
        <v>1</v>
      </c>
      <c r="C1226" s="15">
        <f>B1226+Model!$B$4</f>
        <v>3</v>
      </c>
      <c r="D1226" s="15">
        <f t="shared" si="415"/>
        <v>1</v>
      </c>
      <c r="E1226" s="15">
        <f t="shared" si="399"/>
        <v>3</v>
      </c>
      <c r="F1226" s="16">
        <f>IF(AB1226&gt;0, VLOOKUP(B1226,Model!$A$40:$B$60, 2), 0)</f>
        <v>0</v>
      </c>
      <c r="G1226" s="15">
        <f>IF(AB1226&gt;0, VLOOKUP(B1226,Model!$A$39:$C$58, 3), 0)</f>
        <v>0</v>
      </c>
      <c r="H1226" s="15">
        <f t="shared" si="404"/>
        <v>0</v>
      </c>
      <c r="I1226" s="45">
        <f>Model!$B$21*EXP((-0.029*9.81*F1226)/(8.31*(273+J1226)))</f>
        <v>104500</v>
      </c>
      <c r="J1226" s="15">
        <f>IF(Model!$B$31="Summer",  IF(F1226&lt;=2000,  Model!$B$20-Model!$B$35*F1226/1000,  IF(F1226&lt;Model!$B$36,  Model!$B$33-6.5*F1226/1000,  Model!$B$38)),     IF(F1226&lt;=2000,  Model!$B$20-Model!$B$35*F1226/1000,  IF(F1226&lt;Model!$B$36,  Model!$B$33-5.4*F1226/1000,   Model!$B$38)))</f>
        <v>-20</v>
      </c>
      <c r="K1226" s="15">
        <f t="shared" si="400"/>
        <v>253</v>
      </c>
      <c r="L1226" s="45">
        <f>IF(AB1225-AA1225*(B1226-B1225)&gt;0, L1225-Y1225*(B1226-B1225)*3600-AD1226*Model!$B$16, 0)</f>
        <v>0</v>
      </c>
      <c r="M1226" s="56">
        <f t="shared" si="405"/>
        <v>0</v>
      </c>
      <c r="N1226" s="56">
        <f>Model!$B$13*I1226*K1226/(Model!$B$13*I1226-L1226*287*K1226)</f>
        <v>253</v>
      </c>
      <c r="O1226" s="56">
        <f t="shared" si="406"/>
        <v>253</v>
      </c>
      <c r="P1226" s="56">
        <f t="shared" si="407"/>
        <v>-10</v>
      </c>
      <c r="Q1226" s="62">
        <f t="shared" si="401"/>
        <v>2.2579999999999999E-2</v>
      </c>
      <c r="R1226" s="33">
        <f t="shared" si="402"/>
        <v>1.152E-5</v>
      </c>
      <c r="S1226" s="45">
        <f>0.37*Model!$B$10*(Q1226^2*(N1226-K1226)*I1226/(R1226*O1226^2))^0.33333*(N1226-K1226)</f>
        <v>0</v>
      </c>
      <c r="T1226" s="50">
        <f>Model!$B$32+(90-Model!$B$6)*SIN(RADIANS(-15*(E1226+6)))</f>
        <v>-31.619472402513487</v>
      </c>
      <c r="U1226" s="45">
        <f t="shared" si="408"/>
        <v>0</v>
      </c>
      <c r="V1226" s="50">
        <f t="shared" si="409"/>
        <v>99999</v>
      </c>
      <c r="W1226" s="45">
        <f t="shared" si="410"/>
        <v>0</v>
      </c>
      <c r="X1226" s="45">
        <f>0.3*W1226*Model!$B$9</f>
        <v>0</v>
      </c>
      <c r="Y1226" s="33">
        <f>(S1226-X1226)/Model!$B$11</f>
        <v>0</v>
      </c>
      <c r="Z1226" s="45" t="e">
        <f t="shared" si="411"/>
        <v>#DIV/0!</v>
      </c>
      <c r="AA1226" s="56">
        <f>Y1226/Model!$B$12*3600</f>
        <v>0</v>
      </c>
      <c r="AB1226" s="50">
        <f t="shared" si="416"/>
        <v>0</v>
      </c>
      <c r="AC1226" s="50">
        <f t="shared" si="403"/>
        <v>1800</v>
      </c>
      <c r="AD1226" s="15">
        <f>IF(AE1226=0, Model!$B$19, 0 )</f>
        <v>0</v>
      </c>
      <c r="AE1226" s="50">
        <f>IF(AE1225+AB1225-AB1226&lt;Model!$B$19*Model!$B$18, AE1225+AB1225-AB1226,  0)</f>
        <v>443.63457370611354</v>
      </c>
      <c r="AF1226" s="15">
        <f t="shared" si="412"/>
        <v>1</v>
      </c>
      <c r="AG1226" s="50">
        <f t="shared" si="413"/>
        <v>0</v>
      </c>
    </row>
    <row r="1227" spans="2:33" x14ac:dyDescent="0.25">
      <c r="B1227" s="13">
        <f t="shared" si="414"/>
        <v>1</v>
      </c>
      <c r="C1227" s="13">
        <f>B1227+Model!$B$4</f>
        <v>3</v>
      </c>
      <c r="D1227" s="13">
        <f t="shared" si="415"/>
        <v>1</v>
      </c>
      <c r="E1227" s="13">
        <f t="shared" si="399"/>
        <v>3</v>
      </c>
      <c r="F1227" s="14">
        <f>IF(AB1227&gt;0, VLOOKUP(B1227,Model!$A$40:$B$60, 2), 0)</f>
        <v>0</v>
      </c>
      <c r="G1227" s="13">
        <f>IF(AB1227&gt;0, VLOOKUP(B1227,Model!$A$39:$C$58, 3), 0)</f>
        <v>0</v>
      </c>
      <c r="H1227" s="13">
        <f t="shared" si="404"/>
        <v>0</v>
      </c>
      <c r="I1227" s="46">
        <f>Model!$B$21*EXP((-0.029*9.81*F1227)/(8.31*(273+J1227)))</f>
        <v>104500</v>
      </c>
      <c r="J1227" s="13">
        <f>IF(Model!$B$31="Summer",  IF(F1227&lt;=2000,  Model!$B$20-Model!$B$35*F1227/1000,  IF(F1227&lt;Model!$B$36,  Model!$B$33-6.5*F1227/1000,  Model!$B$38)),     IF(F1227&lt;=2000,  Model!$B$20-Model!$B$35*F1227/1000,  IF(F1227&lt;Model!$B$36,  Model!$B$33-5.4*F1227/1000,   Model!$B$38)))</f>
        <v>-20</v>
      </c>
      <c r="K1227" s="13">
        <f t="shared" ref="K1227:K1275" si="417">273+J1227</f>
        <v>253</v>
      </c>
      <c r="L1227" s="46">
        <f>IF(AB1226-AA1226*(B1227-B1226)&gt;0, L1226-Y1226*(B1227-B1226)*3600-AD1227*Model!$B$16, 0)</f>
        <v>0</v>
      </c>
      <c r="M1227" s="57">
        <f t="shared" si="405"/>
        <v>0</v>
      </c>
      <c r="N1227" s="57">
        <f>Model!$B$13*I1227*K1227/(Model!$B$13*I1227-L1227*287*K1227)</f>
        <v>253</v>
      </c>
      <c r="O1227" s="57">
        <f t="shared" si="406"/>
        <v>253</v>
      </c>
      <c r="P1227" s="57">
        <f t="shared" si="407"/>
        <v>-10</v>
      </c>
      <c r="Q1227" s="63">
        <f t="shared" ref="Q1227:Q1275" si="418">(O1227-273)*7.1*0.00001+0.024</f>
        <v>2.2579999999999999E-2</v>
      </c>
      <c r="R1227" s="17">
        <f t="shared" ref="R1227:R1275" si="419">((O1227-273)*0.104+13.6)*0.000001</f>
        <v>1.152E-5</v>
      </c>
      <c r="S1227" s="46">
        <f>0.37*Model!$B$10*(Q1227^2*(N1227-K1227)*I1227/(R1227*O1227^2))^0.33333*(N1227-K1227)</f>
        <v>0</v>
      </c>
      <c r="T1227" s="51">
        <f>Model!$B$32+(90-Model!$B$6)*SIN(RADIANS(-15*(E1227+6)))</f>
        <v>-31.619472402513487</v>
      </c>
      <c r="U1227" s="46">
        <f t="shared" si="408"/>
        <v>0</v>
      </c>
      <c r="V1227" s="51">
        <f t="shared" si="409"/>
        <v>99999</v>
      </c>
      <c r="W1227" s="46">
        <f t="shared" si="410"/>
        <v>0</v>
      </c>
      <c r="X1227" s="46">
        <f>0.3*W1227*Model!$B$9</f>
        <v>0</v>
      </c>
      <c r="Y1227" s="17">
        <f>(S1227-X1227)/Model!$B$11</f>
        <v>0</v>
      </c>
      <c r="Z1227" s="46" t="e">
        <f t="shared" si="411"/>
        <v>#DIV/0!</v>
      </c>
      <c r="AA1227" s="57">
        <f>Y1227/Model!$B$12*3600</f>
        <v>0</v>
      </c>
      <c r="AB1227" s="51">
        <f t="shared" si="416"/>
        <v>0</v>
      </c>
      <c r="AC1227" s="51">
        <f t="shared" ref="AC1227:AC1275" si="420">AC1226+AB1226-AB1227</f>
        <v>1800</v>
      </c>
      <c r="AD1227" s="13">
        <f>IF(AE1227=0, Model!$B$19, 0 )</f>
        <v>0</v>
      </c>
      <c r="AE1227" s="51">
        <f>IF(AE1226+AB1226-AB1227&lt;Model!$B$19*Model!$B$18, AE1226+AB1226-AB1227,  0)</f>
        <v>443.63457370611354</v>
      </c>
      <c r="AF1227" s="13">
        <f t="shared" si="412"/>
        <v>1</v>
      </c>
      <c r="AG1227" s="50">
        <f t="shared" si="413"/>
        <v>0</v>
      </c>
    </row>
    <row r="1228" spans="2:33" x14ac:dyDescent="0.25">
      <c r="B1228" s="15">
        <f t="shared" si="414"/>
        <v>1</v>
      </c>
      <c r="C1228" s="15">
        <f>B1228+Model!$B$4</f>
        <v>3</v>
      </c>
      <c r="D1228" s="15">
        <f t="shared" si="415"/>
        <v>1</v>
      </c>
      <c r="E1228" s="15">
        <f t="shared" si="399"/>
        <v>3</v>
      </c>
      <c r="F1228" s="16">
        <f>IF(AB1228&gt;0, VLOOKUP(B1228,Model!$A$40:$B$60, 2), 0)</f>
        <v>0</v>
      </c>
      <c r="G1228" s="15">
        <f>IF(AB1228&gt;0, VLOOKUP(B1228,Model!$A$39:$C$58, 3), 0)</f>
        <v>0</v>
      </c>
      <c r="H1228" s="15">
        <f t="shared" si="404"/>
        <v>0</v>
      </c>
      <c r="I1228" s="45">
        <f>Model!$B$21*EXP((-0.029*9.81*F1228)/(8.31*(273+J1228)))</f>
        <v>104500</v>
      </c>
      <c r="J1228" s="15">
        <f>IF(Model!$B$31="Summer",  IF(F1228&lt;=2000,  Model!$B$20-Model!$B$35*F1228/1000,  IF(F1228&lt;Model!$B$36,  Model!$B$33-6.5*F1228/1000,  Model!$B$38)),     IF(F1228&lt;=2000,  Model!$B$20-Model!$B$35*F1228/1000,  IF(F1228&lt;Model!$B$36,  Model!$B$33-5.4*F1228/1000,   Model!$B$38)))</f>
        <v>-20</v>
      </c>
      <c r="K1228" s="15">
        <f t="shared" si="417"/>
        <v>253</v>
      </c>
      <c r="L1228" s="45">
        <f>IF(AB1227-AA1227*(B1228-B1227)&gt;0, L1227-Y1227*(B1228-B1227)*3600-AD1228*Model!$B$16, 0)</f>
        <v>0</v>
      </c>
      <c r="M1228" s="56">
        <f t="shared" si="405"/>
        <v>0</v>
      </c>
      <c r="N1228" s="56">
        <f>Model!$B$13*I1228*K1228/(Model!$B$13*I1228-L1228*287*K1228)</f>
        <v>253</v>
      </c>
      <c r="O1228" s="56">
        <f t="shared" si="406"/>
        <v>253</v>
      </c>
      <c r="P1228" s="56">
        <f t="shared" si="407"/>
        <v>-10</v>
      </c>
      <c r="Q1228" s="62">
        <f t="shared" si="418"/>
        <v>2.2579999999999999E-2</v>
      </c>
      <c r="R1228" s="33">
        <f t="shared" si="419"/>
        <v>1.152E-5</v>
      </c>
      <c r="S1228" s="45">
        <f>0.37*Model!$B$10*(Q1228^2*(N1228-K1228)*I1228/(R1228*O1228^2))^0.33333*(N1228-K1228)</f>
        <v>0</v>
      </c>
      <c r="T1228" s="50">
        <f>Model!$B$32+(90-Model!$B$6)*SIN(RADIANS(-15*(E1228+6)))</f>
        <v>-31.619472402513487</v>
      </c>
      <c r="U1228" s="45">
        <f t="shared" si="408"/>
        <v>0</v>
      </c>
      <c r="V1228" s="50">
        <f t="shared" si="409"/>
        <v>99999</v>
      </c>
      <c r="W1228" s="45">
        <f t="shared" si="410"/>
        <v>0</v>
      </c>
      <c r="X1228" s="45">
        <f>0.3*W1228*Model!$B$9</f>
        <v>0</v>
      </c>
      <c r="Y1228" s="33">
        <f>(S1228-X1228)/Model!$B$11</f>
        <v>0</v>
      </c>
      <c r="Z1228" s="45" t="e">
        <f t="shared" si="411"/>
        <v>#DIV/0!</v>
      </c>
      <c r="AA1228" s="56">
        <f>Y1228/Model!$B$12*3600</f>
        <v>0</v>
      </c>
      <c r="AB1228" s="50">
        <f t="shared" si="416"/>
        <v>0</v>
      </c>
      <c r="AC1228" s="50">
        <f t="shared" si="420"/>
        <v>1800</v>
      </c>
      <c r="AD1228" s="15">
        <f>IF(AE1228=0, Model!$B$19, 0 )</f>
        <v>0</v>
      </c>
      <c r="AE1228" s="50">
        <f>IF(AE1227+AB1227-AB1228&lt;Model!$B$19*Model!$B$18, AE1227+AB1227-AB1228,  0)</f>
        <v>443.63457370611354</v>
      </c>
      <c r="AF1228" s="15">
        <f t="shared" si="412"/>
        <v>1</v>
      </c>
      <c r="AG1228" s="50">
        <f t="shared" si="413"/>
        <v>0</v>
      </c>
    </row>
    <row r="1229" spans="2:33" x14ac:dyDescent="0.25">
      <c r="B1229" s="13">
        <f t="shared" si="414"/>
        <v>1</v>
      </c>
      <c r="C1229" s="13">
        <f>B1229+Model!$B$4</f>
        <v>3</v>
      </c>
      <c r="D1229" s="13">
        <f t="shared" si="415"/>
        <v>1</v>
      </c>
      <c r="E1229" s="13">
        <f t="shared" si="399"/>
        <v>3</v>
      </c>
      <c r="F1229" s="14">
        <f>IF(AB1229&gt;0, VLOOKUP(B1229,Model!$A$40:$B$60, 2), 0)</f>
        <v>0</v>
      </c>
      <c r="G1229" s="13">
        <f>IF(AB1229&gt;0, VLOOKUP(B1229,Model!$A$39:$C$58, 3), 0)</f>
        <v>0</v>
      </c>
      <c r="H1229" s="13">
        <f t="shared" si="404"/>
        <v>0</v>
      </c>
      <c r="I1229" s="46">
        <f>Model!$B$21*EXP((-0.029*9.81*F1229)/(8.31*(273+J1229)))</f>
        <v>104500</v>
      </c>
      <c r="J1229" s="13">
        <f>IF(Model!$B$31="Summer",  IF(F1229&lt;=2000,  Model!$B$20-Model!$B$35*F1229/1000,  IF(F1229&lt;Model!$B$36,  Model!$B$33-6.5*F1229/1000,  Model!$B$38)),     IF(F1229&lt;=2000,  Model!$B$20-Model!$B$35*F1229/1000,  IF(F1229&lt;Model!$B$36,  Model!$B$33-5.4*F1229/1000,   Model!$B$38)))</f>
        <v>-20</v>
      </c>
      <c r="K1229" s="13">
        <f t="shared" si="417"/>
        <v>253</v>
      </c>
      <c r="L1229" s="46">
        <f>IF(AB1228-AA1228*(B1229-B1228)&gt;0, L1228-Y1228*(B1229-B1228)*3600-AD1229*Model!$B$16, 0)</f>
        <v>0</v>
      </c>
      <c r="M1229" s="57">
        <f t="shared" si="405"/>
        <v>0</v>
      </c>
      <c r="N1229" s="57">
        <f>Model!$B$13*I1229*K1229/(Model!$B$13*I1229-L1229*287*K1229)</f>
        <v>253</v>
      </c>
      <c r="O1229" s="57">
        <f t="shared" si="406"/>
        <v>253</v>
      </c>
      <c r="P1229" s="57">
        <f t="shared" si="407"/>
        <v>-10</v>
      </c>
      <c r="Q1229" s="63">
        <f t="shared" si="418"/>
        <v>2.2579999999999999E-2</v>
      </c>
      <c r="R1229" s="17">
        <f t="shared" si="419"/>
        <v>1.152E-5</v>
      </c>
      <c r="S1229" s="46">
        <f>0.37*Model!$B$10*(Q1229^2*(N1229-K1229)*I1229/(R1229*O1229^2))^0.33333*(N1229-K1229)</f>
        <v>0</v>
      </c>
      <c r="T1229" s="51">
        <f>Model!$B$32+(90-Model!$B$6)*SIN(RADIANS(-15*(E1229+6)))</f>
        <v>-31.619472402513487</v>
      </c>
      <c r="U1229" s="46">
        <f t="shared" si="408"/>
        <v>0</v>
      </c>
      <c r="V1229" s="51">
        <f t="shared" si="409"/>
        <v>99999</v>
      </c>
      <c r="W1229" s="46">
        <f t="shared" si="410"/>
        <v>0</v>
      </c>
      <c r="X1229" s="46">
        <f>0.3*W1229*Model!$B$9</f>
        <v>0</v>
      </c>
      <c r="Y1229" s="17">
        <f>(S1229-X1229)/Model!$B$11</f>
        <v>0</v>
      </c>
      <c r="Z1229" s="46" t="e">
        <f t="shared" si="411"/>
        <v>#DIV/0!</v>
      </c>
      <c r="AA1229" s="57">
        <f>Y1229/Model!$B$12*3600</f>
        <v>0</v>
      </c>
      <c r="AB1229" s="51">
        <f t="shared" si="416"/>
        <v>0</v>
      </c>
      <c r="AC1229" s="51">
        <f t="shared" si="420"/>
        <v>1800</v>
      </c>
      <c r="AD1229" s="13">
        <f>IF(AE1229=0, Model!$B$19, 0 )</f>
        <v>0</v>
      </c>
      <c r="AE1229" s="51">
        <f>IF(AE1228+AB1228-AB1229&lt;Model!$B$19*Model!$B$18, AE1228+AB1228-AB1229,  0)</f>
        <v>443.63457370611354</v>
      </c>
      <c r="AF1229" s="13">
        <f t="shared" si="412"/>
        <v>1</v>
      </c>
      <c r="AG1229" s="50">
        <f t="shared" si="413"/>
        <v>0</v>
      </c>
    </row>
    <row r="1230" spans="2:33" x14ac:dyDescent="0.25">
      <c r="B1230" s="15">
        <f t="shared" si="414"/>
        <v>1</v>
      </c>
      <c r="C1230" s="15">
        <f>B1230+Model!$B$4</f>
        <v>3</v>
      </c>
      <c r="D1230" s="15">
        <f t="shared" si="415"/>
        <v>1</v>
      </c>
      <c r="E1230" s="15">
        <f t="shared" si="399"/>
        <v>3</v>
      </c>
      <c r="F1230" s="16">
        <f>IF(AB1230&gt;0, VLOOKUP(B1230,Model!$A$40:$B$60, 2), 0)</f>
        <v>0</v>
      </c>
      <c r="G1230" s="15">
        <f>IF(AB1230&gt;0, VLOOKUP(B1230,Model!$A$39:$C$58, 3), 0)</f>
        <v>0</v>
      </c>
      <c r="H1230" s="15">
        <f t="shared" si="404"/>
        <v>0</v>
      </c>
      <c r="I1230" s="45">
        <f>Model!$B$21*EXP((-0.029*9.81*F1230)/(8.31*(273+J1230)))</f>
        <v>104500</v>
      </c>
      <c r="J1230" s="15">
        <f>IF(Model!$B$31="Summer",  IF(F1230&lt;=2000,  Model!$B$20-Model!$B$35*F1230/1000,  IF(F1230&lt;Model!$B$36,  Model!$B$33-6.5*F1230/1000,  Model!$B$38)),     IF(F1230&lt;=2000,  Model!$B$20-Model!$B$35*F1230/1000,  IF(F1230&lt;Model!$B$36,  Model!$B$33-5.4*F1230/1000,   Model!$B$38)))</f>
        <v>-20</v>
      </c>
      <c r="K1230" s="15">
        <f t="shared" si="417"/>
        <v>253</v>
      </c>
      <c r="L1230" s="45">
        <f>IF(AB1229-AA1229*(B1230-B1229)&gt;0, L1229-Y1229*(B1230-B1229)*3600-AD1230*Model!$B$16, 0)</f>
        <v>0</v>
      </c>
      <c r="M1230" s="56">
        <f t="shared" si="405"/>
        <v>0</v>
      </c>
      <c r="N1230" s="56">
        <f>Model!$B$13*I1230*K1230/(Model!$B$13*I1230-L1230*287*K1230)</f>
        <v>253</v>
      </c>
      <c r="O1230" s="56">
        <f t="shared" si="406"/>
        <v>253</v>
      </c>
      <c r="P1230" s="56">
        <f t="shared" si="407"/>
        <v>-10</v>
      </c>
      <c r="Q1230" s="62">
        <f t="shared" si="418"/>
        <v>2.2579999999999999E-2</v>
      </c>
      <c r="R1230" s="33">
        <f t="shared" si="419"/>
        <v>1.152E-5</v>
      </c>
      <c r="S1230" s="45">
        <f>0.37*Model!$B$10*(Q1230^2*(N1230-K1230)*I1230/(R1230*O1230^2))^0.33333*(N1230-K1230)</f>
        <v>0</v>
      </c>
      <c r="T1230" s="50">
        <f>Model!$B$32+(90-Model!$B$6)*SIN(RADIANS(-15*(E1230+6)))</f>
        <v>-31.619472402513487</v>
      </c>
      <c r="U1230" s="45">
        <f t="shared" si="408"/>
        <v>0</v>
      </c>
      <c r="V1230" s="50">
        <f t="shared" si="409"/>
        <v>99999</v>
      </c>
      <c r="W1230" s="45">
        <f t="shared" si="410"/>
        <v>0</v>
      </c>
      <c r="X1230" s="45">
        <f>0.3*W1230*Model!$B$9</f>
        <v>0</v>
      </c>
      <c r="Y1230" s="33">
        <f>(S1230-X1230)/Model!$B$11</f>
        <v>0</v>
      </c>
      <c r="Z1230" s="45" t="e">
        <f t="shared" si="411"/>
        <v>#DIV/0!</v>
      </c>
      <c r="AA1230" s="56">
        <f>Y1230/Model!$B$12*3600</f>
        <v>0</v>
      </c>
      <c r="AB1230" s="50">
        <f t="shared" si="416"/>
        <v>0</v>
      </c>
      <c r="AC1230" s="50">
        <f t="shared" si="420"/>
        <v>1800</v>
      </c>
      <c r="AD1230" s="15">
        <f>IF(AE1230=0, Model!$B$19, 0 )</f>
        <v>0</v>
      </c>
      <c r="AE1230" s="50">
        <f>IF(AE1229+AB1229-AB1230&lt;Model!$B$19*Model!$B$18, AE1229+AB1229-AB1230,  0)</f>
        <v>443.63457370611354</v>
      </c>
      <c r="AF1230" s="15">
        <f t="shared" si="412"/>
        <v>1</v>
      </c>
      <c r="AG1230" s="50">
        <f t="shared" si="413"/>
        <v>0</v>
      </c>
    </row>
    <row r="1231" spans="2:33" x14ac:dyDescent="0.25">
      <c r="B1231" s="13">
        <f t="shared" si="414"/>
        <v>1</v>
      </c>
      <c r="C1231" s="13">
        <f>B1231+Model!$B$4</f>
        <v>3</v>
      </c>
      <c r="D1231" s="13">
        <f t="shared" si="415"/>
        <v>1</v>
      </c>
      <c r="E1231" s="13">
        <f t="shared" si="399"/>
        <v>3</v>
      </c>
      <c r="F1231" s="14">
        <f>IF(AB1231&gt;0, VLOOKUP(B1231,Model!$A$40:$B$60, 2), 0)</f>
        <v>0</v>
      </c>
      <c r="G1231" s="13">
        <f>IF(AB1231&gt;0, VLOOKUP(B1231,Model!$A$39:$C$58, 3), 0)</f>
        <v>0</v>
      </c>
      <c r="H1231" s="13">
        <f t="shared" si="404"/>
        <v>0</v>
      </c>
      <c r="I1231" s="46">
        <f>Model!$B$21*EXP((-0.029*9.81*F1231)/(8.31*(273+J1231)))</f>
        <v>104500</v>
      </c>
      <c r="J1231" s="13">
        <f>IF(Model!$B$31="Summer",  IF(F1231&lt;=2000,  Model!$B$20-Model!$B$35*F1231/1000,  IF(F1231&lt;Model!$B$36,  Model!$B$33-6.5*F1231/1000,  Model!$B$38)),     IF(F1231&lt;=2000,  Model!$B$20-Model!$B$35*F1231/1000,  IF(F1231&lt;Model!$B$36,  Model!$B$33-5.4*F1231/1000,   Model!$B$38)))</f>
        <v>-20</v>
      </c>
      <c r="K1231" s="13">
        <f t="shared" si="417"/>
        <v>253</v>
      </c>
      <c r="L1231" s="46">
        <f>IF(AB1230-AA1230*(B1231-B1230)&gt;0, L1230-Y1230*(B1231-B1230)*3600-AD1231*Model!$B$16, 0)</f>
        <v>0</v>
      </c>
      <c r="M1231" s="57">
        <f t="shared" si="405"/>
        <v>0</v>
      </c>
      <c r="N1231" s="57">
        <f>Model!$B$13*I1231*K1231/(Model!$B$13*I1231-L1231*287*K1231)</f>
        <v>253</v>
      </c>
      <c r="O1231" s="57">
        <f t="shared" si="406"/>
        <v>253</v>
      </c>
      <c r="P1231" s="57">
        <f t="shared" si="407"/>
        <v>-10</v>
      </c>
      <c r="Q1231" s="63">
        <f t="shared" si="418"/>
        <v>2.2579999999999999E-2</v>
      </c>
      <c r="R1231" s="17">
        <f t="shared" si="419"/>
        <v>1.152E-5</v>
      </c>
      <c r="S1231" s="46">
        <f>0.37*Model!$B$10*(Q1231^2*(N1231-K1231)*I1231/(R1231*O1231^2))^0.33333*(N1231-K1231)</f>
        <v>0</v>
      </c>
      <c r="T1231" s="51">
        <f>Model!$B$32+(90-Model!$B$6)*SIN(RADIANS(-15*(E1231+6)))</f>
        <v>-31.619472402513487</v>
      </c>
      <c r="U1231" s="46">
        <f t="shared" si="408"/>
        <v>0</v>
      </c>
      <c r="V1231" s="51">
        <f t="shared" si="409"/>
        <v>99999</v>
      </c>
      <c r="W1231" s="46">
        <f t="shared" si="410"/>
        <v>0</v>
      </c>
      <c r="X1231" s="46">
        <f>0.3*W1231*Model!$B$9</f>
        <v>0</v>
      </c>
      <c r="Y1231" s="17">
        <f>(S1231-X1231)/Model!$B$11</f>
        <v>0</v>
      </c>
      <c r="Z1231" s="46" t="e">
        <f t="shared" si="411"/>
        <v>#DIV/0!</v>
      </c>
      <c r="AA1231" s="57">
        <f>Y1231/Model!$B$12*3600</f>
        <v>0</v>
      </c>
      <c r="AB1231" s="51">
        <f t="shared" si="416"/>
        <v>0</v>
      </c>
      <c r="AC1231" s="51">
        <f t="shared" si="420"/>
        <v>1800</v>
      </c>
      <c r="AD1231" s="13">
        <f>IF(AE1231=0, Model!$B$19, 0 )</f>
        <v>0</v>
      </c>
      <c r="AE1231" s="51">
        <f>IF(AE1230+AB1230-AB1231&lt;Model!$B$19*Model!$B$18, AE1230+AB1230-AB1231,  0)</f>
        <v>443.63457370611354</v>
      </c>
      <c r="AF1231" s="13">
        <f t="shared" si="412"/>
        <v>1</v>
      </c>
      <c r="AG1231" s="50">
        <f t="shared" si="413"/>
        <v>0</v>
      </c>
    </row>
    <row r="1232" spans="2:33" x14ac:dyDescent="0.25">
      <c r="B1232" s="15">
        <f t="shared" si="414"/>
        <v>1</v>
      </c>
      <c r="C1232" s="15">
        <f>B1232+Model!$B$4</f>
        <v>3</v>
      </c>
      <c r="D1232" s="15">
        <f t="shared" si="415"/>
        <v>1</v>
      </c>
      <c r="E1232" s="15">
        <f t="shared" si="399"/>
        <v>3</v>
      </c>
      <c r="F1232" s="16">
        <f>IF(AB1232&gt;0, VLOOKUP(B1232,Model!$A$40:$B$60, 2), 0)</f>
        <v>0</v>
      </c>
      <c r="G1232" s="15">
        <f>IF(AB1232&gt;0, VLOOKUP(B1232,Model!$A$39:$C$58, 3), 0)</f>
        <v>0</v>
      </c>
      <c r="H1232" s="15">
        <f t="shared" si="404"/>
        <v>0</v>
      </c>
      <c r="I1232" s="45">
        <f>Model!$B$21*EXP((-0.029*9.81*F1232)/(8.31*(273+J1232)))</f>
        <v>104500</v>
      </c>
      <c r="J1232" s="15">
        <f>IF(Model!$B$31="Summer",  IF(F1232&lt;=2000,  Model!$B$20-Model!$B$35*F1232/1000,  IF(F1232&lt;Model!$B$36,  Model!$B$33-6.5*F1232/1000,  Model!$B$38)),     IF(F1232&lt;=2000,  Model!$B$20-Model!$B$35*F1232/1000,  IF(F1232&lt;Model!$B$36,  Model!$B$33-5.4*F1232/1000,   Model!$B$38)))</f>
        <v>-20</v>
      </c>
      <c r="K1232" s="15">
        <f t="shared" si="417"/>
        <v>253</v>
      </c>
      <c r="L1232" s="45">
        <f>IF(AB1231-AA1231*(B1232-B1231)&gt;0, L1231-Y1231*(B1232-B1231)*3600-AD1232*Model!$B$16, 0)</f>
        <v>0</v>
      </c>
      <c r="M1232" s="56">
        <f t="shared" si="405"/>
        <v>0</v>
      </c>
      <c r="N1232" s="56">
        <f>Model!$B$13*I1232*K1232/(Model!$B$13*I1232-L1232*287*K1232)</f>
        <v>253</v>
      </c>
      <c r="O1232" s="56">
        <f t="shared" si="406"/>
        <v>253</v>
      </c>
      <c r="P1232" s="56">
        <f t="shared" si="407"/>
        <v>-10</v>
      </c>
      <c r="Q1232" s="62">
        <f t="shared" si="418"/>
        <v>2.2579999999999999E-2</v>
      </c>
      <c r="R1232" s="33">
        <f t="shared" si="419"/>
        <v>1.152E-5</v>
      </c>
      <c r="S1232" s="45">
        <f>0.37*Model!$B$10*(Q1232^2*(N1232-K1232)*I1232/(R1232*O1232^2))^0.33333*(N1232-K1232)</f>
        <v>0</v>
      </c>
      <c r="T1232" s="50">
        <f>Model!$B$32+(90-Model!$B$6)*SIN(RADIANS(-15*(E1232+6)))</f>
        <v>-31.619472402513487</v>
      </c>
      <c r="U1232" s="45">
        <f t="shared" si="408"/>
        <v>0</v>
      </c>
      <c r="V1232" s="50">
        <f t="shared" si="409"/>
        <v>99999</v>
      </c>
      <c r="W1232" s="45">
        <f t="shared" si="410"/>
        <v>0</v>
      </c>
      <c r="X1232" s="45">
        <f>0.3*W1232*Model!$B$9</f>
        <v>0</v>
      </c>
      <c r="Y1232" s="33">
        <f>(S1232-X1232)/Model!$B$11</f>
        <v>0</v>
      </c>
      <c r="Z1232" s="45" t="e">
        <f t="shared" si="411"/>
        <v>#DIV/0!</v>
      </c>
      <c r="AA1232" s="56">
        <f>Y1232/Model!$B$12*3600</f>
        <v>0</v>
      </c>
      <c r="AB1232" s="50">
        <f t="shared" si="416"/>
        <v>0</v>
      </c>
      <c r="AC1232" s="50">
        <f t="shared" si="420"/>
        <v>1800</v>
      </c>
      <c r="AD1232" s="15">
        <f>IF(AE1232=0, Model!$B$19, 0 )</f>
        <v>0</v>
      </c>
      <c r="AE1232" s="50">
        <f>IF(AE1231+AB1231-AB1232&lt;Model!$B$19*Model!$B$18, AE1231+AB1231-AB1232,  0)</f>
        <v>443.63457370611354</v>
      </c>
      <c r="AF1232" s="15">
        <f t="shared" si="412"/>
        <v>1</v>
      </c>
      <c r="AG1232" s="50">
        <f t="shared" si="413"/>
        <v>0</v>
      </c>
    </row>
    <row r="1233" spans="2:33" x14ac:dyDescent="0.25">
      <c r="B1233" s="13">
        <f t="shared" si="414"/>
        <v>1</v>
      </c>
      <c r="C1233" s="13">
        <f>B1233+Model!$B$4</f>
        <v>3</v>
      </c>
      <c r="D1233" s="13">
        <f t="shared" si="415"/>
        <v>1</v>
      </c>
      <c r="E1233" s="13">
        <f t="shared" si="399"/>
        <v>3</v>
      </c>
      <c r="F1233" s="14">
        <f>IF(AB1233&gt;0, VLOOKUP(B1233,Model!$A$40:$B$60, 2), 0)</f>
        <v>0</v>
      </c>
      <c r="G1233" s="13">
        <f>IF(AB1233&gt;0, VLOOKUP(B1233,Model!$A$39:$C$58, 3), 0)</f>
        <v>0</v>
      </c>
      <c r="H1233" s="13">
        <f t="shared" si="404"/>
        <v>0</v>
      </c>
      <c r="I1233" s="46">
        <f>Model!$B$21*EXP((-0.029*9.81*F1233)/(8.31*(273+J1233)))</f>
        <v>104500</v>
      </c>
      <c r="J1233" s="13">
        <f>IF(Model!$B$31="Summer",  IF(F1233&lt;=2000,  Model!$B$20-Model!$B$35*F1233/1000,  IF(F1233&lt;Model!$B$36,  Model!$B$33-6.5*F1233/1000,  Model!$B$38)),     IF(F1233&lt;=2000,  Model!$B$20-Model!$B$35*F1233/1000,  IF(F1233&lt;Model!$B$36,  Model!$B$33-5.4*F1233/1000,   Model!$B$38)))</f>
        <v>-20</v>
      </c>
      <c r="K1233" s="13">
        <f t="shared" si="417"/>
        <v>253</v>
      </c>
      <c r="L1233" s="46">
        <f>IF(AB1232-AA1232*(B1233-B1232)&gt;0, L1232-Y1232*(B1233-B1232)*3600-AD1233*Model!$B$16, 0)</f>
        <v>0</v>
      </c>
      <c r="M1233" s="57">
        <f t="shared" si="405"/>
        <v>0</v>
      </c>
      <c r="N1233" s="57">
        <f>Model!$B$13*I1233*K1233/(Model!$B$13*I1233-L1233*287*K1233)</f>
        <v>253</v>
      </c>
      <c r="O1233" s="57">
        <f t="shared" si="406"/>
        <v>253</v>
      </c>
      <c r="P1233" s="57">
        <f t="shared" si="407"/>
        <v>-10</v>
      </c>
      <c r="Q1233" s="63">
        <f t="shared" si="418"/>
        <v>2.2579999999999999E-2</v>
      </c>
      <c r="R1233" s="17">
        <f t="shared" si="419"/>
        <v>1.152E-5</v>
      </c>
      <c r="S1233" s="46">
        <f>0.37*Model!$B$10*(Q1233^2*(N1233-K1233)*I1233/(R1233*O1233^2))^0.33333*(N1233-K1233)</f>
        <v>0</v>
      </c>
      <c r="T1233" s="51">
        <f>Model!$B$32+(90-Model!$B$6)*SIN(RADIANS(-15*(E1233+6)))</f>
        <v>-31.619472402513487</v>
      </c>
      <c r="U1233" s="46">
        <f t="shared" si="408"/>
        <v>0</v>
      </c>
      <c r="V1233" s="51">
        <f t="shared" si="409"/>
        <v>99999</v>
      </c>
      <c r="W1233" s="46">
        <f t="shared" si="410"/>
        <v>0</v>
      </c>
      <c r="X1233" s="46">
        <f>0.3*W1233*Model!$B$9</f>
        <v>0</v>
      </c>
      <c r="Y1233" s="17">
        <f>(S1233-X1233)/Model!$B$11</f>
        <v>0</v>
      </c>
      <c r="Z1233" s="46" t="e">
        <f t="shared" si="411"/>
        <v>#DIV/0!</v>
      </c>
      <c r="AA1233" s="57">
        <f>Y1233/Model!$B$12*3600</f>
        <v>0</v>
      </c>
      <c r="AB1233" s="51">
        <f t="shared" si="416"/>
        <v>0</v>
      </c>
      <c r="AC1233" s="51">
        <f t="shared" si="420"/>
        <v>1800</v>
      </c>
      <c r="AD1233" s="13">
        <f>IF(AE1233=0, Model!$B$19, 0 )</f>
        <v>0</v>
      </c>
      <c r="AE1233" s="51">
        <f>IF(AE1232+AB1232-AB1233&lt;Model!$B$19*Model!$B$18, AE1232+AB1232-AB1233,  0)</f>
        <v>443.63457370611354</v>
      </c>
      <c r="AF1233" s="13">
        <f t="shared" si="412"/>
        <v>1</v>
      </c>
      <c r="AG1233" s="50">
        <f t="shared" si="413"/>
        <v>0</v>
      </c>
    </row>
    <row r="1234" spans="2:33" x14ac:dyDescent="0.25">
      <c r="B1234" s="15">
        <f t="shared" si="414"/>
        <v>1</v>
      </c>
      <c r="C1234" s="15">
        <f>B1234+Model!$B$4</f>
        <v>3</v>
      </c>
      <c r="D1234" s="15">
        <f t="shared" si="415"/>
        <v>1</v>
      </c>
      <c r="E1234" s="15">
        <f t="shared" si="399"/>
        <v>3</v>
      </c>
      <c r="F1234" s="16">
        <f>IF(AB1234&gt;0, VLOOKUP(B1234,Model!$A$40:$B$60, 2), 0)</f>
        <v>0</v>
      </c>
      <c r="G1234" s="15">
        <f>IF(AB1234&gt;0, VLOOKUP(B1234,Model!$A$39:$C$58, 3), 0)</f>
        <v>0</v>
      </c>
      <c r="H1234" s="15">
        <f t="shared" si="404"/>
        <v>0</v>
      </c>
      <c r="I1234" s="45">
        <f>Model!$B$21*EXP((-0.029*9.81*F1234)/(8.31*(273+J1234)))</f>
        <v>104500</v>
      </c>
      <c r="J1234" s="15">
        <f>IF(Model!$B$31="Summer",  IF(F1234&lt;=2000,  Model!$B$20-Model!$B$35*F1234/1000,  IF(F1234&lt;Model!$B$36,  Model!$B$33-6.5*F1234/1000,  Model!$B$38)),     IF(F1234&lt;=2000,  Model!$B$20-Model!$B$35*F1234/1000,  IF(F1234&lt;Model!$B$36,  Model!$B$33-5.4*F1234/1000,   Model!$B$38)))</f>
        <v>-20</v>
      </c>
      <c r="K1234" s="15">
        <f t="shared" si="417"/>
        <v>253</v>
      </c>
      <c r="L1234" s="45">
        <f>IF(AB1233-AA1233*(B1234-B1233)&gt;0, L1233-Y1233*(B1234-B1233)*3600-AD1234*Model!$B$16, 0)</f>
        <v>0</v>
      </c>
      <c r="M1234" s="56">
        <f t="shared" si="405"/>
        <v>0</v>
      </c>
      <c r="N1234" s="56">
        <f>Model!$B$13*I1234*K1234/(Model!$B$13*I1234-L1234*287*K1234)</f>
        <v>253</v>
      </c>
      <c r="O1234" s="56">
        <f t="shared" si="406"/>
        <v>253</v>
      </c>
      <c r="P1234" s="56">
        <f t="shared" si="407"/>
        <v>-10</v>
      </c>
      <c r="Q1234" s="62">
        <f t="shared" si="418"/>
        <v>2.2579999999999999E-2</v>
      </c>
      <c r="R1234" s="33">
        <f t="shared" si="419"/>
        <v>1.152E-5</v>
      </c>
      <c r="S1234" s="45">
        <f>0.37*Model!$B$10*(Q1234^2*(N1234-K1234)*I1234/(R1234*O1234^2))^0.33333*(N1234-K1234)</f>
        <v>0</v>
      </c>
      <c r="T1234" s="50">
        <f>Model!$B$32+(90-Model!$B$6)*SIN(RADIANS(-15*(E1234+6)))</f>
        <v>-31.619472402513487</v>
      </c>
      <c r="U1234" s="45">
        <f t="shared" si="408"/>
        <v>0</v>
      </c>
      <c r="V1234" s="50">
        <f t="shared" si="409"/>
        <v>99999</v>
      </c>
      <c r="W1234" s="45">
        <f t="shared" si="410"/>
        <v>0</v>
      </c>
      <c r="X1234" s="45">
        <f>0.3*W1234*Model!$B$9</f>
        <v>0</v>
      </c>
      <c r="Y1234" s="33">
        <f>(S1234-X1234)/Model!$B$11</f>
        <v>0</v>
      </c>
      <c r="Z1234" s="45" t="e">
        <f t="shared" si="411"/>
        <v>#DIV/0!</v>
      </c>
      <c r="AA1234" s="56">
        <f>Y1234/Model!$B$12*3600</f>
        <v>0</v>
      </c>
      <c r="AB1234" s="50">
        <f t="shared" si="416"/>
        <v>0</v>
      </c>
      <c r="AC1234" s="50">
        <f t="shared" si="420"/>
        <v>1800</v>
      </c>
      <c r="AD1234" s="15">
        <f>IF(AE1234=0, Model!$B$19, 0 )</f>
        <v>0</v>
      </c>
      <c r="AE1234" s="50">
        <f>IF(AE1233+AB1233-AB1234&lt;Model!$B$19*Model!$B$18, AE1233+AB1233-AB1234,  0)</f>
        <v>443.63457370611354</v>
      </c>
      <c r="AF1234" s="15">
        <f t="shared" si="412"/>
        <v>1</v>
      </c>
      <c r="AG1234" s="50">
        <f t="shared" si="413"/>
        <v>0</v>
      </c>
    </row>
    <row r="1235" spans="2:33" x14ac:dyDescent="0.25">
      <c r="B1235" s="13">
        <f t="shared" si="414"/>
        <v>1</v>
      </c>
      <c r="C1235" s="13">
        <f>B1235+Model!$B$4</f>
        <v>3</v>
      </c>
      <c r="D1235" s="13">
        <f t="shared" si="415"/>
        <v>1</v>
      </c>
      <c r="E1235" s="13">
        <f t="shared" si="399"/>
        <v>3</v>
      </c>
      <c r="F1235" s="14">
        <f>IF(AB1235&gt;0, VLOOKUP(B1235,Model!$A$40:$B$60, 2), 0)</f>
        <v>0</v>
      </c>
      <c r="G1235" s="13">
        <f>IF(AB1235&gt;0, VLOOKUP(B1235,Model!$A$39:$C$58, 3), 0)</f>
        <v>0</v>
      </c>
      <c r="H1235" s="13">
        <f t="shared" si="404"/>
        <v>0</v>
      </c>
      <c r="I1235" s="46">
        <f>Model!$B$21*EXP((-0.029*9.81*F1235)/(8.31*(273+J1235)))</f>
        <v>104500</v>
      </c>
      <c r="J1235" s="13">
        <f>IF(Model!$B$31="Summer",  IF(F1235&lt;=2000,  Model!$B$20-Model!$B$35*F1235/1000,  IF(F1235&lt;Model!$B$36,  Model!$B$33-6.5*F1235/1000,  Model!$B$38)),     IF(F1235&lt;=2000,  Model!$B$20-Model!$B$35*F1235/1000,  IF(F1235&lt;Model!$B$36,  Model!$B$33-5.4*F1235/1000,   Model!$B$38)))</f>
        <v>-20</v>
      </c>
      <c r="K1235" s="13">
        <f t="shared" si="417"/>
        <v>253</v>
      </c>
      <c r="L1235" s="46">
        <f>IF(AB1234-AA1234*(B1235-B1234)&gt;0, L1234-Y1234*(B1235-B1234)*3600-AD1235*Model!$B$16, 0)</f>
        <v>0</v>
      </c>
      <c r="M1235" s="57">
        <f t="shared" si="405"/>
        <v>0</v>
      </c>
      <c r="N1235" s="57">
        <f>Model!$B$13*I1235*K1235/(Model!$B$13*I1235-L1235*287*K1235)</f>
        <v>253</v>
      </c>
      <c r="O1235" s="57">
        <f t="shared" si="406"/>
        <v>253</v>
      </c>
      <c r="P1235" s="57">
        <f t="shared" si="407"/>
        <v>-10</v>
      </c>
      <c r="Q1235" s="63">
        <f t="shared" si="418"/>
        <v>2.2579999999999999E-2</v>
      </c>
      <c r="R1235" s="17">
        <f t="shared" si="419"/>
        <v>1.152E-5</v>
      </c>
      <c r="S1235" s="46">
        <f>0.37*Model!$B$10*(Q1235^2*(N1235-K1235)*I1235/(R1235*O1235^2))^0.33333*(N1235-K1235)</f>
        <v>0</v>
      </c>
      <c r="T1235" s="51">
        <f>Model!$B$32+(90-Model!$B$6)*SIN(RADIANS(-15*(E1235+6)))</f>
        <v>-31.619472402513487</v>
      </c>
      <c r="U1235" s="46">
        <f t="shared" si="408"/>
        <v>0</v>
      </c>
      <c r="V1235" s="51">
        <f t="shared" si="409"/>
        <v>99999</v>
      </c>
      <c r="W1235" s="46">
        <f t="shared" si="410"/>
        <v>0</v>
      </c>
      <c r="X1235" s="46">
        <f>0.3*W1235*Model!$B$9</f>
        <v>0</v>
      </c>
      <c r="Y1235" s="17">
        <f>(S1235-X1235)/Model!$B$11</f>
        <v>0</v>
      </c>
      <c r="Z1235" s="46" t="e">
        <f t="shared" si="411"/>
        <v>#DIV/0!</v>
      </c>
      <c r="AA1235" s="57">
        <f>Y1235/Model!$B$12*3600</f>
        <v>0</v>
      </c>
      <c r="AB1235" s="51">
        <f t="shared" si="416"/>
        <v>0</v>
      </c>
      <c r="AC1235" s="51">
        <f t="shared" si="420"/>
        <v>1800</v>
      </c>
      <c r="AD1235" s="13">
        <f>IF(AE1235=0, Model!$B$19, 0 )</f>
        <v>0</v>
      </c>
      <c r="AE1235" s="51">
        <f>IF(AE1234+AB1234-AB1235&lt;Model!$B$19*Model!$B$18, AE1234+AB1234-AB1235,  0)</f>
        <v>443.63457370611354</v>
      </c>
      <c r="AF1235" s="13">
        <f t="shared" si="412"/>
        <v>1</v>
      </c>
      <c r="AG1235" s="50">
        <f t="shared" si="413"/>
        <v>0</v>
      </c>
    </row>
    <row r="1236" spans="2:33" x14ac:dyDescent="0.25">
      <c r="B1236" s="15">
        <f t="shared" si="414"/>
        <v>1</v>
      </c>
      <c r="C1236" s="15">
        <f>B1236+Model!$B$4</f>
        <v>3</v>
      </c>
      <c r="D1236" s="15">
        <f t="shared" si="415"/>
        <v>1</v>
      </c>
      <c r="E1236" s="15">
        <f t="shared" si="399"/>
        <v>3</v>
      </c>
      <c r="F1236" s="16">
        <f>IF(AB1236&gt;0, VLOOKUP(B1236,Model!$A$40:$B$60, 2), 0)</f>
        <v>0</v>
      </c>
      <c r="G1236" s="15">
        <f>IF(AB1236&gt;0, VLOOKUP(B1236,Model!$A$39:$C$58, 3), 0)</f>
        <v>0</v>
      </c>
      <c r="H1236" s="15">
        <f t="shared" si="404"/>
        <v>0</v>
      </c>
      <c r="I1236" s="45">
        <f>Model!$B$21*EXP((-0.029*9.81*F1236)/(8.31*(273+J1236)))</f>
        <v>104500</v>
      </c>
      <c r="J1236" s="15">
        <f>IF(Model!$B$31="Summer",  IF(F1236&lt;=2000,  Model!$B$20-Model!$B$35*F1236/1000,  IF(F1236&lt;Model!$B$36,  Model!$B$33-6.5*F1236/1000,  Model!$B$38)),     IF(F1236&lt;=2000,  Model!$B$20-Model!$B$35*F1236/1000,  IF(F1236&lt;Model!$B$36,  Model!$B$33-5.4*F1236/1000,   Model!$B$38)))</f>
        <v>-20</v>
      </c>
      <c r="K1236" s="15">
        <f t="shared" si="417"/>
        <v>253</v>
      </c>
      <c r="L1236" s="45">
        <f>IF(AB1235-AA1235*(B1236-B1235)&gt;0, L1235-Y1235*(B1236-B1235)*3600-AD1236*Model!$B$16, 0)</f>
        <v>0</v>
      </c>
      <c r="M1236" s="56">
        <f t="shared" si="405"/>
        <v>0</v>
      </c>
      <c r="N1236" s="56">
        <f>Model!$B$13*I1236*K1236/(Model!$B$13*I1236-L1236*287*K1236)</f>
        <v>253</v>
      </c>
      <c r="O1236" s="56">
        <f t="shared" si="406"/>
        <v>253</v>
      </c>
      <c r="P1236" s="56">
        <f t="shared" si="407"/>
        <v>-10</v>
      </c>
      <c r="Q1236" s="62">
        <f t="shared" si="418"/>
        <v>2.2579999999999999E-2</v>
      </c>
      <c r="R1236" s="33">
        <f t="shared" si="419"/>
        <v>1.152E-5</v>
      </c>
      <c r="S1236" s="45">
        <f>0.37*Model!$B$10*(Q1236^2*(N1236-K1236)*I1236/(R1236*O1236^2))^0.33333*(N1236-K1236)</f>
        <v>0</v>
      </c>
      <c r="T1236" s="50">
        <f>Model!$B$32+(90-Model!$B$6)*SIN(RADIANS(-15*(E1236+6)))</f>
        <v>-31.619472402513487</v>
      </c>
      <c r="U1236" s="45">
        <f t="shared" si="408"/>
        <v>0</v>
      </c>
      <c r="V1236" s="50">
        <f t="shared" si="409"/>
        <v>99999</v>
      </c>
      <c r="W1236" s="45">
        <f t="shared" si="410"/>
        <v>0</v>
      </c>
      <c r="X1236" s="45">
        <f>0.3*W1236*Model!$B$9</f>
        <v>0</v>
      </c>
      <c r="Y1236" s="33">
        <f>(S1236-X1236)/Model!$B$11</f>
        <v>0</v>
      </c>
      <c r="Z1236" s="45" t="e">
        <f t="shared" si="411"/>
        <v>#DIV/0!</v>
      </c>
      <c r="AA1236" s="56">
        <f>Y1236/Model!$B$12*3600</f>
        <v>0</v>
      </c>
      <c r="AB1236" s="50">
        <f t="shared" si="416"/>
        <v>0</v>
      </c>
      <c r="AC1236" s="50">
        <f t="shared" si="420"/>
        <v>1800</v>
      </c>
      <c r="AD1236" s="15">
        <f>IF(AE1236=0, Model!$B$19, 0 )</f>
        <v>0</v>
      </c>
      <c r="AE1236" s="50">
        <f>IF(AE1235+AB1235-AB1236&lt;Model!$B$19*Model!$B$18, AE1235+AB1235-AB1236,  0)</f>
        <v>443.63457370611354</v>
      </c>
      <c r="AF1236" s="15">
        <f t="shared" si="412"/>
        <v>1</v>
      </c>
      <c r="AG1236" s="50">
        <f t="shared" si="413"/>
        <v>0</v>
      </c>
    </row>
    <row r="1237" spans="2:33" x14ac:dyDescent="0.25">
      <c r="B1237" s="13">
        <f t="shared" si="414"/>
        <v>1</v>
      </c>
      <c r="C1237" s="13">
        <f>B1237+Model!$B$4</f>
        <v>3</v>
      </c>
      <c r="D1237" s="13">
        <f t="shared" si="415"/>
        <v>1</v>
      </c>
      <c r="E1237" s="13">
        <f t="shared" si="399"/>
        <v>3</v>
      </c>
      <c r="F1237" s="14">
        <f>IF(AB1237&gt;0, VLOOKUP(B1237,Model!$A$40:$B$60, 2), 0)</f>
        <v>0</v>
      </c>
      <c r="G1237" s="13">
        <f>IF(AB1237&gt;0, VLOOKUP(B1237,Model!$A$39:$C$58, 3), 0)</f>
        <v>0</v>
      </c>
      <c r="H1237" s="13">
        <f t="shared" si="404"/>
        <v>0</v>
      </c>
      <c r="I1237" s="46">
        <f>Model!$B$21*EXP((-0.029*9.81*F1237)/(8.31*(273+J1237)))</f>
        <v>104500</v>
      </c>
      <c r="J1237" s="13">
        <f>IF(Model!$B$31="Summer",  IF(F1237&lt;=2000,  Model!$B$20-Model!$B$35*F1237/1000,  IF(F1237&lt;Model!$B$36,  Model!$B$33-6.5*F1237/1000,  Model!$B$38)),     IF(F1237&lt;=2000,  Model!$B$20-Model!$B$35*F1237/1000,  IF(F1237&lt;Model!$B$36,  Model!$B$33-5.4*F1237/1000,   Model!$B$38)))</f>
        <v>-20</v>
      </c>
      <c r="K1237" s="13">
        <f t="shared" si="417"/>
        <v>253</v>
      </c>
      <c r="L1237" s="46">
        <f>IF(AB1236-AA1236*(B1237-B1236)&gt;0, L1236-Y1236*(B1237-B1236)*3600-AD1237*Model!$B$16, 0)</f>
        <v>0</v>
      </c>
      <c r="M1237" s="57">
        <f t="shared" si="405"/>
        <v>0</v>
      </c>
      <c r="N1237" s="57">
        <f>Model!$B$13*I1237*K1237/(Model!$B$13*I1237-L1237*287*K1237)</f>
        <v>253</v>
      </c>
      <c r="O1237" s="57">
        <f t="shared" si="406"/>
        <v>253</v>
      </c>
      <c r="P1237" s="57">
        <f t="shared" si="407"/>
        <v>-10</v>
      </c>
      <c r="Q1237" s="63">
        <f t="shared" si="418"/>
        <v>2.2579999999999999E-2</v>
      </c>
      <c r="R1237" s="17">
        <f t="shared" si="419"/>
        <v>1.152E-5</v>
      </c>
      <c r="S1237" s="46">
        <f>0.37*Model!$B$10*(Q1237^2*(N1237-K1237)*I1237/(R1237*O1237^2))^0.33333*(N1237-K1237)</f>
        <v>0</v>
      </c>
      <c r="T1237" s="51">
        <f>Model!$B$32+(90-Model!$B$6)*SIN(RADIANS(-15*(E1237+6)))</f>
        <v>-31.619472402513487</v>
      </c>
      <c r="U1237" s="46">
        <f t="shared" si="408"/>
        <v>0</v>
      </c>
      <c r="V1237" s="51">
        <f t="shared" si="409"/>
        <v>99999</v>
      </c>
      <c r="W1237" s="46">
        <f t="shared" si="410"/>
        <v>0</v>
      </c>
      <c r="X1237" s="46">
        <f>0.3*W1237*Model!$B$9</f>
        <v>0</v>
      </c>
      <c r="Y1237" s="17">
        <f>(S1237-X1237)/Model!$B$11</f>
        <v>0</v>
      </c>
      <c r="Z1237" s="46" t="e">
        <f t="shared" si="411"/>
        <v>#DIV/0!</v>
      </c>
      <c r="AA1237" s="57">
        <f>Y1237/Model!$B$12*3600</f>
        <v>0</v>
      </c>
      <c r="AB1237" s="51">
        <f t="shared" si="416"/>
        <v>0</v>
      </c>
      <c r="AC1237" s="51">
        <f t="shared" si="420"/>
        <v>1800</v>
      </c>
      <c r="AD1237" s="13">
        <f>IF(AE1237=0, Model!$B$19, 0 )</f>
        <v>0</v>
      </c>
      <c r="AE1237" s="51">
        <f>IF(AE1236+AB1236-AB1237&lt;Model!$B$19*Model!$B$18, AE1236+AB1236-AB1237,  0)</f>
        <v>443.63457370611354</v>
      </c>
      <c r="AF1237" s="13">
        <f t="shared" si="412"/>
        <v>1</v>
      </c>
      <c r="AG1237" s="50">
        <f t="shared" si="413"/>
        <v>0</v>
      </c>
    </row>
    <row r="1238" spans="2:33" x14ac:dyDescent="0.25">
      <c r="B1238" s="15">
        <f t="shared" si="414"/>
        <v>1</v>
      </c>
      <c r="C1238" s="15">
        <f>B1238+Model!$B$4</f>
        <v>3</v>
      </c>
      <c r="D1238" s="15">
        <f t="shared" si="415"/>
        <v>1</v>
      </c>
      <c r="E1238" s="15">
        <f t="shared" si="399"/>
        <v>3</v>
      </c>
      <c r="F1238" s="16">
        <f>IF(AB1238&gt;0, VLOOKUP(B1238,Model!$A$40:$B$60, 2), 0)</f>
        <v>0</v>
      </c>
      <c r="G1238" s="15">
        <f>IF(AB1238&gt;0, VLOOKUP(B1238,Model!$A$39:$C$58, 3), 0)</f>
        <v>0</v>
      </c>
      <c r="H1238" s="15">
        <f t="shared" si="404"/>
        <v>0</v>
      </c>
      <c r="I1238" s="45">
        <f>Model!$B$21*EXP((-0.029*9.81*F1238)/(8.31*(273+J1238)))</f>
        <v>104500</v>
      </c>
      <c r="J1238" s="15">
        <f>IF(Model!$B$31="Summer",  IF(F1238&lt;=2000,  Model!$B$20-Model!$B$35*F1238/1000,  IF(F1238&lt;Model!$B$36,  Model!$B$33-6.5*F1238/1000,  Model!$B$38)),     IF(F1238&lt;=2000,  Model!$B$20-Model!$B$35*F1238/1000,  IF(F1238&lt;Model!$B$36,  Model!$B$33-5.4*F1238/1000,   Model!$B$38)))</f>
        <v>-20</v>
      </c>
      <c r="K1238" s="15">
        <f t="shared" si="417"/>
        <v>253</v>
      </c>
      <c r="L1238" s="45">
        <f>IF(AB1237-AA1237*(B1238-B1237)&gt;0, L1237-Y1237*(B1238-B1237)*3600-AD1238*Model!$B$16, 0)</f>
        <v>0</v>
      </c>
      <c r="M1238" s="56">
        <f t="shared" si="405"/>
        <v>0</v>
      </c>
      <c r="N1238" s="56">
        <f>Model!$B$13*I1238*K1238/(Model!$B$13*I1238-L1238*287*K1238)</f>
        <v>253</v>
      </c>
      <c r="O1238" s="56">
        <f t="shared" si="406"/>
        <v>253</v>
      </c>
      <c r="P1238" s="56">
        <f t="shared" si="407"/>
        <v>-10</v>
      </c>
      <c r="Q1238" s="62">
        <f t="shared" si="418"/>
        <v>2.2579999999999999E-2</v>
      </c>
      <c r="R1238" s="33">
        <f t="shared" si="419"/>
        <v>1.152E-5</v>
      </c>
      <c r="S1238" s="45">
        <f>0.37*Model!$B$10*(Q1238^2*(N1238-K1238)*I1238/(R1238*O1238^2))^0.33333*(N1238-K1238)</f>
        <v>0</v>
      </c>
      <c r="T1238" s="50">
        <f>Model!$B$32+(90-Model!$B$6)*SIN(RADIANS(-15*(E1238+6)))</f>
        <v>-31.619472402513487</v>
      </c>
      <c r="U1238" s="45">
        <f t="shared" si="408"/>
        <v>0</v>
      </c>
      <c r="V1238" s="50">
        <f t="shared" si="409"/>
        <v>99999</v>
      </c>
      <c r="W1238" s="45">
        <f t="shared" si="410"/>
        <v>0</v>
      </c>
      <c r="X1238" s="45">
        <f>0.3*W1238*Model!$B$9</f>
        <v>0</v>
      </c>
      <c r="Y1238" s="33">
        <f>(S1238-X1238)/Model!$B$11</f>
        <v>0</v>
      </c>
      <c r="Z1238" s="45" t="e">
        <f t="shared" si="411"/>
        <v>#DIV/0!</v>
      </c>
      <c r="AA1238" s="56">
        <f>Y1238/Model!$B$12*3600</f>
        <v>0</v>
      </c>
      <c r="AB1238" s="50">
        <f t="shared" si="416"/>
        <v>0</v>
      </c>
      <c r="AC1238" s="50">
        <f t="shared" si="420"/>
        <v>1800</v>
      </c>
      <c r="AD1238" s="15">
        <f>IF(AE1238=0, Model!$B$19, 0 )</f>
        <v>0</v>
      </c>
      <c r="AE1238" s="50">
        <f>IF(AE1237+AB1237-AB1238&lt;Model!$B$19*Model!$B$18, AE1237+AB1237-AB1238,  0)</f>
        <v>443.63457370611354</v>
      </c>
      <c r="AF1238" s="15">
        <f t="shared" si="412"/>
        <v>1</v>
      </c>
      <c r="AG1238" s="50">
        <f t="shared" si="413"/>
        <v>0</v>
      </c>
    </row>
    <row r="1239" spans="2:33" x14ac:dyDescent="0.25">
      <c r="B1239" s="13">
        <f t="shared" si="414"/>
        <v>1</v>
      </c>
      <c r="C1239" s="13">
        <f>B1239+Model!$B$4</f>
        <v>3</v>
      </c>
      <c r="D1239" s="13">
        <f t="shared" si="415"/>
        <v>1</v>
      </c>
      <c r="E1239" s="13">
        <f t="shared" si="399"/>
        <v>3</v>
      </c>
      <c r="F1239" s="14">
        <f>IF(AB1239&gt;0, VLOOKUP(B1239,Model!$A$40:$B$60, 2), 0)</f>
        <v>0</v>
      </c>
      <c r="G1239" s="13">
        <f>IF(AB1239&gt;0, VLOOKUP(B1239,Model!$A$39:$C$58, 3), 0)</f>
        <v>0</v>
      </c>
      <c r="H1239" s="13">
        <f t="shared" si="404"/>
        <v>0</v>
      </c>
      <c r="I1239" s="46">
        <f>Model!$B$21*EXP((-0.029*9.81*F1239)/(8.31*(273+J1239)))</f>
        <v>104500</v>
      </c>
      <c r="J1239" s="13">
        <f>IF(Model!$B$31="Summer",  IF(F1239&lt;=2000,  Model!$B$20-Model!$B$35*F1239/1000,  IF(F1239&lt;Model!$B$36,  Model!$B$33-6.5*F1239/1000,  Model!$B$38)),     IF(F1239&lt;=2000,  Model!$B$20-Model!$B$35*F1239/1000,  IF(F1239&lt;Model!$B$36,  Model!$B$33-5.4*F1239/1000,   Model!$B$38)))</f>
        <v>-20</v>
      </c>
      <c r="K1239" s="13">
        <f t="shared" si="417"/>
        <v>253</v>
      </c>
      <c r="L1239" s="46">
        <f>IF(AB1238-AA1238*(B1239-B1238)&gt;0, L1238-Y1238*(B1239-B1238)*3600-AD1239*Model!$B$16, 0)</f>
        <v>0</v>
      </c>
      <c r="M1239" s="57">
        <f t="shared" si="405"/>
        <v>0</v>
      </c>
      <c r="N1239" s="57">
        <f>Model!$B$13*I1239*K1239/(Model!$B$13*I1239-L1239*287*K1239)</f>
        <v>253</v>
      </c>
      <c r="O1239" s="57">
        <f t="shared" si="406"/>
        <v>253</v>
      </c>
      <c r="P1239" s="57">
        <f t="shared" si="407"/>
        <v>-10</v>
      </c>
      <c r="Q1239" s="63">
        <f t="shared" si="418"/>
        <v>2.2579999999999999E-2</v>
      </c>
      <c r="R1239" s="17">
        <f t="shared" si="419"/>
        <v>1.152E-5</v>
      </c>
      <c r="S1239" s="46">
        <f>0.37*Model!$B$10*(Q1239^2*(N1239-K1239)*I1239/(R1239*O1239^2))^0.33333*(N1239-K1239)</f>
        <v>0</v>
      </c>
      <c r="T1239" s="51">
        <f>Model!$B$32+(90-Model!$B$6)*SIN(RADIANS(-15*(E1239+6)))</f>
        <v>-31.619472402513487</v>
      </c>
      <c r="U1239" s="46">
        <f t="shared" si="408"/>
        <v>0</v>
      </c>
      <c r="V1239" s="51">
        <f t="shared" si="409"/>
        <v>99999</v>
      </c>
      <c r="W1239" s="46">
        <f t="shared" si="410"/>
        <v>0</v>
      </c>
      <c r="X1239" s="46">
        <f>0.3*W1239*Model!$B$9</f>
        <v>0</v>
      </c>
      <c r="Y1239" s="17">
        <f>(S1239-X1239)/Model!$B$11</f>
        <v>0</v>
      </c>
      <c r="Z1239" s="46" t="e">
        <f t="shared" si="411"/>
        <v>#DIV/0!</v>
      </c>
      <c r="AA1239" s="57">
        <f>Y1239/Model!$B$12*3600</f>
        <v>0</v>
      </c>
      <c r="AB1239" s="51">
        <f t="shared" si="416"/>
        <v>0</v>
      </c>
      <c r="AC1239" s="51">
        <f t="shared" si="420"/>
        <v>1800</v>
      </c>
      <c r="AD1239" s="13">
        <f>IF(AE1239=0, Model!$B$19, 0 )</f>
        <v>0</v>
      </c>
      <c r="AE1239" s="51">
        <f>IF(AE1238+AB1238-AB1239&lt;Model!$B$19*Model!$B$18, AE1238+AB1238-AB1239,  0)</f>
        <v>443.63457370611354</v>
      </c>
      <c r="AF1239" s="13">
        <f t="shared" si="412"/>
        <v>1</v>
      </c>
      <c r="AG1239" s="50">
        <f t="shared" si="413"/>
        <v>0</v>
      </c>
    </row>
    <row r="1240" spans="2:33" x14ac:dyDescent="0.25">
      <c r="B1240" s="15">
        <f t="shared" si="414"/>
        <v>1</v>
      </c>
      <c r="C1240" s="15">
        <f>B1240+Model!$B$4</f>
        <v>3</v>
      </c>
      <c r="D1240" s="15">
        <f t="shared" si="415"/>
        <v>1</v>
      </c>
      <c r="E1240" s="15">
        <f t="shared" si="399"/>
        <v>3</v>
      </c>
      <c r="F1240" s="16">
        <f>IF(AB1240&gt;0, VLOOKUP(B1240,Model!$A$40:$B$60, 2), 0)</f>
        <v>0</v>
      </c>
      <c r="G1240" s="15">
        <f>IF(AB1240&gt;0, VLOOKUP(B1240,Model!$A$39:$C$58, 3), 0)</f>
        <v>0</v>
      </c>
      <c r="H1240" s="15">
        <f t="shared" si="404"/>
        <v>0</v>
      </c>
      <c r="I1240" s="45">
        <f>Model!$B$21*EXP((-0.029*9.81*F1240)/(8.31*(273+J1240)))</f>
        <v>104500</v>
      </c>
      <c r="J1240" s="15">
        <f>IF(Model!$B$31="Summer",  IF(F1240&lt;=2000,  Model!$B$20-Model!$B$35*F1240/1000,  IF(F1240&lt;Model!$B$36,  Model!$B$33-6.5*F1240/1000,  Model!$B$38)),     IF(F1240&lt;=2000,  Model!$B$20-Model!$B$35*F1240/1000,  IF(F1240&lt;Model!$B$36,  Model!$B$33-5.4*F1240/1000,   Model!$B$38)))</f>
        <v>-20</v>
      </c>
      <c r="K1240" s="15">
        <f t="shared" si="417"/>
        <v>253</v>
      </c>
      <c r="L1240" s="45">
        <f>IF(AB1239-AA1239*(B1240-B1239)&gt;0, L1239-Y1239*(B1240-B1239)*3600-AD1240*Model!$B$16, 0)</f>
        <v>0</v>
      </c>
      <c r="M1240" s="56">
        <f t="shared" si="405"/>
        <v>0</v>
      </c>
      <c r="N1240" s="56">
        <f>Model!$B$13*I1240*K1240/(Model!$B$13*I1240-L1240*287*K1240)</f>
        <v>253</v>
      </c>
      <c r="O1240" s="56">
        <f t="shared" si="406"/>
        <v>253</v>
      </c>
      <c r="P1240" s="56">
        <f t="shared" si="407"/>
        <v>-10</v>
      </c>
      <c r="Q1240" s="62">
        <f t="shared" si="418"/>
        <v>2.2579999999999999E-2</v>
      </c>
      <c r="R1240" s="33">
        <f t="shared" si="419"/>
        <v>1.152E-5</v>
      </c>
      <c r="S1240" s="45">
        <f>0.37*Model!$B$10*(Q1240^2*(N1240-K1240)*I1240/(R1240*O1240^2))^0.33333*(N1240-K1240)</f>
        <v>0</v>
      </c>
      <c r="T1240" s="50">
        <f>Model!$B$32+(90-Model!$B$6)*SIN(RADIANS(-15*(E1240+6)))</f>
        <v>-31.619472402513487</v>
      </c>
      <c r="U1240" s="45">
        <f t="shared" si="408"/>
        <v>0</v>
      </c>
      <c r="V1240" s="50">
        <f t="shared" si="409"/>
        <v>99999</v>
      </c>
      <c r="W1240" s="45">
        <f t="shared" si="410"/>
        <v>0</v>
      </c>
      <c r="X1240" s="45">
        <f>0.3*W1240*Model!$B$9</f>
        <v>0</v>
      </c>
      <c r="Y1240" s="33">
        <f>(S1240-X1240)/Model!$B$11</f>
        <v>0</v>
      </c>
      <c r="Z1240" s="45" t="e">
        <f t="shared" si="411"/>
        <v>#DIV/0!</v>
      </c>
      <c r="AA1240" s="56">
        <f>Y1240/Model!$B$12*3600</f>
        <v>0</v>
      </c>
      <c r="AB1240" s="50">
        <f t="shared" si="416"/>
        <v>0</v>
      </c>
      <c r="AC1240" s="50">
        <f t="shared" si="420"/>
        <v>1800</v>
      </c>
      <c r="AD1240" s="15">
        <f>IF(AE1240=0, Model!$B$19, 0 )</f>
        <v>0</v>
      </c>
      <c r="AE1240" s="50">
        <f>IF(AE1239+AB1239-AB1240&lt;Model!$B$19*Model!$B$18, AE1239+AB1239-AB1240,  0)</f>
        <v>443.63457370611354</v>
      </c>
      <c r="AF1240" s="15">
        <f t="shared" si="412"/>
        <v>1</v>
      </c>
      <c r="AG1240" s="50">
        <f t="shared" si="413"/>
        <v>0</v>
      </c>
    </row>
    <row r="1241" spans="2:33" x14ac:dyDescent="0.25">
      <c r="B1241" s="13">
        <f t="shared" si="414"/>
        <v>1</v>
      </c>
      <c r="C1241" s="13">
        <f>B1241+Model!$B$4</f>
        <v>3</v>
      </c>
      <c r="D1241" s="13">
        <f t="shared" si="415"/>
        <v>1</v>
      </c>
      <c r="E1241" s="13">
        <f t="shared" si="399"/>
        <v>3</v>
      </c>
      <c r="F1241" s="14">
        <f>IF(AB1241&gt;0, VLOOKUP(B1241,Model!$A$40:$B$60, 2), 0)</f>
        <v>0</v>
      </c>
      <c r="G1241" s="13">
        <f>IF(AB1241&gt;0, VLOOKUP(B1241,Model!$A$39:$C$58, 3), 0)</f>
        <v>0</v>
      </c>
      <c r="H1241" s="13">
        <f t="shared" si="404"/>
        <v>0</v>
      </c>
      <c r="I1241" s="46">
        <f>Model!$B$21*EXP((-0.029*9.81*F1241)/(8.31*(273+J1241)))</f>
        <v>104500</v>
      </c>
      <c r="J1241" s="13">
        <f>IF(Model!$B$31="Summer",  IF(F1241&lt;=2000,  Model!$B$20-Model!$B$35*F1241/1000,  IF(F1241&lt;Model!$B$36,  Model!$B$33-6.5*F1241/1000,  Model!$B$38)),     IF(F1241&lt;=2000,  Model!$B$20-Model!$B$35*F1241/1000,  IF(F1241&lt;Model!$B$36,  Model!$B$33-5.4*F1241/1000,   Model!$B$38)))</f>
        <v>-20</v>
      </c>
      <c r="K1241" s="13">
        <f t="shared" si="417"/>
        <v>253</v>
      </c>
      <c r="L1241" s="46">
        <f>IF(AB1240-AA1240*(B1241-B1240)&gt;0, L1240-Y1240*(B1241-B1240)*3600-AD1241*Model!$B$16, 0)</f>
        <v>0</v>
      </c>
      <c r="M1241" s="57">
        <f t="shared" si="405"/>
        <v>0</v>
      </c>
      <c r="N1241" s="57">
        <f>Model!$B$13*I1241*K1241/(Model!$B$13*I1241-L1241*287*K1241)</f>
        <v>253</v>
      </c>
      <c r="O1241" s="57">
        <f t="shared" si="406"/>
        <v>253</v>
      </c>
      <c r="P1241" s="57">
        <f t="shared" si="407"/>
        <v>-10</v>
      </c>
      <c r="Q1241" s="63">
        <f t="shared" si="418"/>
        <v>2.2579999999999999E-2</v>
      </c>
      <c r="R1241" s="17">
        <f t="shared" si="419"/>
        <v>1.152E-5</v>
      </c>
      <c r="S1241" s="46">
        <f>0.37*Model!$B$10*(Q1241^2*(N1241-K1241)*I1241/(R1241*O1241^2))^0.33333*(N1241-K1241)</f>
        <v>0</v>
      </c>
      <c r="T1241" s="51">
        <f>Model!$B$32+(90-Model!$B$6)*SIN(RADIANS(-15*(E1241+6)))</f>
        <v>-31.619472402513487</v>
      </c>
      <c r="U1241" s="46">
        <f t="shared" si="408"/>
        <v>0</v>
      </c>
      <c r="V1241" s="51">
        <f t="shared" si="409"/>
        <v>99999</v>
      </c>
      <c r="W1241" s="46">
        <f t="shared" si="410"/>
        <v>0</v>
      </c>
      <c r="X1241" s="46">
        <f>0.3*W1241*Model!$B$9</f>
        <v>0</v>
      </c>
      <c r="Y1241" s="17">
        <f>(S1241-X1241)/Model!$B$11</f>
        <v>0</v>
      </c>
      <c r="Z1241" s="46" t="e">
        <f t="shared" si="411"/>
        <v>#DIV/0!</v>
      </c>
      <c r="AA1241" s="57">
        <f>Y1241/Model!$B$12*3600</f>
        <v>0</v>
      </c>
      <c r="AB1241" s="51">
        <f t="shared" si="416"/>
        <v>0</v>
      </c>
      <c r="AC1241" s="51">
        <f t="shared" si="420"/>
        <v>1800</v>
      </c>
      <c r="AD1241" s="13">
        <f>IF(AE1241=0, Model!$B$19, 0 )</f>
        <v>0</v>
      </c>
      <c r="AE1241" s="51">
        <f>IF(AE1240+AB1240-AB1241&lt;Model!$B$19*Model!$B$18, AE1240+AB1240-AB1241,  0)</f>
        <v>443.63457370611354</v>
      </c>
      <c r="AF1241" s="13">
        <f t="shared" si="412"/>
        <v>1</v>
      </c>
      <c r="AG1241" s="50">
        <f t="shared" si="413"/>
        <v>0</v>
      </c>
    </row>
    <row r="1242" spans="2:33" x14ac:dyDescent="0.25">
      <c r="B1242" s="15">
        <f t="shared" si="414"/>
        <v>1</v>
      </c>
      <c r="C1242" s="15">
        <f>B1242+Model!$B$4</f>
        <v>3</v>
      </c>
      <c r="D1242" s="15">
        <f t="shared" si="415"/>
        <v>1</v>
      </c>
      <c r="E1242" s="15">
        <f t="shared" si="399"/>
        <v>3</v>
      </c>
      <c r="F1242" s="16">
        <f>IF(AB1242&gt;0, VLOOKUP(B1242,Model!$A$40:$B$60, 2), 0)</f>
        <v>0</v>
      </c>
      <c r="G1242" s="15">
        <f>IF(AB1242&gt;0, VLOOKUP(B1242,Model!$A$39:$C$58, 3), 0)</f>
        <v>0</v>
      </c>
      <c r="H1242" s="15">
        <f t="shared" si="404"/>
        <v>0</v>
      </c>
      <c r="I1242" s="45">
        <f>Model!$B$21*EXP((-0.029*9.81*F1242)/(8.31*(273+J1242)))</f>
        <v>104500</v>
      </c>
      <c r="J1242" s="15">
        <f>IF(Model!$B$31="Summer",  IF(F1242&lt;=2000,  Model!$B$20-Model!$B$35*F1242/1000,  IF(F1242&lt;Model!$B$36,  Model!$B$33-6.5*F1242/1000,  Model!$B$38)),     IF(F1242&lt;=2000,  Model!$B$20-Model!$B$35*F1242/1000,  IF(F1242&lt;Model!$B$36,  Model!$B$33-5.4*F1242/1000,   Model!$B$38)))</f>
        <v>-20</v>
      </c>
      <c r="K1242" s="15">
        <f t="shared" si="417"/>
        <v>253</v>
      </c>
      <c r="L1242" s="45">
        <f>IF(AB1241-AA1241*(B1242-B1241)&gt;0, L1241-Y1241*(B1242-B1241)*3600-AD1242*Model!$B$16, 0)</f>
        <v>0</v>
      </c>
      <c r="M1242" s="56">
        <f t="shared" si="405"/>
        <v>0</v>
      </c>
      <c r="N1242" s="56">
        <f>Model!$B$13*I1242*K1242/(Model!$B$13*I1242-L1242*287*K1242)</f>
        <v>253</v>
      </c>
      <c r="O1242" s="56">
        <f t="shared" si="406"/>
        <v>253</v>
      </c>
      <c r="P1242" s="56">
        <f t="shared" si="407"/>
        <v>-10</v>
      </c>
      <c r="Q1242" s="62">
        <f t="shared" si="418"/>
        <v>2.2579999999999999E-2</v>
      </c>
      <c r="R1242" s="33">
        <f t="shared" si="419"/>
        <v>1.152E-5</v>
      </c>
      <c r="S1242" s="45">
        <f>0.37*Model!$B$10*(Q1242^2*(N1242-K1242)*I1242/(R1242*O1242^2))^0.33333*(N1242-K1242)</f>
        <v>0</v>
      </c>
      <c r="T1242" s="50">
        <f>Model!$B$32+(90-Model!$B$6)*SIN(RADIANS(-15*(E1242+6)))</f>
        <v>-31.619472402513487</v>
      </c>
      <c r="U1242" s="45">
        <f t="shared" si="408"/>
        <v>0</v>
      </c>
      <c r="V1242" s="50">
        <f t="shared" si="409"/>
        <v>99999</v>
      </c>
      <c r="W1242" s="45">
        <f t="shared" si="410"/>
        <v>0</v>
      </c>
      <c r="X1242" s="45">
        <f>0.3*W1242*Model!$B$9</f>
        <v>0</v>
      </c>
      <c r="Y1242" s="33">
        <f>(S1242-X1242)/Model!$B$11</f>
        <v>0</v>
      </c>
      <c r="Z1242" s="45" t="e">
        <f t="shared" si="411"/>
        <v>#DIV/0!</v>
      </c>
      <c r="AA1242" s="56">
        <f>Y1242/Model!$B$12*3600</f>
        <v>0</v>
      </c>
      <c r="AB1242" s="50">
        <f t="shared" si="416"/>
        <v>0</v>
      </c>
      <c r="AC1242" s="50">
        <f t="shared" si="420"/>
        <v>1800</v>
      </c>
      <c r="AD1242" s="15">
        <f>IF(AE1242=0, Model!$B$19, 0 )</f>
        <v>0</v>
      </c>
      <c r="AE1242" s="50">
        <f>IF(AE1241+AB1241-AB1242&lt;Model!$B$19*Model!$B$18, AE1241+AB1241-AB1242,  0)</f>
        <v>443.63457370611354</v>
      </c>
      <c r="AF1242" s="15">
        <f t="shared" si="412"/>
        <v>1</v>
      </c>
      <c r="AG1242" s="50">
        <f t="shared" si="413"/>
        <v>0</v>
      </c>
    </row>
    <row r="1243" spans="2:33" x14ac:dyDescent="0.25">
      <c r="B1243" s="13">
        <f t="shared" si="414"/>
        <v>1</v>
      </c>
      <c r="C1243" s="13">
        <f>B1243+Model!$B$4</f>
        <v>3</v>
      </c>
      <c r="D1243" s="13">
        <f t="shared" si="415"/>
        <v>1</v>
      </c>
      <c r="E1243" s="13">
        <f t="shared" si="399"/>
        <v>3</v>
      </c>
      <c r="F1243" s="14">
        <f>IF(AB1243&gt;0, VLOOKUP(B1243,Model!$A$40:$B$60, 2), 0)</f>
        <v>0</v>
      </c>
      <c r="G1243" s="13">
        <f>IF(AB1243&gt;0, VLOOKUP(B1243,Model!$A$39:$C$58, 3), 0)</f>
        <v>0</v>
      </c>
      <c r="H1243" s="13">
        <f t="shared" si="404"/>
        <v>0</v>
      </c>
      <c r="I1243" s="46">
        <f>Model!$B$21*EXP((-0.029*9.81*F1243)/(8.31*(273+J1243)))</f>
        <v>104500</v>
      </c>
      <c r="J1243" s="13">
        <f>IF(Model!$B$31="Summer",  IF(F1243&lt;=2000,  Model!$B$20-Model!$B$35*F1243/1000,  IF(F1243&lt;Model!$B$36,  Model!$B$33-6.5*F1243/1000,  Model!$B$38)),     IF(F1243&lt;=2000,  Model!$B$20-Model!$B$35*F1243/1000,  IF(F1243&lt;Model!$B$36,  Model!$B$33-5.4*F1243/1000,   Model!$B$38)))</f>
        <v>-20</v>
      </c>
      <c r="K1243" s="13">
        <f t="shared" si="417"/>
        <v>253</v>
      </c>
      <c r="L1243" s="46">
        <f>IF(AB1242-AA1242*(B1243-B1242)&gt;0, L1242-Y1242*(B1243-B1242)*3600-AD1243*Model!$B$16, 0)</f>
        <v>0</v>
      </c>
      <c r="M1243" s="57">
        <f t="shared" si="405"/>
        <v>0</v>
      </c>
      <c r="N1243" s="57">
        <f>Model!$B$13*I1243*K1243/(Model!$B$13*I1243-L1243*287*K1243)</f>
        <v>253</v>
      </c>
      <c r="O1243" s="57">
        <f t="shared" si="406"/>
        <v>253</v>
      </c>
      <c r="P1243" s="57">
        <f t="shared" si="407"/>
        <v>-10</v>
      </c>
      <c r="Q1243" s="63">
        <f t="shared" si="418"/>
        <v>2.2579999999999999E-2</v>
      </c>
      <c r="R1243" s="17">
        <f t="shared" si="419"/>
        <v>1.152E-5</v>
      </c>
      <c r="S1243" s="46">
        <f>0.37*Model!$B$10*(Q1243^2*(N1243-K1243)*I1243/(R1243*O1243^2))^0.33333*(N1243-K1243)</f>
        <v>0</v>
      </c>
      <c r="T1243" s="51">
        <f>Model!$B$32+(90-Model!$B$6)*SIN(RADIANS(-15*(E1243+6)))</f>
        <v>-31.619472402513487</v>
      </c>
      <c r="U1243" s="46">
        <f t="shared" si="408"/>
        <v>0</v>
      </c>
      <c r="V1243" s="51">
        <f t="shared" si="409"/>
        <v>99999</v>
      </c>
      <c r="W1243" s="46">
        <f t="shared" si="410"/>
        <v>0</v>
      </c>
      <c r="X1243" s="46">
        <f>0.3*W1243*Model!$B$9</f>
        <v>0</v>
      </c>
      <c r="Y1243" s="17">
        <f>(S1243-X1243)/Model!$B$11</f>
        <v>0</v>
      </c>
      <c r="Z1243" s="46" t="e">
        <f t="shared" si="411"/>
        <v>#DIV/0!</v>
      </c>
      <c r="AA1243" s="57">
        <f>Y1243/Model!$B$12*3600</f>
        <v>0</v>
      </c>
      <c r="AB1243" s="51">
        <f t="shared" si="416"/>
        <v>0</v>
      </c>
      <c r="AC1243" s="51">
        <f t="shared" si="420"/>
        <v>1800</v>
      </c>
      <c r="AD1243" s="13">
        <f>IF(AE1243=0, Model!$B$19, 0 )</f>
        <v>0</v>
      </c>
      <c r="AE1243" s="51">
        <f>IF(AE1242+AB1242-AB1243&lt;Model!$B$19*Model!$B$18, AE1242+AB1242-AB1243,  0)</f>
        <v>443.63457370611354</v>
      </c>
      <c r="AF1243" s="13">
        <f t="shared" si="412"/>
        <v>1</v>
      </c>
      <c r="AG1243" s="50">
        <f t="shared" si="413"/>
        <v>0</v>
      </c>
    </row>
    <row r="1244" spans="2:33" x14ac:dyDescent="0.25">
      <c r="B1244" s="15">
        <f t="shared" si="414"/>
        <v>1</v>
      </c>
      <c r="C1244" s="15">
        <f>B1244+Model!$B$4</f>
        <v>3</v>
      </c>
      <c r="D1244" s="15">
        <f t="shared" si="415"/>
        <v>1</v>
      </c>
      <c r="E1244" s="15">
        <f t="shared" si="399"/>
        <v>3</v>
      </c>
      <c r="F1244" s="16">
        <f>IF(AB1244&gt;0, VLOOKUP(B1244,Model!$A$40:$B$60, 2), 0)</f>
        <v>0</v>
      </c>
      <c r="G1244" s="15">
        <f>IF(AB1244&gt;0, VLOOKUP(B1244,Model!$A$39:$C$58, 3), 0)</f>
        <v>0</v>
      </c>
      <c r="H1244" s="15">
        <f t="shared" si="404"/>
        <v>0</v>
      </c>
      <c r="I1244" s="45">
        <f>Model!$B$21*EXP((-0.029*9.81*F1244)/(8.31*(273+J1244)))</f>
        <v>104500</v>
      </c>
      <c r="J1244" s="15">
        <f>IF(Model!$B$31="Summer",  IF(F1244&lt;=2000,  Model!$B$20-Model!$B$35*F1244/1000,  IF(F1244&lt;Model!$B$36,  Model!$B$33-6.5*F1244/1000,  Model!$B$38)),     IF(F1244&lt;=2000,  Model!$B$20-Model!$B$35*F1244/1000,  IF(F1244&lt;Model!$B$36,  Model!$B$33-5.4*F1244/1000,   Model!$B$38)))</f>
        <v>-20</v>
      </c>
      <c r="K1244" s="15">
        <f t="shared" si="417"/>
        <v>253</v>
      </c>
      <c r="L1244" s="45">
        <f>IF(AB1243-AA1243*(B1244-B1243)&gt;0, L1243-Y1243*(B1244-B1243)*3600-AD1244*Model!$B$16, 0)</f>
        <v>0</v>
      </c>
      <c r="M1244" s="56">
        <f t="shared" si="405"/>
        <v>0</v>
      </c>
      <c r="N1244" s="56">
        <f>Model!$B$13*I1244*K1244/(Model!$B$13*I1244-L1244*287*K1244)</f>
        <v>253</v>
      </c>
      <c r="O1244" s="56">
        <f t="shared" si="406"/>
        <v>253</v>
      </c>
      <c r="P1244" s="56">
        <f t="shared" si="407"/>
        <v>-10</v>
      </c>
      <c r="Q1244" s="62">
        <f t="shared" si="418"/>
        <v>2.2579999999999999E-2</v>
      </c>
      <c r="R1244" s="33">
        <f t="shared" si="419"/>
        <v>1.152E-5</v>
      </c>
      <c r="S1244" s="45">
        <f>0.37*Model!$B$10*(Q1244^2*(N1244-K1244)*I1244/(R1244*O1244^2))^0.33333*(N1244-K1244)</f>
        <v>0</v>
      </c>
      <c r="T1244" s="50">
        <f>Model!$B$32+(90-Model!$B$6)*SIN(RADIANS(-15*(E1244+6)))</f>
        <v>-31.619472402513487</v>
      </c>
      <c r="U1244" s="45">
        <f t="shared" si="408"/>
        <v>0</v>
      </c>
      <c r="V1244" s="50">
        <f t="shared" si="409"/>
        <v>99999</v>
      </c>
      <c r="W1244" s="45">
        <f t="shared" si="410"/>
        <v>0</v>
      </c>
      <c r="X1244" s="45">
        <f>0.3*W1244*Model!$B$9</f>
        <v>0</v>
      </c>
      <c r="Y1244" s="33">
        <f>(S1244-X1244)/Model!$B$11</f>
        <v>0</v>
      </c>
      <c r="Z1244" s="45" t="e">
        <f t="shared" si="411"/>
        <v>#DIV/0!</v>
      </c>
      <c r="AA1244" s="56">
        <f>Y1244/Model!$B$12*3600</f>
        <v>0</v>
      </c>
      <c r="AB1244" s="50">
        <f t="shared" si="416"/>
        <v>0</v>
      </c>
      <c r="AC1244" s="50">
        <f t="shared" si="420"/>
        <v>1800</v>
      </c>
      <c r="AD1244" s="15">
        <f>IF(AE1244=0, Model!$B$19, 0 )</f>
        <v>0</v>
      </c>
      <c r="AE1244" s="50">
        <f>IF(AE1243+AB1243-AB1244&lt;Model!$B$19*Model!$B$18, AE1243+AB1243-AB1244,  0)</f>
        <v>443.63457370611354</v>
      </c>
      <c r="AF1244" s="15">
        <f t="shared" si="412"/>
        <v>1</v>
      </c>
      <c r="AG1244" s="50">
        <f t="shared" si="413"/>
        <v>0</v>
      </c>
    </row>
    <row r="1245" spans="2:33" x14ac:dyDescent="0.25">
      <c r="B1245" s="13">
        <f t="shared" si="414"/>
        <v>1</v>
      </c>
      <c r="C1245" s="13">
        <f>B1245+Model!$B$4</f>
        <v>3</v>
      </c>
      <c r="D1245" s="13">
        <f t="shared" si="415"/>
        <v>1</v>
      </c>
      <c r="E1245" s="13">
        <f t="shared" si="399"/>
        <v>3</v>
      </c>
      <c r="F1245" s="14">
        <f>IF(AB1245&gt;0, VLOOKUP(B1245,Model!$A$40:$B$60, 2), 0)</f>
        <v>0</v>
      </c>
      <c r="G1245" s="13">
        <f>IF(AB1245&gt;0, VLOOKUP(B1245,Model!$A$39:$C$58, 3), 0)</f>
        <v>0</v>
      </c>
      <c r="H1245" s="13">
        <f t="shared" si="404"/>
        <v>0</v>
      </c>
      <c r="I1245" s="46">
        <f>Model!$B$21*EXP((-0.029*9.81*F1245)/(8.31*(273+J1245)))</f>
        <v>104500</v>
      </c>
      <c r="J1245" s="13">
        <f>IF(Model!$B$31="Summer",  IF(F1245&lt;=2000,  Model!$B$20-Model!$B$35*F1245/1000,  IF(F1245&lt;Model!$B$36,  Model!$B$33-6.5*F1245/1000,  Model!$B$38)),     IF(F1245&lt;=2000,  Model!$B$20-Model!$B$35*F1245/1000,  IF(F1245&lt;Model!$B$36,  Model!$B$33-5.4*F1245/1000,   Model!$B$38)))</f>
        <v>-20</v>
      </c>
      <c r="K1245" s="13">
        <f t="shared" si="417"/>
        <v>253</v>
      </c>
      <c r="L1245" s="46">
        <f>IF(AB1244-AA1244*(B1245-B1244)&gt;0, L1244-Y1244*(B1245-B1244)*3600-AD1245*Model!$B$16, 0)</f>
        <v>0</v>
      </c>
      <c r="M1245" s="57">
        <f t="shared" si="405"/>
        <v>0</v>
      </c>
      <c r="N1245" s="57">
        <f>Model!$B$13*I1245*K1245/(Model!$B$13*I1245-L1245*287*K1245)</f>
        <v>253</v>
      </c>
      <c r="O1245" s="57">
        <f t="shared" si="406"/>
        <v>253</v>
      </c>
      <c r="P1245" s="57">
        <f t="shared" si="407"/>
        <v>-10</v>
      </c>
      <c r="Q1245" s="63">
        <f t="shared" si="418"/>
        <v>2.2579999999999999E-2</v>
      </c>
      <c r="R1245" s="17">
        <f t="shared" si="419"/>
        <v>1.152E-5</v>
      </c>
      <c r="S1245" s="46">
        <f>0.37*Model!$B$10*(Q1245^2*(N1245-K1245)*I1245/(R1245*O1245^2))^0.33333*(N1245-K1245)</f>
        <v>0</v>
      </c>
      <c r="T1245" s="51">
        <f>Model!$B$32+(90-Model!$B$6)*SIN(RADIANS(-15*(E1245+6)))</f>
        <v>-31.619472402513487</v>
      </c>
      <c r="U1245" s="46">
        <f t="shared" si="408"/>
        <v>0</v>
      </c>
      <c r="V1245" s="51">
        <f t="shared" si="409"/>
        <v>99999</v>
      </c>
      <c r="W1245" s="46">
        <f t="shared" si="410"/>
        <v>0</v>
      </c>
      <c r="X1245" s="46">
        <f>0.3*W1245*Model!$B$9</f>
        <v>0</v>
      </c>
      <c r="Y1245" s="17">
        <f>(S1245-X1245)/Model!$B$11</f>
        <v>0</v>
      </c>
      <c r="Z1245" s="46" t="e">
        <f t="shared" si="411"/>
        <v>#DIV/0!</v>
      </c>
      <c r="AA1245" s="57">
        <f>Y1245/Model!$B$12*3600</f>
        <v>0</v>
      </c>
      <c r="AB1245" s="51">
        <f t="shared" si="416"/>
        <v>0</v>
      </c>
      <c r="AC1245" s="51">
        <f t="shared" si="420"/>
        <v>1800</v>
      </c>
      <c r="AD1245" s="13">
        <f>IF(AE1245=0, Model!$B$19, 0 )</f>
        <v>0</v>
      </c>
      <c r="AE1245" s="51">
        <f>IF(AE1244+AB1244-AB1245&lt;Model!$B$19*Model!$B$18, AE1244+AB1244-AB1245,  0)</f>
        <v>443.63457370611354</v>
      </c>
      <c r="AF1245" s="13">
        <f t="shared" si="412"/>
        <v>1</v>
      </c>
      <c r="AG1245" s="50">
        <f t="shared" si="413"/>
        <v>0</v>
      </c>
    </row>
    <row r="1246" spans="2:33" x14ac:dyDescent="0.25">
      <c r="B1246" s="15">
        <f t="shared" si="414"/>
        <v>1</v>
      </c>
      <c r="C1246" s="15">
        <f>B1246+Model!$B$4</f>
        <v>3</v>
      </c>
      <c r="D1246" s="15">
        <f t="shared" si="415"/>
        <v>1</v>
      </c>
      <c r="E1246" s="15">
        <f t="shared" si="399"/>
        <v>3</v>
      </c>
      <c r="F1246" s="16">
        <f>IF(AB1246&gt;0, VLOOKUP(B1246,Model!$A$40:$B$60, 2), 0)</f>
        <v>0</v>
      </c>
      <c r="G1246" s="15">
        <f>IF(AB1246&gt;0, VLOOKUP(B1246,Model!$A$39:$C$58, 3), 0)</f>
        <v>0</v>
      </c>
      <c r="H1246" s="15">
        <f t="shared" si="404"/>
        <v>0</v>
      </c>
      <c r="I1246" s="45">
        <f>Model!$B$21*EXP((-0.029*9.81*F1246)/(8.31*(273+J1246)))</f>
        <v>104500</v>
      </c>
      <c r="J1246" s="15">
        <f>IF(Model!$B$31="Summer",  IF(F1246&lt;=2000,  Model!$B$20-Model!$B$35*F1246/1000,  IF(F1246&lt;Model!$B$36,  Model!$B$33-6.5*F1246/1000,  Model!$B$38)),     IF(F1246&lt;=2000,  Model!$B$20-Model!$B$35*F1246/1000,  IF(F1246&lt;Model!$B$36,  Model!$B$33-5.4*F1246/1000,   Model!$B$38)))</f>
        <v>-20</v>
      </c>
      <c r="K1246" s="15">
        <f t="shared" si="417"/>
        <v>253</v>
      </c>
      <c r="L1246" s="45">
        <f>IF(AB1245-AA1245*(B1246-B1245)&gt;0, L1245-Y1245*(B1246-B1245)*3600-AD1246*Model!$B$16, 0)</f>
        <v>0</v>
      </c>
      <c r="M1246" s="56">
        <f t="shared" si="405"/>
        <v>0</v>
      </c>
      <c r="N1246" s="56">
        <f>Model!$B$13*I1246*K1246/(Model!$B$13*I1246-L1246*287*K1246)</f>
        <v>253</v>
      </c>
      <c r="O1246" s="56">
        <f t="shared" si="406"/>
        <v>253</v>
      </c>
      <c r="P1246" s="56">
        <f t="shared" si="407"/>
        <v>-10</v>
      </c>
      <c r="Q1246" s="62">
        <f t="shared" si="418"/>
        <v>2.2579999999999999E-2</v>
      </c>
      <c r="R1246" s="33">
        <f t="shared" si="419"/>
        <v>1.152E-5</v>
      </c>
      <c r="S1246" s="45">
        <f>0.37*Model!$B$10*(Q1246^2*(N1246-K1246)*I1246/(R1246*O1246^2))^0.33333*(N1246-K1246)</f>
        <v>0</v>
      </c>
      <c r="T1246" s="50">
        <f>Model!$B$32+(90-Model!$B$6)*SIN(RADIANS(-15*(E1246+6)))</f>
        <v>-31.619472402513487</v>
      </c>
      <c r="U1246" s="45">
        <f t="shared" si="408"/>
        <v>0</v>
      </c>
      <c r="V1246" s="50">
        <f t="shared" si="409"/>
        <v>99999</v>
      </c>
      <c r="W1246" s="45">
        <f t="shared" si="410"/>
        <v>0</v>
      </c>
      <c r="X1246" s="45">
        <f>0.3*W1246*Model!$B$9</f>
        <v>0</v>
      </c>
      <c r="Y1246" s="33">
        <f>(S1246-X1246)/Model!$B$11</f>
        <v>0</v>
      </c>
      <c r="Z1246" s="45" t="e">
        <f t="shared" si="411"/>
        <v>#DIV/0!</v>
      </c>
      <c r="AA1246" s="56">
        <f>Y1246/Model!$B$12*3600</f>
        <v>0</v>
      </c>
      <c r="AB1246" s="50">
        <f t="shared" si="416"/>
        <v>0</v>
      </c>
      <c r="AC1246" s="50">
        <f t="shared" si="420"/>
        <v>1800</v>
      </c>
      <c r="AD1246" s="15">
        <f>IF(AE1246=0, Model!$B$19, 0 )</f>
        <v>0</v>
      </c>
      <c r="AE1246" s="50">
        <f>IF(AE1245+AB1245-AB1246&lt;Model!$B$19*Model!$B$18, AE1245+AB1245-AB1246,  0)</f>
        <v>443.63457370611354</v>
      </c>
      <c r="AF1246" s="15">
        <f t="shared" si="412"/>
        <v>1</v>
      </c>
      <c r="AG1246" s="50">
        <f t="shared" si="413"/>
        <v>0</v>
      </c>
    </row>
    <row r="1247" spans="2:33" x14ac:dyDescent="0.25">
      <c r="B1247" s="13">
        <f t="shared" si="414"/>
        <v>1</v>
      </c>
      <c r="C1247" s="13">
        <f>B1247+Model!$B$4</f>
        <v>3</v>
      </c>
      <c r="D1247" s="13">
        <f t="shared" si="415"/>
        <v>1</v>
      </c>
      <c r="E1247" s="13">
        <f t="shared" si="399"/>
        <v>3</v>
      </c>
      <c r="F1247" s="14">
        <f>IF(AB1247&gt;0, VLOOKUP(B1247,Model!$A$40:$B$60, 2), 0)</f>
        <v>0</v>
      </c>
      <c r="G1247" s="13">
        <f>IF(AB1247&gt;0, VLOOKUP(B1247,Model!$A$39:$C$58, 3), 0)</f>
        <v>0</v>
      </c>
      <c r="H1247" s="13">
        <f t="shared" si="404"/>
        <v>0</v>
      </c>
      <c r="I1247" s="46">
        <f>Model!$B$21*EXP((-0.029*9.81*F1247)/(8.31*(273+J1247)))</f>
        <v>104500</v>
      </c>
      <c r="J1247" s="13">
        <f>IF(Model!$B$31="Summer",  IF(F1247&lt;=2000,  Model!$B$20-Model!$B$35*F1247/1000,  IF(F1247&lt;Model!$B$36,  Model!$B$33-6.5*F1247/1000,  Model!$B$38)),     IF(F1247&lt;=2000,  Model!$B$20-Model!$B$35*F1247/1000,  IF(F1247&lt;Model!$B$36,  Model!$B$33-5.4*F1247/1000,   Model!$B$38)))</f>
        <v>-20</v>
      </c>
      <c r="K1247" s="13">
        <f t="shared" si="417"/>
        <v>253</v>
      </c>
      <c r="L1247" s="46">
        <f>IF(AB1246-AA1246*(B1247-B1246)&gt;0, L1246-Y1246*(B1247-B1246)*3600-AD1247*Model!$B$16, 0)</f>
        <v>0</v>
      </c>
      <c r="M1247" s="57">
        <f t="shared" si="405"/>
        <v>0</v>
      </c>
      <c r="N1247" s="57">
        <f>Model!$B$13*I1247*K1247/(Model!$B$13*I1247-L1247*287*K1247)</f>
        <v>253</v>
      </c>
      <c r="O1247" s="57">
        <f t="shared" si="406"/>
        <v>253</v>
      </c>
      <c r="P1247" s="57">
        <f t="shared" si="407"/>
        <v>-10</v>
      </c>
      <c r="Q1247" s="63">
        <f t="shared" si="418"/>
        <v>2.2579999999999999E-2</v>
      </c>
      <c r="R1247" s="17">
        <f t="shared" si="419"/>
        <v>1.152E-5</v>
      </c>
      <c r="S1247" s="46">
        <f>0.37*Model!$B$10*(Q1247^2*(N1247-K1247)*I1247/(R1247*O1247^2))^0.33333*(N1247-K1247)</f>
        <v>0</v>
      </c>
      <c r="T1247" s="51">
        <f>Model!$B$32+(90-Model!$B$6)*SIN(RADIANS(-15*(E1247+6)))</f>
        <v>-31.619472402513487</v>
      </c>
      <c r="U1247" s="46">
        <f t="shared" si="408"/>
        <v>0</v>
      </c>
      <c r="V1247" s="51">
        <f t="shared" si="409"/>
        <v>99999</v>
      </c>
      <c r="W1247" s="46">
        <f t="shared" si="410"/>
        <v>0</v>
      </c>
      <c r="X1247" s="46">
        <f>0.3*W1247*Model!$B$9</f>
        <v>0</v>
      </c>
      <c r="Y1247" s="17">
        <f>(S1247-X1247)/Model!$B$11</f>
        <v>0</v>
      </c>
      <c r="Z1247" s="46" t="e">
        <f t="shared" si="411"/>
        <v>#DIV/0!</v>
      </c>
      <c r="AA1247" s="57">
        <f>Y1247/Model!$B$12*3600</f>
        <v>0</v>
      </c>
      <c r="AB1247" s="51">
        <f t="shared" si="416"/>
        <v>0</v>
      </c>
      <c r="AC1247" s="51">
        <f t="shared" si="420"/>
        <v>1800</v>
      </c>
      <c r="AD1247" s="13">
        <f>IF(AE1247=0, Model!$B$19, 0 )</f>
        <v>0</v>
      </c>
      <c r="AE1247" s="51">
        <f>IF(AE1246+AB1246-AB1247&lt;Model!$B$19*Model!$B$18, AE1246+AB1246-AB1247,  0)</f>
        <v>443.63457370611354</v>
      </c>
      <c r="AF1247" s="13">
        <f t="shared" si="412"/>
        <v>1</v>
      </c>
      <c r="AG1247" s="50">
        <f t="shared" si="413"/>
        <v>0</v>
      </c>
    </row>
    <row r="1248" spans="2:33" x14ac:dyDescent="0.25">
      <c r="B1248" s="15">
        <f t="shared" si="414"/>
        <v>1</v>
      </c>
      <c r="C1248" s="15">
        <f>B1248+Model!$B$4</f>
        <v>3</v>
      </c>
      <c r="D1248" s="15">
        <f t="shared" si="415"/>
        <v>1</v>
      </c>
      <c r="E1248" s="15">
        <f t="shared" si="399"/>
        <v>3</v>
      </c>
      <c r="F1248" s="16">
        <f>IF(AB1248&gt;0, VLOOKUP(B1248,Model!$A$40:$B$60, 2), 0)</f>
        <v>0</v>
      </c>
      <c r="G1248" s="15">
        <f>IF(AB1248&gt;0, VLOOKUP(B1248,Model!$A$39:$C$58, 3), 0)</f>
        <v>0</v>
      </c>
      <c r="H1248" s="15">
        <f t="shared" si="404"/>
        <v>0</v>
      </c>
      <c r="I1248" s="45">
        <f>Model!$B$21*EXP((-0.029*9.81*F1248)/(8.31*(273+J1248)))</f>
        <v>104500</v>
      </c>
      <c r="J1248" s="15">
        <f>IF(Model!$B$31="Summer",  IF(F1248&lt;=2000,  Model!$B$20-Model!$B$35*F1248/1000,  IF(F1248&lt;Model!$B$36,  Model!$B$33-6.5*F1248/1000,  Model!$B$38)),     IF(F1248&lt;=2000,  Model!$B$20-Model!$B$35*F1248/1000,  IF(F1248&lt;Model!$B$36,  Model!$B$33-5.4*F1248/1000,   Model!$B$38)))</f>
        <v>-20</v>
      </c>
      <c r="K1248" s="15">
        <f t="shared" si="417"/>
        <v>253</v>
      </c>
      <c r="L1248" s="45">
        <f>IF(AB1247-AA1247*(B1248-B1247)&gt;0, L1247-Y1247*(B1248-B1247)*3600-AD1248*Model!$B$16, 0)</f>
        <v>0</v>
      </c>
      <c r="M1248" s="56">
        <f t="shared" si="405"/>
        <v>0</v>
      </c>
      <c r="N1248" s="56">
        <f>Model!$B$13*I1248*K1248/(Model!$B$13*I1248-L1248*287*K1248)</f>
        <v>253</v>
      </c>
      <c r="O1248" s="56">
        <f t="shared" si="406"/>
        <v>253</v>
      </c>
      <c r="P1248" s="56">
        <f t="shared" si="407"/>
        <v>-10</v>
      </c>
      <c r="Q1248" s="62">
        <f t="shared" si="418"/>
        <v>2.2579999999999999E-2</v>
      </c>
      <c r="R1248" s="33">
        <f t="shared" si="419"/>
        <v>1.152E-5</v>
      </c>
      <c r="S1248" s="45">
        <f>0.37*Model!$B$10*(Q1248^2*(N1248-K1248)*I1248/(R1248*O1248^2))^0.33333*(N1248-K1248)</f>
        <v>0</v>
      </c>
      <c r="T1248" s="50">
        <f>Model!$B$32+(90-Model!$B$6)*SIN(RADIANS(-15*(E1248+6)))</f>
        <v>-31.619472402513487</v>
      </c>
      <c r="U1248" s="45">
        <f t="shared" si="408"/>
        <v>0</v>
      </c>
      <c r="V1248" s="50">
        <f t="shared" si="409"/>
        <v>99999</v>
      </c>
      <c r="W1248" s="45">
        <f t="shared" si="410"/>
        <v>0</v>
      </c>
      <c r="X1248" s="45">
        <f>0.3*W1248*Model!$B$9</f>
        <v>0</v>
      </c>
      <c r="Y1248" s="33">
        <f>(S1248-X1248)/Model!$B$11</f>
        <v>0</v>
      </c>
      <c r="Z1248" s="45" t="e">
        <f t="shared" si="411"/>
        <v>#DIV/0!</v>
      </c>
      <c r="AA1248" s="56">
        <f>Y1248/Model!$B$12*3600</f>
        <v>0</v>
      </c>
      <c r="AB1248" s="50">
        <f t="shared" si="416"/>
        <v>0</v>
      </c>
      <c r="AC1248" s="50">
        <f t="shared" si="420"/>
        <v>1800</v>
      </c>
      <c r="AD1248" s="15">
        <f>IF(AE1248=0, Model!$B$19, 0 )</f>
        <v>0</v>
      </c>
      <c r="AE1248" s="50">
        <f>IF(AE1247+AB1247-AB1248&lt;Model!$B$19*Model!$B$18, AE1247+AB1247-AB1248,  0)</f>
        <v>443.63457370611354</v>
      </c>
      <c r="AF1248" s="15">
        <f t="shared" si="412"/>
        <v>1</v>
      </c>
      <c r="AG1248" s="50">
        <f t="shared" si="413"/>
        <v>0</v>
      </c>
    </row>
    <row r="1249" spans="2:33" x14ac:dyDescent="0.25">
      <c r="B1249" s="13">
        <f t="shared" si="414"/>
        <v>1</v>
      </c>
      <c r="C1249" s="13">
        <f>B1249+Model!$B$4</f>
        <v>3</v>
      </c>
      <c r="D1249" s="13">
        <f t="shared" si="415"/>
        <v>1</v>
      </c>
      <c r="E1249" s="13">
        <f t="shared" si="399"/>
        <v>3</v>
      </c>
      <c r="F1249" s="14">
        <f>IF(AB1249&gt;0, VLOOKUP(B1249,Model!$A$40:$B$60, 2), 0)</f>
        <v>0</v>
      </c>
      <c r="G1249" s="13">
        <f>IF(AB1249&gt;0, VLOOKUP(B1249,Model!$A$39:$C$58, 3), 0)</f>
        <v>0</v>
      </c>
      <c r="H1249" s="13">
        <f t="shared" si="404"/>
        <v>0</v>
      </c>
      <c r="I1249" s="46">
        <f>Model!$B$21*EXP((-0.029*9.81*F1249)/(8.31*(273+J1249)))</f>
        <v>104500</v>
      </c>
      <c r="J1249" s="13">
        <f>IF(Model!$B$31="Summer",  IF(F1249&lt;=2000,  Model!$B$20-Model!$B$35*F1249/1000,  IF(F1249&lt;Model!$B$36,  Model!$B$33-6.5*F1249/1000,  Model!$B$38)),     IF(F1249&lt;=2000,  Model!$B$20-Model!$B$35*F1249/1000,  IF(F1249&lt;Model!$B$36,  Model!$B$33-5.4*F1249/1000,   Model!$B$38)))</f>
        <v>-20</v>
      </c>
      <c r="K1249" s="13">
        <f t="shared" si="417"/>
        <v>253</v>
      </c>
      <c r="L1249" s="46">
        <f>IF(AB1248-AA1248*(B1249-B1248)&gt;0, L1248-Y1248*(B1249-B1248)*3600-AD1249*Model!$B$16, 0)</f>
        <v>0</v>
      </c>
      <c r="M1249" s="57">
        <f t="shared" si="405"/>
        <v>0</v>
      </c>
      <c r="N1249" s="57">
        <f>Model!$B$13*I1249*K1249/(Model!$B$13*I1249-L1249*287*K1249)</f>
        <v>253</v>
      </c>
      <c r="O1249" s="57">
        <f t="shared" si="406"/>
        <v>253</v>
      </c>
      <c r="P1249" s="57">
        <f t="shared" si="407"/>
        <v>-10</v>
      </c>
      <c r="Q1249" s="63">
        <f t="shared" si="418"/>
        <v>2.2579999999999999E-2</v>
      </c>
      <c r="R1249" s="17">
        <f t="shared" si="419"/>
        <v>1.152E-5</v>
      </c>
      <c r="S1249" s="46">
        <f>0.37*Model!$B$10*(Q1249^2*(N1249-K1249)*I1249/(R1249*O1249^2))^0.33333*(N1249-K1249)</f>
        <v>0</v>
      </c>
      <c r="T1249" s="51">
        <f>Model!$B$32+(90-Model!$B$6)*SIN(RADIANS(-15*(E1249+6)))</f>
        <v>-31.619472402513487</v>
      </c>
      <c r="U1249" s="46">
        <f t="shared" si="408"/>
        <v>0</v>
      </c>
      <c r="V1249" s="51">
        <f t="shared" si="409"/>
        <v>99999</v>
      </c>
      <c r="W1249" s="46">
        <f t="shared" si="410"/>
        <v>0</v>
      </c>
      <c r="X1249" s="46">
        <f>0.3*W1249*Model!$B$9</f>
        <v>0</v>
      </c>
      <c r="Y1249" s="17">
        <f>(S1249-X1249)/Model!$B$11</f>
        <v>0</v>
      </c>
      <c r="Z1249" s="46" t="e">
        <f t="shared" si="411"/>
        <v>#DIV/0!</v>
      </c>
      <c r="AA1249" s="57">
        <f>Y1249/Model!$B$12*3600</f>
        <v>0</v>
      </c>
      <c r="AB1249" s="51">
        <f t="shared" si="416"/>
        <v>0</v>
      </c>
      <c r="AC1249" s="51">
        <f t="shared" si="420"/>
        <v>1800</v>
      </c>
      <c r="AD1249" s="13">
        <f>IF(AE1249=0, Model!$B$19, 0 )</f>
        <v>0</v>
      </c>
      <c r="AE1249" s="51">
        <f>IF(AE1248+AB1248-AB1249&lt;Model!$B$19*Model!$B$18, AE1248+AB1248-AB1249,  0)</f>
        <v>443.63457370611354</v>
      </c>
      <c r="AF1249" s="13">
        <f t="shared" si="412"/>
        <v>1</v>
      </c>
      <c r="AG1249" s="50">
        <f t="shared" si="413"/>
        <v>0</v>
      </c>
    </row>
    <row r="1250" spans="2:33" x14ac:dyDescent="0.25">
      <c r="B1250" s="15">
        <f t="shared" si="414"/>
        <v>1</v>
      </c>
      <c r="C1250" s="15">
        <f>B1250+Model!$B$4</f>
        <v>3</v>
      </c>
      <c r="D1250" s="15">
        <f t="shared" si="415"/>
        <v>1</v>
      </c>
      <c r="E1250" s="15">
        <f t="shared" si="399"/>
        <v>3</v>
      </c>
      <c r="F1250" s="16">
        <f>IF(AB1250&gt;0, VLOOKUP(B1250,Model!$A$40:$B$60, 2), 0)</f>
        <v>0</v>
      </c>
      <c r="G1250" s="15">
        <f>IF(AB1250&gt;0, VLOOKUP(B1250,Model!$A$39:$C$58, 3), 0)</f>
        <v>0</v>
      </c>
      <c r="H1250" s="15">
        <f t="shared" si="404"/>
        <v>0</v>
      </c>
      <c r="I1250" s="45">
        <f>Model!$B$21*EXP((-0.029*9.81*F1250)/(8.31*(273+J1250)))</f>
        <v>104500</v>
      </c>
      <c r="J1250" s="15">
        <f>IF(Model!$B$31="Summer",  IF(F1250&lt;=2000,  Model!$B$20-Model!$B$35*F1250/1000,  IF(F1250&lt;Model!$B$36,  Model!$B$33-6.5*F1250/1000,  Model!$B$38)),     IF(F1250&lt;=2000,  Model!$B$20-Model!$B$35*F1250/1000,  IF(F1250&lt;Model!$B$36,  Model!$B$33-5.4*F1250/1000,   Model!$B$38)))</f>
        <v>-20</v>
      </c>
      <c r="K1250" s="15">
        <f t="shared" si="417"/>
        <v>253</v>
      </c>
      <c r="L1250" s="45">
        <f>IF(AB1249-AA1249*(B1250-B1249)&gt;0, L1249-Y1249*(B1250-B1249)*3600-AD1250*Model!$B$16, 0)</f>
        <v>0</v>
      </c>
      <c r="M1250" s="56">
        <f t="shared" si="405"/>
        <v>0</v>
      </c>
      <c r="N1250" s="56">
        <f>Model!$B$13*I1250*K1250/(Model!$B$13*I1250-L1250*287*K1250)</f>
        <v>253</v>
      </c>
      <c r="O1250" s="56">
        <f t="shared" si="406"/>
        <v>253</v>
      </c>
      <c r="P1250" s="56">
        <f t="shared" si="407"/>
        <v>-10</v>
      </c>
      <c r="Q1250" s="62">
        <f t="shared" si="418"/>
        <v>2.2579999999999999E-2</v>
      </c>
      <c r="R1250" s="33">
        <f t="shared" si="419"/>
        <v>1.152E-5</v>
      </c>
      <c r="S1250" s="45">
        <f>0.37*Model!$B$10*(Q1250^2*(N1250-K1250)*I1250/(R1250*O1250^2))^0.33333*(N1250-K1250)</f>
        <v>0</v>
      </c>
      <c r="T1250" s="50">
        <f>Model!$B$32+(90-Model!$B$6)*SIN(RADIANS(-15*(E1250+6)))</f>
        <v>-31.619472402513487</v>
      </c>
      <c r="U1250" s="45">
        <f t="shared" si="408"/>
        <v>0</v>
      </c>
      <c r="V1250" s="50">
        <f t="shared" si="409"/>
        <v>99999</v>
      </c>
      <c r="W1250" s="45">
        <f t="shared" si="410"/>
        <v>0</v>
      </c>
      <c r="X1250" s="45">
        <f>0.3*W1250*Model!$B$9</f>
        <v>0</v>
      </c>
      <c r="Y1250" s="33">
        <f>(S1250-X1250)/Model!$B$11</f>
        <v>0</v>
      </c>
      <c r="Z1250" s="45" t="e">
        <f t="shared" si="411"/>
        <v>#DIV/0!</v>
      </c>
      <c r="AA1250" s="56">
        <f>Y1250/Model!$B$12*3600</f>
        <v>0</v>
      </c>
      <c r="AB1250" s="50">
        <f t="shared" si="416"/>
        <v>0</v>
      </c>
      <c r="AC1250" s="50">
        <f t="shared" si="420"/>
        <v>1800</v>
      </c>
      <c r="AD1250" s="15">
        <f>IF(AE1250=0, Model!$B$19, 0 )</f>
        <v>0</v>
      </c>
      <c r="AE1250" s="50">
        <f>IF(AE1249+AB1249-AB1250&lt;Model!$B$19*Model!$B$18, AE1249+AB1249-AB1250,  0)</f>
        <v>443.63457370611354</v>
      </c>
      <c r="AF1250" s="15">
        <f t="shared" si="412"/>
        <v>1</v>
      </c>
      <c r="AG1250" s="50">
        <f t="shared" si="413"/>
        <v>0</v>
      </c>
    </row>
    <row r="1251" spans="2:33" x14ac:dyDescent="0.25">
      <c r="B1251" s="13">
        <f t="shared" si="414"/>
        <v>1</v>
      </c>
      <c r="C1251" s="13">
        <f>B1251+Model!$B$4</f>
        <v>3</v>
      </c>
      <c r="D1251" s="13">
        <f t="shared" si="415"/>
        <v>1</v>
      </c>
      <c r="E1251" s="13">
        <f t="shared" ref="E1251:E1302" si="421">C1251-24*(D1251-1)</f>
        <v>3</v>
      </c>
      <c r="F1251" s="14">
        <f>IF(AB1251&gt;0, VLOOKUP(B1251,Model!$A$40:$B$60, 2), 0)</f>
        <v>0</v>
      </c>
      <c r="G1251" s="13">
        <f>IF(AB1251&gt;0, VLOOKUP(B1251,Model!$A$39:$C$58, 3), 0)</f>
        <v>0</v>
      </c>
      <c r="H1251" s="13">
        <f t="shared" si="404"/>
        <v>0</v>
      </c>
      <c r="I1251" s="46">
        <f>Model!$B$21*EXP((-0.029*9.81*F1251)/(8.31*(273+J1251)))</f>
        <v>104500</v>
      </c>
      <c r="J1251" s="13">
        <f>IF(Model!$B$31="Summer",  IF(F1251&lt;=2000,  Model!$B$20-Model!$B$35*F1251/1000,  IF(F1251&lt;Model!$B$36,  Model!$B$33-6.5*F1251/1000,  Model!$B$38)),     IF(F1251&lt;=2000,  Model!$B$20-Model!$B$35*F1251/1000,  IF(F1251&lt;Model!$B$36,  Model!$B$33-5.4*F1251/1000,   Model!$B$38)))</f>
        <v>-20</v>
      </c>
      <c r="K1251" s="13">
        <f t="shared" si="417"/>
        <v>253</v>
      </c>
      <c r="L1251" s="46">
        <f>IF(AB1250-AA1250*(B1251-B1250)&gt;0, L1250-Y1250*(B1251-B1250)*3600-AD1251*Model!$B$16, 0)</f>
        <v>0</v>
      </c>
      <c r="M1251" s="57">
        <f t="shared" si="405"/>
        <v>0</v>
      </c>
      <c r="N1251" s="57">
        <f>Model!$B$13*I1251*K1251/(Model!$B$13*I1251-L1251*287*K1251)</f>
        <v>253</v>
      </c>
      <c r="O1251" s="57">
        <f t="shared" si="406"/>
        <v>253</v>
      </c>
      <c r="P1251" s="57">
        <f t="shared" si="407"/>
        <v>-10</v>
      </c>
      <c r="Q1251" s="63">
        <f t="shared" si="418"/>
        <v>2.2579999999999999E-2</v>
      </c>
      <c r="R1251" s="17">
        <f t="shared" si="419"/>
        <v>1.152E-5</v>
      </c>
      <c r="S1251" s="46">
        <f>0.37*Model!$B$10*(Q1251^2*(N1251-K1251)*I1251/(R1251*O1251^2))^0.33333*(N1251-K1251)</f>
        <v>0</v>
      </c>
      <c r="T1251" s="51">
        <f>Model!$B$32+(90-Model!$B$6)*SIN(RADIANS(-15*(E1251+6)))</f>
        <v>-31.619472402513487</v>
      </c>
      <c r="U1251" s="46">
        <f t="shared" si="408"/>
        <v>0</v>
      </c>
      <c r="V1251" s="51">
        <f t="shared" si="409"/>
        <v>99999</v>
      </c>
      <c r="W1251" s="46">
        <f t="shared" si="410"/>
        <v>0</v>
      </c>
      <c r="X1251" s="46">
        <f>0.3*W1251*Model!$B$9</f>
        <v>0</v>
      </c>
      <c r="Y1251" s="17">
        <f>(S1251-X1251)/Model!$B$11</f>
        <v>0</v>
      </c>
      <c r="Z1251" s="46" t="e">
        <f t="shared" si="411"/>
        <v>#DIV/0!</v>
      </c>
      <c r="AA1251" s="57">
        <f>Y1251/Model!$B$12*3600</f>
        <v>0</v>
      </c>
      <c r="AB1251" s="51">
        <f t="shared" si="416"/>
        <v>0</v>
      </c>
      <c r="AC1251" s="51">
        <f t="shared" si="420"/>
        <v>1800</v>
      </c>
      <c r="AD1251" s="13">
        <f>IF(AE1251=0, Model!$B$19, 0 )</f>
        <v>0</v>
      </c>
      <c r="AE1251" s="51">
        <f>IF(AE1250+AB1250-AB1251&lt;Model!$B$19*Model!$B$18, AE1250+AB1250-AB1251,  0)</f>
        <v>443.63457370611354</v>
      </c>
      <c r="AF1251" s="13">
        <f t="shared" si="412"/>
        <v>1</v>
      </c>
      <c r="AG1251" s="50">
        <f t="shared" si="413"/>
        <v>0</v>
      </c>
    </row>
    <row r="1252" spans="2:33" x14ac:dyDescent="0.25">
      <c r="B1252" s="15">
        <f t="shared" si="414"/>
        <v>1</v>
      </c>
      <c r="C1252" s="15">
        <f>B1252+Model!$B$4</f>
        <v>3</v>
      </c>
      <c r="D1252" s="15">
        <f t="shared" si="415"/>
        <v>1</v>
      </c>
      <c r="E1252" s="15">
        <f t="shared" si="421"/>
        <v>3</v>
      </c>
      <c r="F1252" s="16">
        <f>IF(AB1252&gt;0, VLOOKUP(B1252,Model!$A$40:$B$60, 2), 0)</f>
        <v>0</v>
      </c>
      <c r="G1252" s="15">
        <f>IF(AB1252&gt;0, VLOOKUP(B1252,Model!$A$39:$C$58, 3), 0)</f>
        <v>0</v>
      </c>
      <c r="H1252" s="15">
        <f t="shared" si="404"/>
        <v>0</v>
      </c>
      <c r="I1252" s="45">
        <f>Model!$B$21*EXP((-0.029*9.81*F1252)/(8.31*(273+J1252)))</f>
        <v>104500</v>
      </c>
      <c r="J1252" s="15">
        <f>IF(Model!$B$31="Summer",  IF(F1252&lt;=2000,  Model!$B$20-Model!$B$35*F1252/1000,  IF(F1252&lt;Model!$B$36,  Model!$B$33-6.5*F1252/1000,  Model!$B$38)),     IF(F1252&lt;=2000,  Model!$B$20-Model!$B$35*F1252/1000,  IF(F1252&lt;Model!$B$36,  Model!$B$33-5.4*F1252/1000,   Model!$B$38)))</f>
        <v>-20</v>
      </c>
      <c r="K1252" s="15">
        <f t="shared" si="417"/>
        <v>253</v>
      </c>
      <c r="L1252" s="45">
        <f>IF(AB1251-AA1251*(B1252-B1251)&gt;0, L1251-Y1251*(B1252-B1251)*3600-AD1252*Model!$B$16, 0)</f>
        <v>0</v>
      </c>
      <c r="M1252" s="56">
        <f t="shared" si="405"/>
        <v>0</v>
      </c>
      <c r="N1252" s="56">
        <f>Model!$B$13*I1252*K1252/(Model!$B$13*I1252-L1252*287*K1252)</f>
        <v>253</v>
      </c>
      <c r="O1252" s="56">
        <f t="shared" si="406"/>
        <v>253</v>
      </c>
      <c r="P1252" s="56">
        <f t="shared" si="407"/>
        <v>-10</v>
      </c>
      <c r="Q1252" s="62">
        <f t="shared" si="418"/>
        <v>2.2579999999999999E-2</v>
      </c>
      <c r="R1252" s="33">
        <f t="shared" si="419"/>
        <v>1.152E-5</v>
      </c>
      <c r="S1252" s="45">
        <f>0.37*Model!$B$10*(Q1252^2*(N1252-K1252)*I1252/(R1252*O1252^2))^0.33333*(N1252-K1252)</f>
        <v>0</v>
      </c>
      <c r="T1252" s="50">
        <f>Model!$B$32+(90-Model!$B$6)*SIN(RADIANS(-15*(E1252+6)))</f>
        <v>-31.619472402513487</v>
      </c>
      <c r="U1252" s="45">
        <f t="shared" si="408"/>
        <v>0</v>
      </c>
      <c r="V1252" s="50">
        <f t="shared" si="409"/>
        <v>99999</v>
      </c>
      <c r="W1252" s="45">
        <f t="shared" si="410"/>
        <v>0</v>
      </c>
      <c r="X1252" s="45">
        <f>0.3*W1252*Model!$B$9</f>
        <v>0</v>
      </c>
      <c r="Y1252" s="33">
        <f>(S1252-X1252)/Model!$B$11</f>
        <v>0</v>
      </c>
      <c r="Z1252" s="45" t="e">
        <f t="shared" si="411"/>
        <v>#DIV/0!</v>
      </c>
      <c r="AA1252" s="56">
        <f>Y1252/Model!$B$12*3600</f>
        <v>0</v>
      </c>
      <c r="AB1252" s="50">
        <f t="shared" si="416"/>
        <v>0</v>
      </c>
      <c r="AC1252" s="50">
        <f t="shared" si="420"/>
        <v>1800</v>
      </c>
      <c r="AD1252" s="15">
        <f>IF(AE1252=0, Model!$B$19, 0 )</f>
        <v>0</v>
      </c>
      <c r="AE1252" s="50">
        <f>IF(AE1251+AB1251-AB1252&lt;Model!$B$19*Model!$B$18, AE1251+AB1251-AB1252,  0)</f>
        <v>443.63457370611354</v>
      </c>
      <c r="AF1252" s="15">
        <f t="shared" si="412"/>
        <v>1</v>
      </c>
      <c r="AG1252" s="50">
        <f t="shared" si="413"/>
        <v>0</v>
      </c>
    </row>
    <row r="1253" spans="2:33" x14ac:dyDescent="0.25">
      <c r="B1253" s="13">
        <f t="shared" si="414"/>
        <v>1</v>
      </c>
      <c r="C1253" s="13">
        <f>B1253+Model!$B$4</f>
        <v>3</v>
      </c>
      <c r="D1253" s="13">
        <f t="shared" si="415"/>
        <v>1</v>
      </c>
      <c r="E1253" s="13">
        <f t="shared" si="421"/>
        <v>3</v>
      </c>
      <c r="F1253" s="14">
        <f>IF(AB1253&gt;0, VLOOKUP(B1253,Model!$A$40:$B$60, 2), 0)</f>
        <v>0</v>
      </c>
      <c r="G1253" s="13">
        <f>IF(AB1253&gt;0, VLOOKUP(B1253,Model!$A$39:$C$58, 3), 0)</f>
        <v>0</v>
      </c>
      <c r="H1253" s="13">
        <f t="shared" si="404"/>
        <v>0</v>
      </c>
      <c r="I1253" s="46">
        <f>Model!$B$21*EXP((-0.029*9.81*F1253)/(8.31*(273+J1253)))</f>
        <v>104500</v>
      </c>
      <c r="J1253" s="13">
        <f>IF(Model!$B$31="Summer",  IF(F1253&lt;=2000,  Model!$B$20-Model!$B$35*F1253/1000,  IF(F1253&lt;Model!$B$36,  Model!$B$33-6.5*F1253/1000,  Model!$B$38)),     IF(F1253&lt;=2000,  Model!$B$20-Model!$B$35*F1253/1000,  IF(F1253&lt;Model!$B$36,  Model!$B$33-5.4*F1253/1000,   Model!$B$38)))</f>
        <v>-20</v>
      </c>
      <c r="K1253" s="13">
        <f t="shared" si="417"/>
        <v>253</v>
      </c>
      <c r="L1253" s="46">
        <f>IF(AB1252-AA1252*(B1253-B1252)&gt;0, L1252-Y1252*(B1253-B1252)*3600-AD1253*Model!$B$16, 0)</f>
        <v>0</v>
      </c>
      <c r="M1253" s="57">
        <f t="shared" si="405"/>
        <v>0</v>
      </c>
      <c r="N1253" s="57">
        <f>Model!$B$13*I1253*K1253/(Model!$B$13*I1253-L1253*287*K1253)</f>
        <v>253</v>
      </c>
      <c r="O1253" s="57">
        <f t="shared" si="406"/>
        <v>253</v>
      </c>
      <c r="P1253" s="57">
        <f t="shared" si="407"/>
        <v>-10</v>
      </c>
      <c r="Q1253" s="63">
        <f t="shared" si="418"/>
        <v>2.2579999999999999E-2</v>
      </c>
      <c r="R1253" s="17">
        <f t="shared" si="419"/>
        <v>1.152E-5</v>
      </c>
      <c r="S1253" s="46">
        <f>0.37*Model!$B$10*(Q1253^2*(N1253-K1253)*I1253/(R1253*O1253^2))^0.33333*(N1253-K1253)</f>
        <v>0</v>
      </c>
      <c r="T1253" s="51">
        <f>Model!$B$32+(90-Model!$B$6)*SIN(RADIANS(-15*(E1253+6)))</f>
        <v>-31.619472402513487</v>
      </c>
      <c r="U1253" s="46">
        <f t="shared" si="408"/>
        <v>0</v>
      </c>
      <c r="V1253" s="51">
        <f t="shared" si="409"/>
        <v>99999</v>
      </c>
      <c r="W1253" s="46">
        <f t="shared" si="410"/>
        <v>0</v>
      </c>
      <c r="X1253" s="46">
        <f>0.3*W1253*Model!$B$9</f>
        <v>0</v>
      </c>
      <c r="Y1253" s="17">
        <f>(S1253-X1253)/Model!$B$11</f>
        <v>0</v>
      </c>
      <c r="Z1253" s="46" t="e">
        <f t="shared" si="411"/>
        <v>#DIV/0!</v>
      </c>
      <c r="AA1253" s="57">
        <f>Y1253/Model!$B$12*3600</f>
        <v>0</v>
      </c>
      <c r="AB1253" s="51">
        <f t="shared" si="416"/>
        <v>0</v>
      </c>
      <c r="AC1253" s="51">
        <f t="shared" si="420"/>
        <v>1800</v>
      </c>
      <c r="AD1253" s="13">
        <f>IF(AE1253=0, Model!$B$19, 0 )</f>
        <v>0</v>
      </c>
      <c r="AE1253" s="51">
        <f>IF(AE1252+AB1252-AB1253&lt;Model!$B$19*Model!$B$18, AE1252+AB1252-AB1253,  0)</f>
        <v>443.63457370611354</v>
      </c>
      <c r="AF1253" s="13">
        <f t="shared" si="412"/>
        <v>1</v>
      </c>
      <c r="AG1253" s="50">
        <f t="shared" si="413"/>
        <v>0</v>
      </c>
    </row>
    <row r="1254" spans="2:33" x14ac:dyDescent="0.25">
      <c r="B1254" s="15">
        <f t="shared" si="414"/>
        <v>1</v>
      </c>
      <c r="C1254" s="15">
        <f>B1254+Model!$B$4</f>
        <v>3</v>
      </c>
      <c r="D1254" s="15">
        <f t="shared" si="415"/>
        <v>1</v>
      </c>
      <c r="E1254" s="15">
        <f t="shared" si="421"/>
        <v>3</v>
      </c>
      <c r="F1254" s="16">
        <f>IF(AB1254&gt;0, VLOOKUP(B1254,Model!$A$40:$B$60, 2), 0)</f>
        <v>0</v>
      </c>
      <c r="G1254" s="15">
        <f>IF(AB1254&gt;0, VLOOKUP(B1254,Model!$A$39:$C$58, 3), 0)</f>
        <v>0</v>
      </c>
      <c r="H1254" s="15">
        <f t="shared" si="404"/>
        <v>0</v>
      </c>
      <c r="I1254" s="45">
        <f>Model!$B$21*EXP((-0.029*9.81*F1254)/(8.31*(273+J1254)))</f>
        <v>104500</v>
      </c>
      <c r="J1254" s="15">
        <f>IF(Model!$B$31="Summer",  IF(F1254&lt;=2000,  Model!$B$20-Model!$B$35*F1254/1000,  IF(F1254&lt;Model!$B$36,  Model!$B$33-6.5*F1254/1000,  Model!$B$38)),     IF(F1254&lt;=2000,  Model!$B$20-Model!$B$35*F1254/1000,  IF(F1254&lt;Model!$B$36,  Model!$B$33-5.4*F1254/1000,   Model!$B$38)))</f>
        <v>-20</v>
      </c>
      <c r="K1254" s="15">
        <f t="shared" si="417"/>
        <v>253</v>
      </c>
      <c r="L1254" s="45">
        <f>IF(AB1253-AA1253*(B1254-B1253)&gt;0, L1253-Y1253*(B1254-B1253)*3600-AD1254*Model!$B$16, 0)</f>
        <v>0</v>
      </c>
      <c r="M1254" s="56">
        <f t="shared" si="405"/>
        <v>0</v>
      </c>
      <c r="N1254" s="56">
        <f>Model!$B$13*I1254*K1254/(Model!$B$13*I1254-L1254*287*K1254)</f>
        <v>253</v>
      </c>
      <c r="O1254" s="56">
        <f t="shared" si="406"/>
        <v>253</v>
      </c>
      <c r="P1254" s="56">
        <f t="shared" si="407"/>
        <v>-10</v>
      </c>
      <c r="Q1254" s="62">
        <f t="shared" si="418"/>
        <v>2.2579999999999999E-2</v>
      </c>
      <c r="R1254" s="33">
        <f t="shared" si="419"/>
        <v>1.152E-5</v>
      </c>
      <c r="S1254" s="45">
        <f>0.37*Model!$B$10*(Q1254^2*(N1254-K1254)*I1254/(R1254*O1254^2))^0.33333*(N1254-K1254)</f>
        <v>0</v>
      </c>
      <c r="T1254" s="50">
        <f>Model!$B$32+(90-Model!$B$6)*SIN(RADIANS(-15*(E1254+6)))</f>
        <v>-31.619472402513487</v>
      </c>
      <c r="U1254" s="45">
        <f t="shared" si="408"/>
        <v>0</v>
      </c>
      <c r="V1254" s="50">
        <f t="shared" si="409"/>
        <v>99999</v>
      </c>
      <c r="W1254" s="45">
        <f t="shared" si="410"/>
        <v>0</v>
      </c>
      <c r="X1254" s="45">
        <f>0.3*W1254*Model!$B$9</f>
        <v>0</v>
      </c>
      <c r="Y1254" s="33">
        <f>(S1254-X1254)/Model!$B$11</f>
        <v>0</v>
      </c>
      <c r="Z1254" s="45" t="e">
        <f t="shared" si="411"/>
        <v>#DIV/0!</v>
      </c>
      <c r="AA1254" s="56">
        <f>Y1254/Model!$B$12*3600</f>
        <v>0</v>
      </c>
      <c r="AB1254" s="50">
        <f t="shared" si="416"/>
        <v>0</v>
      </c>
      <c r="AC1254" s="50">
        <f t="shared" si="420"/>
        <v>1800</v>
      </c>
      <c r="AD1254" s="15">
        <f>IF(AE1254=0, Model!$B$19, 0 )</f>
        <v>0</v>
      </c>
      <c r="AE1254" s="50">
        <f>IF(AE1253+AB1253-AB1254&lt;Model!$B$19*Model!$B$18, AE1253+AB1253-AB1254,  0)</f>
        <v>443.63457370611354</v>
      </c>
      <c r="AF1254" s="15">
        <f t="shared" si="412"/>
        <v>1</v>
      </c>
      <c r="AG1254" s="50">
        <f t="shared" si="413"/>
        <v>0</v>
      </c>
    </row>
    <row r="1255" spans="2:33" x14ac:dyDescent="0.25">
      <c r="B1255" s="13">
        <f t="shared" si="414"/>
        <v>1</v>
      </c>
      <c r="C1255" s="13">
        <f>B1255+Model!$B$4</f>
        <v>3</v>
      </c>
      <c r="D1255" s="13">
        <f t="shared" si="415"/>
        <v>1</v>
      </c>
      <c r="E1255" s="13">
        <f t="shared" si="421"/>
        <v>3</v>
      </c>
      <c r="F1255" s="14">
        <f>IF(AB1255&gt;0, VLOOKUP(B1255,Model!$A$40:$B$60, 2), 0)</f>
        <v>0</v>
      </c>
      <c r="G1255" s="13">
        <f>IF(AB1255&gt;0, VLOOKUP(B1255,Model!$A$39:$C$58, 3), 0)</f>
        <v>0</v>
      </c>
      <c r="H1255" s="13">
        <f t="shared" si="404"/>
        <v>0</v>
      </c>
      <c r="I1255" s="46">
        <f>Model!$B$21*EXP((-0.029*9.81*F1255)/(8.31*(273+J1255)))</f>
        <v>104500</v>
      </c>
      <c r="J1255" s="13">
        <f>IF(Model!$B$31="Summer",  IF(F1255&lt;=2000,  Model!$B$20-Model!$B$35*F1255/1000,  IF(F1255&lt;Model!$B$36,  Model!$B$33-6.5*F1255/1000,  Model!$B$38)),     IF(F1255&lt;=2000,  Model!$B$20-Model!$B$35*F1255/1000,  IF(F1255&lt;Model!$B$36,  Model!$B$33-5.4*F1255/1000,   Model!$B$38)))</f>
        <v>-20</v>
      </c>
      <c r="K1255" s="13">
        <f t="shared" si="417"/>
        <v>253</v>
      </c>
      <c r="L1255" s="46">
        <f>IF(AB1254-AA1254*(B1255-B1254)&gt;0, L1254-Y1254*(B1255-B1254)*3600-AD1255*Model!$B$16, 0)</f>
        <v>0</v>
      </c>
      <c r="M1255" s="57">
        <f t="shared" si="405"/>
        <v>0</v>
      </c>
      <c r="N1255" s="57">
        <f>Model!$B$13*I1255*K1255/(Model!$B$13*I1255-L1255*287*K1255)</f>
        <v>253</v>
      </c>
      <c r="O1255" s="57">
        <f t="shared" si="406"/>
        <v>253</v>
      </c>
      <c r="P1255" s="57">
        <f t="shared" si="407"/>
        <v>-10</v>
      </c>
      <c r="Q1255" s="63">
        <f t="shared" si="418"/>
        <v>2.2579999999999999E-2</v>
      </c>
      <c r="R1255" s="17">
        <f t="shared" si="419"/>
        <v>1.152E-5</v>
      </c>
      <c r="S1255" s="46">
        <f>0.37*Model!$B$10*(Q1255^2*(N1255-K1255)*I1255/(R1255*O1255^2))^0.33333*(N1255-K1255)</f>
        <v>0</v>
      </c>
      <c r="T1255" s="51">
        <f>Model!$B$32+(90-Model!$B$6)*SIN(RADIANS(-15*(E1255+6)))</f>
        <v>-31.619472402513487</v>
      </c>
      <c r="U1255" s="46">
        <f t="shared" si="408"/>
        <v>0</v>
      </c>
      <c r="V1255" s="51">
        <f t="shared" si="409"/>
        <v>99999</v>
      </c>
      <c r="W1255" s="46">
        <f t="shared" si="410"/>
        <v>0</v>
      </c>
      <c r="X1255" s="46">
        <f>0.3*W1255*Model!$B$9</f>
        <v>0</v>
      </c>
      <c r="Y1255" s="17">
        <f>(S1255-X1255)/Model!$B$11</f>
        <v>0</v>
      </c>
      <c r="Z1255" s="46" t="e">
        <f t="shared" si="411"/>
        <v>#DIV/0!</v>
      </c>
      <c r="AA1255" s="57">
        <f>Y1255/Model!$B$12*3600</f>
        <v>0</v>
      </c>
      <c r="AB1255" s="51">
        <f t="shared" si="416"/>
        <v>0</v>
      </c>
      <c r="AC1255" s="51">
        <f t="shared" si="420"/>
        <v>1800</v>
      </c>
      <c r="AD1255" s="13">
        <f>IF(AE1255=0, Model!$B$19, 0 )</f>
        <v>0</v>
      </c>
      <c r="AE1255" s="51">
        <f>IF(AE1254+AB1254-AB1255&lt;Model!$B$19*Model!$B$18, AE1254+AB1254-AB1255,  0)</f>
        <v>443.63457370611354</v>
      </c>
      <c r="AF1255" s="13">
        <f t="shared" si="412"/>
        <v>1</v>
      </c>
      <c r="AG1255" s="50">
        <f t="shared" si="413"/>
        <v>0</v>
      </c>
    </row>
    <row r="1256" spans="2:33" x14ac:dyDescent="0.25">
      <c r="B1256" s="15">
        <f t="shared" si="414"/>
        <v>1</v>
      </c>
      <c r="C1256" s="15">
        <f>B1256+Model!$B$4</f>
        <v>3</v>
      </c>
      <c r="D1256" s="15">
        <f t="shared" si="415"/>
        <v>1</v>
      </c>
      <c r="E1256" s="15">
        <f t="shared" si="421"/>
        <v>3</v>
      </c>
      <c r="F1256" s="16">
        <f>IF(AB1256&gt;0, VLOOKUP(B1256,Model!$A$40:$B$60, 2), 0)</f>
        <v>0</v>
      </c>
      <c r="G1256" s="15">
        <f>IF(AB1256&gt;0, VLOOKUP(B1256,Model!$A$39:$C$58, 3), 0)</f>
        <v>0</v>
      </c>
      <c r="H1256" s="15">
        <f t="shared" si="404"/>
        <v>0</v>
      </c>
      <c r="I1256" s="45">
        <f>Model!$B$21*EXP((-0.029*9.81*F1256)/(8.31*(273+J1256)))</f>
        <v>104500</v>
      </c>
      <c r="J1256" s="15">
        <f>IF(Model!$B$31="Summer",  IF(F1256&lt;=2000,  Model!$B$20-Model!$B$35*F1256/1000,  IF(F1256&lt;Model!$B$36,  Model!$B$33-6.5*F1256/1000,  Model!$B$38)),     IF(F1256&lt;=2000,  Model!$B$20-Model!$B$35*F1256/1000,  IF(F1256&lt;Model!$B$36,  Model!$B$33-5.4*F1256/1000,   Model!$B$38)))</f>
        <v>-20</v>
      </c>
      <c r="K1256" s="15">
        <f t="shared" si="417"/>
        <v>253</v>
      </c>
      <c r="L1256" s="45">
        <f>IF(AB1255-AA1255*(B1256-B1255)&gt;0, L1255-Y1255*(B1256-B1255)*3600-AD1256*Model!$B$16, 0)</f>
        <v>0</v>
      </c>
      <c r="M1256" s="56">
        <f t="shared" si="405"/>
        <v>0</v>
      </c>
      <c r="N1256" s="56">
        <f>Model!$B$13*I1256*K1256/(Model!$B$13*I1256-L1256*287*K1256)</f>
        <v>253</v>
      </c>
      <c r="O1256" s="56">
        <f t="shared" si="406"/>
        <v>253</v>
      </c>
      <c r="P1256" s="56">
        <f t="shared" si="407"/>
        <v>-10</v>
      </c>
      <c r="Q1256" s="62">
        <f t="shared" si="418"/>
        <v>2.2579999999999999E-2</v>
      </c>
      <c r="R1256" s="33">
        <f t="shared" si="419"/>
        <v>1.152E-5</v>
      </c>
      <c r="S1256" s="45">
        <f>0.37*Model!$B$10*(Q1256^2*(N1256-K1256)*I1256/(R1256*O1256^2))^0.33333*(N1256-K1256)</f>
        <v>0</v>
      </c>
      <c r="T1256" s="50">
        <f>Model!$B$32+(90-Model!$B$6)*SIN(RADIANS(-15*(E1256+6)))</f>
        <v>-31.619472402513487</v>
      </c>
      <c r="U1256" s="45">
        <f t="shared" si="408"/>
        <v>0</v>
      </c>
      <c r="V1256" s="50">
        <f t="shared" si="409"/>
        <v>99999</v>
      </c>
      <c r="W1256" s="45">
        <f t="shared" si="410"/>
        <v>0</v>
      </c>
      <c r="X1256" s="45">
        <f>0.3*W1256*Model!$B$9</f>
        <v>0</v>
      </c>
      <c r="Y1256" s="33">
        <f>(S1256-X1256)/Model!$B$11</f>
        <v>0</v>
      </c>
      <c r="Z1256" s="45" t="e">
        <f t="shared" si="411"/>
        <v>#DIV/0!</v>
      </c>
      <c r="AA1256" s="56">
        <f>Y1256/Model!$B$12*3600</f>
        <v>0</v>
      </c>
      <c r="AB1256" s="50">
        <f t="shared" si="416"/>
        <v>0</v>
      </c>
      <c r="AC1256" s="50">
        <f t="shared" si="420"/>
        <v>1800</v>
      </c>
      <c r="AD1256" s="15">
        <f>IF(AE1256=0, Model!$B$19, 0 )</f>
        <v>0</v>
      </c>
      <c r="AE1256" s="50">
        <f>IF(AE1255+AB1255-AB1256&lt;Model!$B$19*Model!$B$18, AE1255+AB1255-AB1256,  0)</f>
        <v>443.63457370611354</v>
      </c>
      <c r="AF1256" s="15">
        <f t="shared" si="412"/>
        <v>1</v>
      </c>
      <c r="AG1256" s="50">
        <f t="shared" si="413"/>
        <v>0</v>
      </c>
    </row>
    <row r="1257" spans="2:33" x14ac:dyDescent="0.25">
      <c r="B1257" s="13">
        <f t="shared" si="414"/>
        <v>1</v>
      </c>
      <c r="C1257" s="13">
        <f>B1257+Model!$B$4</f>
        <v>3</v>
      </c>
      <c r="D1257" s="13">
        <f t="shared" si="415"/>
        <v>1</v>
      </c>
      <c r="E1257" s="13">
        <f t="shared" si="421"/>
        <v>3</v>
      </c>
      <c r="F1257" s="14">
        <f>IF(AB1257&gt;0, VLOOKUP(B1257,Model!$A$40:$B$60, 2), 0)</f>
        <v>0</v>
      </c>
      <c r="G1257" s="13">
        <f>IF(AB1257&gt;0, VLOOKUP(B1257,Model!$A$39:$C$58, 3), 0)</f>
        <v>0</v>
      </c>
      <c r="H1257" s="13">
        <f t="shared" si="404"/>
        <v>0</v>
      </c>
      <c r="I1257" s="46">
        <f>Model!$B$21*EXP((-0.029*9.81*F1257)/(8.31*(273+J1257)))</f>
        <v>104500</v>
      </c>
      <c r="J1257" s="13">
        <f>IF(Model!$B$31="Summer",  IF(F1257&lt;=2000,  Model!$B$20-Model!$B$35*F1257/1000,  IF(F1257&lt;Model!$B$36,  Model!$B$33-6.5*F1257/1000,  Model!$B$38)),     IF(F1257&lt;=2000,  Model!$B$20-Model!$B$35*F1257/1000,  IF(F1257&lt;Model!$B$36,  Model!$B$33-5.4*F1257/1000,   Model!$B$38)))</f>
        <v>-20</v>
      </c>
      <c r="K1257" s="13">
        <f t="shared" si="417"/>
        <v>253</v>
      </c>
      <c r="L1257" s="46">
        <f>IF(AB1256-AA1256*(B1257-B1256)&gt;0, L1256-Y1256*(B1257-B1256)*3600-AD1257*Model!$B$16, 0)</f>
        <v>0</v>
      </c>
      <c r="M1257" s="57">
        <f t="shared" si="405"/>
        <v>0</v>
      </c>
      <c r="N1257" s="57">
        <f>Model!$B$13*I1257*K1257/(Model!$B$13*I1257-L1257*287*K1257)</f>
        <v>253</v>
      </c>
      <c r="O1257" s="57">
        <f t="shared" si="406"/>
        <v>253</v>
      </c>
      <c r="P1257" s="57">
        <f t="shared" si="407"/>
        <v>-10</v>
      </c>
      <c r="Q1257" s="63">
        <f t="shared" si="418"/>
        <v>2.2579999999999999E-2</v>
      </c>
      <c r="R1257" s="17">
        <f t="shared" si="419"/>
        <v>1.152E-5</v>
      </c>
      <c r="S1257" s="46">
        <f>0.37*Model!$B$10*(Q1257^2*(N1257-K1257)*I1257/(R1257*O1257^2))^0.33333*(N1257-K1257)</f>
        <v>0</v>
      </c>
      <c r="T1257" s="51">
        <f>Model!$B$32+(90-Model!$B$6)*SIN(RADIANS(-15*(E1257+6)))</f>
        <v>-31.619472402513487</v>
      </c>
      <c r="U1257" s="46">
        <f t="shared" si="408"/>
        <v>0</v>
      </c>
      <c r="V1257" s="51">
        <f t="shared" si="409"/>
        <v>99999</v>
      </c>
      <c r="W1257" s="46">
        <f t="shared" si="410"/>
        <v>0</v>
      </c>
      <c r="X1257" s="46">
        <f>0.3*W1257*Model!$B$9</f>
        <v>0</v>
      </c>
      <c r="Y1257" s="17">
        <f>(S1257-X1257)/Model!$B$11</f>
        <v>0</v>
      </c>
      <c r="Z1257" s="46" t="e">
        <f t="shared" si="411"/>
        <v>#DIV/0!</v>
      </c>
      <c r="AA1257" s="57">
        <f>Y1257/Model!$B$12*3600</f>
        <v>0</v>
      </c>
      <c r="AB1257" s="51">
        <f t="shared" si="416"/>
        <v>0</v>
      </c>
      <c r="AC1257" s="51">
        <f t="shared" si="420"/>
        <v>1800</v>
      </c>
      <c r="AD1257" s="13">
        <f>IF(AE1257=0, Model!$B$19, 0 )</f>
        <v>0</v>
      </c>
      <c r="AE1257" s="51">
        <f>IF(AE1256+AB1256-AB1257&lt;Model!$B$19*Model!$B$18, AE1256+AB1256-AB1257,  0)</f>
        <v>443.63457370611354</v>
      </c>
      <c r="AF1257" s="13">
        <f t="shared" si="412"/>
        <v>1</v>
      </c>
      <c r="AG1257" s="50">
        <f t="shared" si="413"/>
        <v>0</v>
      </c>
    </row>
    <row r="1258" spans="2:33" x14ac:dyDescent="0.25">
      <c r="B1258" s="15">
        <f t="shared" si="414"/>
        <v>1</v>
      </c>
      <c r="C1258" s="15">
        <f>B1258+Model!$B$4</f>
        <v>3</v>
      </c>
      <c r="D1258" s="15">
        <f t="shared" si="415"/>
        <v>1</v>
      </c>
      <c r="E1258" s="15">
        <f t="shared" si="421"/>
        <v>3</v>
      </c>
      <c r="F1258" s="16">
        <f>IF(AB1258&gt;0, VLOOKUP(B1258,Model!$A$40:$B$60, 2), 0)</f>
        <v>0</v>
      </c>
      <c r="G1258" s="15">
        <f>IF(AB1258&gt;0, VLOOKUP(B1258,Model!$A$39:$C$58, 3), 0)</f>
        <v>0</v>
      </c>
      <c r="H1258" s="15">
        <f t="shared" si="404"/>
        <v>0</v>
      </c>
      <c r="I1258" s="45">
        <f>Model!$B$21*EXP((-0.029*9.81*F1258)/(8.31*(273+J1258)))</f>
        <v>104500</v>
      </c>
      <c r="J1258" s="15">
        <f>IF(Model!$B$31="Summer",  IF(F1258&lt;=2000,  Model!$B$20-Model!$B$35*F1258/1000,  IF(F1258&lt;Model!$B$36,  Model!$B$33-6.5*F1258/1000,  Model!$B$38)),     IF(F1258&lt;=2000,  Model!$B$20-Model!$B$35*F1258/1000,  IF(F1258&lt;Model!$B$36,  Model!$B$33-5.4*F1258/1000,   Model!$B$38)))</f>
        <v>-20</v>
      </c>
      <c r="K1258" s="15">
        <f t="shared" si="417"/>
        <v>253</v>
      </c>
      <c r="L1258" s="45">
        <f>IF(AB1257-AA1257*(B1258-B1257)&gt;0, L1257-Y1257*(B1258-B1257)*3600-AD1258*Model!$B$16, 0)</f>
        <v>0</v>
      </c>
      <c r="M1258" s="56">
        <f t="shared" si="405"/>
        <v>0</v>
      </c>
      <c r="N1258" s="56">
        <f>Model!$B$13*I1258*K1258/(Model!$B$13*I1258-L1258*287*K1258)</f>
        <v>253</v>
      </c>
      <c r="O1258" s="56">
        <f t="shared" si="406"/>
        <v>253</v>
      </c>
      <c r="P1258" s="56">
        <f t="shared" si="407"/>
        <v>-10</v>
      </c>
      <c r="Q1258" s="62">
        <f t="shared" si="418"/>
        <v>2.2579999999999999E-2</v>
      </c>
      <c r="R1258" s="33">
        <f t="shared" si="419"/>
        <v>1.152E-5</v>
      </c>
      <c r="S1258" s="45">
        <f>0.37*Model!$B$10*(Q1258^2*(N1258-K1258)*I1258/(R1258*O1258^2))^0.33333*(N1258-K1258)</f>
        <v>0</v>
      </c>
      <c r="T1258" s="50">
        <f>Model!$B$32+(90-Model!$B$6)*SIN(RADIANS(-15*(E1258+6)))</f>
        <v>-31.619472402513487</v>
      </c>
      <c r="U1258" s="45">
        <f t="shared" si="408"/>
        <v>0</v>
      </c>
      <c r="V1258" s="50">
        <f t="shared" si="409"/>
        <v>99999</v>
      </c>
      <c r="W1258" s="45">
        <f t="shared" si="410"/>
        <v>0</v>
      </c>
      <c r="X1258" s="45">
        <f>0.3*W1258*Model!$B$9</f>
        <v>0</v>
      </c>
      <c r="Y1258" s="33">
        <f>(S1258-X1258)/Model!$B$11</f>
        <v>0</v>
      </c>
      <c r="Z1258" s="45" t="e">
        <f t="shared" si="411"/>
        <v>#DIV/0!</v>
      </c>
      <c r="AA1258" s="56">
        <f>Y1258/Model!$B$12*3600</f>
        <v>0</v>
      </c>
      <c r="AB1258" s="50">
        <f t="shared" si="416"/>
        <v>0</v>
      </c>
      <c r="AC1258" s="50">
        <f t="shared" si="420"/>
        <v>1800</v>
      </c>
      <c r="AD1258" s="15">
        <f>IF(AE1258=0, Model!$B$19, 0 )</f>
        <v>0</v>
      </c>
      <c r="AE1258" s="50">
        <f>IF(AE1257+AB1257-AB1258&lt;Model!$B$19*Model!$B$18, AE1257+AB1257-AB1258,  0)</f>
        <v>443.63457370611354</v>
      </c>
      <c r="AF1258" s="15">
        <f t="shared" si="412"/>
        <v>1</v>
      </c>
      <c r="AG1258" s="50">
        <f t="shared" si="413"/>
        <v>0</v>
      </c>
    </row>
    <row r="1259" spans="2:33" x14ac:dyDescent="0.25">
      <c r="B1259" s="13">
        <f t="shared" si="414"/>
        <v>1</v>
      </c>
      <c r="C1259" s="13">
        <f>B1259+Model!$B$4</f>
        <v>3</v>
      </c>
      <c r="D1259" s="13">
        <f t="shared" si="415"/>
        <v>1</v>
      </c>
      <c r="E1259" s="13">
        <f t="shared" si="421"/>
        <v>3</v>
      </c>
      <c r="F1259" s="14">
        <f>IF(AB1259&gt;0, VLOOKUP(B1259,Model!$A$40:$B$60, 2), 0)</f>
        <v>0</v>
      </c>
      <c r="G1259" s="13">
        <f>IF(AB1259&gt;0, VLOOKUP(B1259,Model!$A$39:$C$58, 3), 0)</f>
        <v>0</v>
      </c>
      <c r="H1259" s="13">
        <f t="shared" si="404"/>
        <v>0</v>
      </c>
      <c r="I1259" s="46">
        <f>Model!$B$21*EXP((-0.029*9.81*F1259)/(8.31*(273+J1259)))</f>
        <v>104500</v>
      </c>
      <c r="J1259" s="13">
        <f>IF(Model!$B$31="Summer",  IF(F1259&lt;=2000,  Model!$B$20-Model!$B$35*F1259/1000,  IF(F1259&lt;Model!$B$36,  Model!$B$33-6.5*F1259/1000,  Model!$B$38)),     IF(F1259&lt;=2000,  Model!$B$20-Model!$B$35*F1259/1000,  IF(F1259&lt;Model!$B$36,  Model!$B$33-5.4*F1259/1000,   Model!$B$38)))</f>
        <v>-20</v>
      </c>
      <c r="K1259" s="13">
        <f t="shared" si="417"/>
        <v>253</v>
      </c>
      <c r="L1259" s="46">
        <f>IF(AB1258-AA1258*(B1259-B1258)&gt;0, L1258-Y1258*(B1259-B1258)*3600-AD1259*Model!$B$16, 0)</f>
        <v>0</v>
      </c>
      <c r="M1259" s="57">
        <f t="shared" si="405"/>
        <v>0</v>
      </c>
      <c r="N1259" s="57">
        <f>Model!$B$13*I1259*K1259/(Model!$B$13*I1259-L1259*287*K1259)</f>
        <v>253</v>
      </c>
      <c r="O1259" s="57">
        <f t="shared" si="406"/>
        <v>253</v>
      </c>
      <c r="P1259" s="57">
        <f t="shared" si="407"/>
        <v>-10</v>
      </c>
      <c r="Q1259" s="63">
        <f t="shared" si="418"/>
        <v>2.2579999999999999E-2</v>
      </c>
      <c r="R1259" s="17">
        <f t="shared" si="419"/>
        <v>1.152E-5</v>
      </c>
      <c r="S1259" s="46">
        <f>0.37*Model!$B$10*(Q1259^2*(N1259-K1259)*I1259/(R1259*O1259^2))^0.33333*(N1259-K1259)</f>
        <v>0</v>
      </c>
      <c r="T1259" s="51">
        <f>Model!$B$32+(90-Model!$B$6)*SIN(RADIANS(-15*(E1259+6)))</f>
        <v>-31.619472402513487</v>
      </c>
      <c r="U1259" s="46">
        <f t="shared" si="408"/>
        <v>0</v>
      </c>
      <c r="V1259" s="51">
        <f t="shared" si="409"/>
        <v>99999</v>
      </c>
      <c r="W1259" s="46">
        <f t="shared" si="410"/>
        <v>0</v>
      </c>
      <c r="X1259" s="46">
        <f>0.3*W1259*Model!$B$9</f>
        <v>0</v>
      </c>
      <c r="Y1259" s="17">
        <f>(S1259-X1259)/Model!$B$11</f>
        <v>0</v>
      </c>
      <c r="Z1259" s="46" t="e">
        <f t="shared" si="411"/>
        <v>#DIV/0!</v>
      </c>
      <c r="AA1259" s="57">
        <f>Y1259/Model!$B$12*3600</f>
        <v>0</v>
      </c>
      <c r="AB1259" s="51">
        <f t="shared" si="416"/>
        <v>0</v>
      </c>
      <c r="AC1259" s="51">
        <f t="shared" si="420"/>
        <v>1800</v>
      </c>
      <c r="AD1259" s="13">
        <f>IF(AE1259=0, Model!$B$19, 0 )</f>
        <v>0</v>
      </c>
      <c r="AE1259" s="51">
        <f>IF(AE1258+AB1258-AB1259&lt;Model!$B$19*Model!$B$18, AE1258+AB1258-AB1259,  0)</f>
        <v>443.63457370611354</v>
      </c>
      <c r="AF1259" s="13">
        <f t="shared" si="412"/>
        <v>1</v>
      </c>
      <c r="AG1259" s="50">
        <f t="shared" si="413"/>
        <v>0</v>
      </c>
    </row>
    <row r="1260" spans="2:33" x14ac:dyDescent="0.25">
      <c r="B1260" s="15">
        <f t="shared" si="414"/>
        <v>1</v>
      </c>
      <c r="C1260" s="15">
        <f>B1260+Model!$B$4</f>
        <v>3</v>
      </c>
      <c r="D1260" s="15">
        <f t="shared" si="415"/>
        <v>1</v>
      </c>
      <c r="E1260" s="15">
        <f t="shared" si="421"/>
        <v>3</v>
      </c>
      <c r="F1260" s="16">
        <f>IF(AB1260&gt;0, VLOOKUP(B1260,Model!$A$40:$B$60, 2), 0)</f>
        <v>0</v>
      </c>
      <c r="G1260" s="15">
        <f>IF(AB1260&gt;0, VLOOKUP(B1260,Model!$A$39:$C$58, 3), 0)</f>
        <v>0</v>
      </c>
      <c r="H1260" s="15">
        <f t="shared" si="404"/>
        <v>0</v>
      </c>
      <c r="I1260" s="45">
        <f>Model!$B$21*EXP((-0.029*9.81*F1260)/(8.31*(273+J1260)))</f>
        <v>104500</v>
      </c>
      <c r="J1260" s="15">
        <f>IF(Model!$B$31="Summer",  IF(F1260&lt;=2000,  Model!$B$20-Model!$B$35*F1260/1000,  IF(F1260&lt;Model!$B$36,  Model!$B$33-6.5*F1260/1000,  Model!$B$38)),     IF(F1260&lt;=2000,  Model!$B$20-Model!$B$35*F1260/1000,  IF(F1260&lt;Model!$B$36,  Model!$B$33-5.4*F1260/1000,   Model!$B$38)))</f>
        <v>-20</v>
      </c>
      <c r="K1260" s="15">
        <f t="shared" si="417"/>
        <v>253</v>
      </c>
      <c r="L1260" s="45">
        <f>IF(AB1259-AA1259*(B1260-B1259)&gt;0, L1259-Y1259*(B1260-B1259)*3600-AD1260*Model!$B$16, 0)</f>
        <v>0</v>
      </c>
      <c r="M1260" s="56">
        <f t="shared" si="405"/>
        <v>0</v>
      </c>
      <c r="N1260" s="56">
        <f>Model!$B$13*I1260*K1260/(Model!$B$13*I1260-L1260*287*K1260)</f>
        <v>253</v>
      </c>
      <c r="O1260" s="56">
        <f t="shared" si="406"/>
        <v>253</v>
      </c>
      <c r="P1260" s="56">
        <f t="shared" si="407"/>
        <v>-10</v>
      </c>
      <c r="Q1260" s="62">
        <f t="shared" si="418"/>
        <v>2.2579999999999999E-2</v>
      </c>
      <c r="R1260" s="33">
        <f t="shared" si="419"/>
        <v>1.152E-5</v>
      </c>
      <c r="S1260" s="45">
        <f>0.37*Model!$B$10*(Q1260^2*(N1260-K1260)*I1260/(R1260*O1260^2))^0.33333*(N1260-K1260)</f>
        <v>0</v>
      </c>
      <c r="T1260" s="50">
        <f>Model!$B$32+(90-Model!$B$6)*SIN(RADIANS(-15*(E1260+6)))</f>
        <v>-31.619472402513487</v>
      </c>
      <c r="U1260" s="45">
        <f t="shared" si="408"/>
        <v>0</v>
      </c>
      <c r="V1260" s="50">
        <f t="shared" si="409"/>
        <v>99999</v>
      </c>
      <c r="W1260" s="45">
        <f t="shared" si="410"/>
        <v>0</v>
      </c>
      <c r="X1260" s="45">
        <f>0.3*W1260*Model!$B$9</f>
        <v>0</v>
      </c>
      <c r="Y1260" s="33">
        <f>(S1260-X1260)/Model!$B$11</f>
        <v>0</v>
      </c>
      <c r="Z1260" s="45" t="e">
        <f t="shared" si="411"/>
        <v>#DIV/0!</v>
      </c>
      <c r="AA1260" s="56">
        <f>Y1260/Model!$B$12*3600</f>
        <v>0</v>
      </c>
      <c r="AB1260" s="50">
        <f t="shared" si="416"/>
        <v>0</v>
      </c>
      <c r="AC1260" s="50">
        <f t="shared" si="420"/>
        <v>1800</v>
      </c>
      <c r="AD1260" s="15">
        <f>IF(AE1260=0, Model!$B$19, 0 )</f>
        <v>0</v>
      </c>
      <c r="AE1260" s="50">
        <f>IF(AE1259+AB1259-AB1260&lt;Model!$B$19*Model!$B$18, AE1259+AB1259-AB1260,  0)</f>
        <v>443.63457370611354</v>
      </c>
      <c r="AF1260" s="15">
        <f t="shared" si="412"/>
        <v>1</v>
      </c>
      <c r="AG1260" s="50">
        <f t="shared" si="413"/>
        <v>0</v>
      </c>
    </row>
    <row r="1261" spans="2:33" x14ac:dyDescent="0.25">
      <c r="B1261" s="13">
        <f t="shared" si="414"/>
        <v>1</v>
      </c>
      <c r="C1261" s="13">
        <f>B1261+Model!$B$4</f>
        <v>3</v>
      </c>
      <c r="D1261" s="13">
        <f t="shared" si="415"/>
        <v>1</v>
      </c>
      <c r="E1261" s="13">
        <f t="shared" si="421"/>
        <v>3</v>
      </c>
      <c r="F1261" s="14">
        <f>IF(AB1261&gt;0, VLOOKUP(B1261,Model!$A$40:$B$60, 2), 0)</f>
        <v>0</v>
      </c>
      <c r="G1261" s="13">
        <f>IF(AB1261&gt;0, VLOOKUP(B1261,Model!$A$39:$C$58, 3), 0)</f>
        <v>0</v>
      </c>
      <c r="H1261" s="13">
        <f t="shared" si="404"/>
        <v>0</v>
      </c>
      <c r="I1261" s="46">
        <f>Model!$B$21*EXP((-0.029*9.81*F1261)/(8.31*(273+J1261)))</f>
        <v>104500</v>
      </c>
      <c r="J1261" s="13">
        <f>IF(Model!$B$31="Summer",  IF(F1261&lt;=2000,  Model!$B$20-Model!$B$35*F1261/1000,  IF(F1261&lt;Model!$B$36,  Model!$B$33-6.5*F1261/1000,  Model!$B$38)),     IF(F1261&lt;=2000,  Model!$B$20-Model!$B$35*F1261/1000,  IF(F1261&lt;Model!$B$36,  Model!$B$33-5.4*F1261/1000,   Model!$B$38)))</f>
        <v>-20</v>
      </c>
      <c r="K1261" s="13">
        <f t="shared" si="417"/>
        <v>253</v>
      </c>
      <c r="L1261" s="46">
        <f>IF(AB1260-AA1260*(B1261-B1260)&gt;0, L1260-Y1260*(B1261-B1260)*3600-AD1261*Model!$B$16, 0)</f>
        <v>0</v>
      </c>
      <c r="M1261" s="57">
        <f t="shared" si="405"/>
        <v>0</v>
      </c>
      <c r="N1261" s="57">
        <f>Model!$B$13*I1261*K1261/(Model!$B$13*I1261-L1261*287*K1261)</f>
        <v>253</v>
      </c>
      <c r="O1261" s="57">
        <f t="shared" si="406"/>
        <v>253</v>
      </c>
      <c r="P1261" s="57">
        <f t="shared" si="407"/>
        <v>-10</v>
      </c>
      <c r="Q1261" s="63">
        <f t="shared" si="418"/>
        <v>2.2579999999999999E-2</v>
      </c>
      <c r="R1261" s="17">
        <f t="shared" si="419"/>
        <v>1.152E-5</v>
      </c>
      <c r="S1261" s="46">
        <f>0.37*Model!$B$10*(Q1261^2*(N1261-K1261)*I1261/(R1261*O1261^2))^0.33333*(N1261-K1261)</f>
        <v>0</v>
      </c>
      <c r="T1261" s="51">
        <f>Model!$B$32+(90-Model!$B$6)*SIN(RADIANS(-15*(E1261+6)))</f>
        <v>-31.619472402513487</v>
      </c>
      <c r="U1261" s="46">
        <f t="shared" si="408"/>
        <v>0</v>
      </c>
      <c r="V1261" s="51">
        <f t="shared" si="409"/>
        <v>99999</v>
      </c>
      <c r="W1261" s="46">
        <f t="shared" si="410"/>
        <v>0</v>
      </c>
      <c r="X1261" s="46">
        <f>0.3*W1261*Model!$B$9</f>
        <v>0</v>
      </c>
      <c r="Y1261" s="17">
        <f>(S1261-X1261)/Model!$B$11</f>
        <v>0</v>
      </c>
      <c r="Z1261" s="46" t="e">
        <f t="shared" si="411"/>
        <v>#DIV/0!</v>
      </c>
      <c r="AA1261" s="57">
        <f>Y1261/Model!$B$12*3600</f>
        <v>0</v>
      </c>
      <c r="AB1261" s="51">
        <f t="shared" si="416"/>
        <v>0</v>
      </c>
      <c r="AC1261" s="51">
        <f t="shared" si="420"/>
        <v>1800</v>
      </c>
      <c r="AD1261" s="13">
        <f>IF(AE1261=0, Model!$B$19, 0 )</f>
        <v>0</v>
      </c>
      <c r="AE1261" s="51">
        <f>IF(AE1260+AB1260-AB1261&lt;Model!$B$19*Model!$B$18, AE1260+AB1260-AB1261,  0)</f>
        <v>443.63457370611354</v>
      </c>
      <c r="AF1261" s="13">
        <f t="shared" si="412"/>
        <v>1</v>
      </c>
      <c r="AG1261" s="50">
        <f t="shared" si="413"/>
        <v>0</v>
      </c>
    </row>
    <row r="1262" spans="2:33" x14ac:dyDescent="0.25">
      <c r="B1262" s="15">
        <f t="shared" si="414"/>
        <v>1</v>
      </c>
      <c r="C1262" s="15">
        <f>B1262+Model!$B$4</f>
        <v>3</v>
      </c>
      <c r="D1262" s="15">
        <f t="shared" si="415"/>
        <v>1</v>
      </c>
      <c r="E1262" s="15">
        <f t="shared" si="421"/>
        <v>3</v>
      </c>
      <c r="F1262" s="16">
        <f>IF(AB1262&gt;0, VLOOKUP(B1262,Model!$A$40:$B$60, 2), 0)</f>
        <v>0</v>
      </c>
      <c r="G1262" s="15">
        <f>IF(AB1262&gt;0, VLOOKUP(B1262,Model!$A$39:$C$58, 3), 0)</f>
        <v>0</v>
      </c>
      <c r="H1262" s="15">
        <f t="shared" si="404"/>
        <v>0</v>
      </c>
      <c r="I1262" s="45">
        <f>Model!$B$21*EXP((-0.029*9.81*F1262)/(8.31*(273+J1262)))</f>
        <v>104500</v>
      </c>
      <c r="J1262" s="15">
        <f>IF(Model!$B$31="Summer",  IF(F1262&lt;=2000,  Model!$B$20-Model!$B$35*F1262/1000,  IF(F1262&lt;Model!$B$36,  Model!$B$33-6.5*F1262/1000,  Model!$B$38)),     IF(F1262&lt;=2000,  Model!$B$20-Model!$B$35*F1262/1000,  IF(F1262&lt;Model!$B$36,  Model!$B$33-5.4*F1262/1000,   Model!$B$38)))</f>
        <v>-20</v>
      </c>
      <c r="K1262" s="15">
        <f t="shared" si="417"/>
        <v>253</v>
      </c>
      <c r="L1262" s="45">
        <f>IF(AB1261-AA1261*(B1262-B1261)&gt;0, L1261-Y1261*(B1262-B1261)*3600-AD1262*Model!$B$16, 0)</f>
        <v>0</v>
      </c>
      <c r="M1262" s="56">
        <f t="shared" si="405"/>
        <v>0</v>
      </c>
      <c r="N1262" s="56">
        <f>Model!$B$13*I1262*K1262/(Model!$B$13*I1262-L1262*287*K1262)</f>
        <v>253</v>
      </c>
      <c r="O1262" s="56">
        <f t="shared" si="406"/>
        <v>253</v>
      </c>
      <c r="P1262" s="56">
        <f t="shared" si="407"/>
        <v>-10</v>
      </c>
      <c r="Q1262" s="62">
        <f t="shared" si="418"/>
        <v>2.2579999999999999E-2</v>
      </c>
      <c r="R1262" s="33">
        <f t="shared" si="419"/>
        <v>1.152E-5</v>
      </c>
      <c r="S1262" s="45">
        <f>0.37*Model!$B$10*(Q1262^2*(N1262-K1262)*I1262/(R1262*O1262^2))^0.33333*(N1262-K1262)</f>
        <v>0</v>
      </c>
      <c r="T1262" s="50">
        <f>Model!$B$32+(90-Model!$B$6)*SIN(RADIANS(-15*(E1262+6)))</f>
        <v>-31.619472402513487</v>
      </c>
      <c r="U1262" s="45">
        <f t="shared" si="408"/>
        <v>0</v>
      </c>
      <c r="V1262" s="50">
        <f t="shared" si="409"/>
        <v>99999</v>
      </c>
      <c r="W1262" s="45">
        <f t="shared" si="410"/>
        <v>0</v>
      </c>
      <c r="X1262" s="45">
        <f>0.3*W1262*Model!$B$9</f>
        <v>0</v>
      </c>
      <c r="Y1262" s="33">
        <f>(S1262-X1262)/Model!$B$11</f>
        <v>0</v>
      </c>
      <c r="Z1262" s="45" t="e">
        <f t="shared" si="411"/>
        <v>#DIV/0!</v>
      </c>
      <c r="AA1262" s="56">
        <f>Y1262/Model!$B$12*3600</f>
        <v>0</v>
      </c>
      <c r="AB1262" s="50">
        <f t="shared" si="416"/>
        <v>0</v>
      </c>
      <c r="AC1262" s="50">
        <f t="shared" si="420"/>
        <v>1800</v>
      </c>
      <c r="AD1262" s="15">
        <f>IF(AE1262=0, Model!$B$19, 0 )</f>
        <v>0</v>
      </c>
      <c r="AE1262" s="50">
        <f>IF(AE1261+AB1261-AB1262&lt;Model!$B$19*Model!$B$18, AE1261+AB1261-AB1262,  0)</f>
        <v>443.63457370611354</v>
      </c>
      <c r="AF1262" s="15">
        <f t="shared" si="412"/>
        <v>1</v>
      </c>
      <c r="AG1262" s="50">
        <f t="shared" si="413"/>
        <v>0</v>
      </c>
    </row>
    <row r="1263" spans="2:33" x14ac:dyDescent="0.25">
      <c r="B1263" s="13">
        <f t="shared" si="414"/>
        <v>1</v>
      </c>
      <c r="C1263" s="13">
        <f>B1263+Model!$B$4</f>
        <v>3</v>
      </c>
      <c r="D1263" s="13">
        <f t="shared" si="415"/>
        <v>1</v>
      </c>
      <c r="E1263" s="13">
        <f t="shared" si="421"/>
        <v>3</v>
      </c>
      <c r="F1263" s="14">
        <f>IF(AB1263&gt;0, VLOOKUP(B1263,Model!$A$40:$B$60, 2), 0)</f>
        <v>0</v>
      </c>
      <c r="G1263" s="13">
        <f>IF(AB1263&gt;0, VLOOKUP(B1263,Model!$A$39:$C$58, 3), 0)</f>
        <v>0</v>
      </c>
      <c r="H1263" s="13">
        <f t="shared" si="404"/>
        <v>0</v>
      </c>
      <c r="I1263" s="46">
        <f>Model!$B$21*EXP((-0.029*9.81*F1263)/(8.31*(273+J1263)))</f>
        <v>104500</v>
      </c>
      <c r="J1263" s="13">
        <f>IF(Model!$B$31="Summer",  IF(F1263&lt;=2000,  Model!$B$20-Model!$B$35*F1263/1000,  IF(F1263&lt;Model!$B$36,  Model!$B$33-6.5*F1263/1000,  Model!$B$38)),     IF(F1263&lt;=2000,  Model!$B$20-Model!$B$35*F1263/1000,  IF(F1263&lt;Model!$B$36,  Model!$B$33-5.4*F1263/1000,   Model!$B$38)))</f>
        <v>-20</v>
      </c>
      <c r="K1263" s="13">
        <f t="shared" si="417"/>
        <v>253</v>
      </c>
      <c r="L1263" s="46">
        <f>IF(AB1262-AA1262*(B1263-B1262)&gt;0, L1262-Y1262*(B1263-B1262)*3600-AD1263*Model!$B$16, 0)</f>
        <v>0</v>
      </c>
      <c r="M1263" s="57">
        <f t="shared" si="405"/>
        <v>0</v>
      </c>
      <c r="N1263" s="57">
        <f>Model!$B$13*I1263*K1263/(Model!$B$13*I1263-L1263*287*K1263)</f>
        <v>253</v>
      </c>
      <c r="O1263" s="57">
        <f t="shared" si="406"/>
        <v>253</v>
      </c>
      <c r="P1263" s="57">
        <f t="shared" si="407"/>
        <v>-10</v>
      </c>
      <c r="Q1263" s="63">
        <f t="shared" si="418"/>
        <v>2.2579999999999999E-2</v>
      </c>
      <c r="R1263" s="17">
        <f t="shared" si="419"/>
        <v>1.152E-5</v>
      </c>
      <c r="S1263" s="46">
        <f>0.37*Model!$B$10*(Q1263^2*(N1263-K1263)*I1263/(R1263*O1263^2))^0.33333*(N1263-K1263)</f>
        <v>0</v>
      </c>
      <c r="T1263" s="51">
        <f>Model!$B$32+(90-Model!$B$6)*SIN(RADIANS(-15*(E1263+6)))</f>
        <v>-31.619472402513487</v>
      </c>
      <c r="U1263" s="46">
        <f t="shared" si="408"/>
        <v>0</v>
      </c>
      <c r="V1263" s="51">
        <f t="shared" si="409"/>
        <v>99999</v>
      </c>
      <c r="W1263" s="46">
        <f t="shared" si="410"/>
        <v>0</v>
      </c>
      <c r="X1263" s="46">
        <f>0.3*W1263*Model!$B$9</f>
        <v>0</v>
      </c>
      <c r="Y1263" s="17">
        <f>(S1263-X1263)/Model!$B$11</f>
        <v>0</v>
      </c>
      <c r="Z1263" s="46" t="e">
        <f t="shared" si="411"/>
        <v>#DIV/0!</v>
      </c>
      <c r="AA1263" s="57">
        <f>Y1263/Model!$B$12*3600</f>
        <v>0</v>
      </c>
      <c r="AB1263" s="51">
        <f t="shared" si="416"/>
        <v>0</v>
      </c>
      <c r="AC1263" s="51">
        <f t="shared" si="420"/>
        <v>1800</v>
      </c>
      <c r="AD1263" s="13">
        <f>IF(AE1263=0, Model!$B$19, 0 )</f>
        <v>0</v>
      </c>
      <c r="AE1263" s="51">
        <f>IF(AE1262+AB1262-AB1263&lt;Model!$B$19*Model!$B$18, AE1262+AB1262-AB1263,  0)</f>
        <v>443.63457370611354</v>
      </c>
      <c r="AF1263" s="13">
        <f t="shared" si="412"/>
        <v>1</v>
      </c>
      <c r="AG1263" s="50">
        <f t="shared" si="413"/>
        <v>0</v>
      </c>
    </row>
    <row r="1264" spans="2:33" x14ac:dyDescent="0.25">
      <c r="B1264" s="15">
        <f t="shared" si="414"/>
        <v>1</v>
      </c>
      <c r="C1264" s="15">
        <f>B1264+Model!$B$4</f>
        <v>3</v>
      </c>
      <c r="D1264" s="15">
        <f t="shared" si="415"/>
        <v>1</v>
      </c>
      <c r="E1264" s="15">
        <f t="shared" si="421"/>
        <v>3</v>
      </c>
      <c r="F1264" s="16">
        <f>IF(AB1264&gt;0, VLOOKUP(B1264,Model!$A$40:$B$60, 2), 0)</f>
        <v>0</v>
      </c>
      <c r="G1264" s="15">
        <f>IF(AB1264&gt;0, VLOOKUP(B1264,Model!$A$39:$C$58, 3), 0)</f>
        <v>0</v>
      </c>
      <c r="H1264" s="15">
        <f t="shared" si="404"/>
        <v>0</v>
      </c>
      <c r="I1264" s="45">
        <f>Model!$B$21*EXP((-0.029*9.81*F1264)/(8.31*(273+J1264)))</f>
        <v>104500</v>
      </c>
      <c r="J1264" s="15">
        <f>IF(Model!$B$31="Summer",  IF(F1264&lt;=2000,  Model!$B$20-Model!$B$35*F1264/1000,  IF(F1264&lt;Model!$B$36,  Model!$B$33-6.5*F1264/1000,  Model!$B$38)),     IF(F1264&lt;=2000,  Model!$B$20-Model!$B$35*F1264/1000,  IF(F1264&lt;Model!$B$36,  Model!$B$33-5.4*F1264/1000,   Model!$B$38)))</f>
        <v>-20</v>
      </c>
      <c r="K1264" s="15">
        <f t="shared" si="417"/>
        <v>253</v>
      </c>
      <c r="L1264" s="45">
        <f>IF(AB1263-AA1263*(B1264-B1263)&gt;0, L1263-Y1263*(B1264-B1263)*3600-AD1264*Model!$B$16, 0)</f>
        <v>0</v>
      </c>
      <c r="M1264" s="56">
        <f t="shared" si="405"/>
        <v>0</v>
      </c>
      <c r="N1264" s="56">
        <f>Model!$B$13*I1264*K1264/(Model!$B$13*I1264-L1264*287*K1264)</f>
        <v>253</v>
      </c>
      <c r="O1264" s="56">
        <f t="shared" si="406"/>
        <v>253</v>
      </c>
      <c r="P1264" s="56">
        <f t="shared" si="407"/>
        <v>-10</v>
      </c>
      <c r="Q1264" s="62">
        <f t="shared" si="418"/>
        <v>2.2579999999999999E-2</v>
      </c>
      <c r="R1264" s="33">
        <f t="shared" si="419"/>
        <v>1.152E-5</v>
      </c>
      <c r="S1264" s="45">
        <f>0.37*Model!$B$10*(Q1264^2*(N1264-K1264)*I1264/(R1264*O1264^2))^0.33333*(N1264-K1264)</f>
        <v>0</v>
      </c>
      <c r="T1264" s="50">
        <f>Model!$B$32+(90-Model!$B$6)*SIN(RADIANS(-15*(E1264+6)))</f>
        <v>-31.619472402513487</v>
      </c>
      <c r="U1264" s="45">
        <f t="shared" si="408"/>
        <v>0</v>
      </c>
      <c r="V1264" s="50">
        <f t="shared" si="409"/>
        <v>99999</v>
      </c>
      <c r="W1264" s="45">
        <f t="shared" si="410"/>
        <v>0</v>
      </c>
      <c r="X1264" s="45">
        <f>0.3*W1264*Model!$B$9</f>
        <v>0</v>
      </c>
      <c r="Y1264" s="33">
        <f>(S1264-X1264)/Model!$B$11</f>
        <v>0</v>
      </c>
      <c r="Z1264" s="45" t="e">
        <f t="shared" si="411"/>
        <v>#DIV/0!</v>
      </c>
      <c r="AA1264" s="56">
        <f>Y1264/Model!$B$12*3600</f>
        <v>0</v>
      </c>
      <c r="AB1264" s="50">
        <f t="shared" si="416"/>
        <v>0</v>
      </c>
      <c r="AC1264" s="50">
        <f t="shared" si="420"/>
        <v>1800</v>
      </c>
      <c r="AD1264" s="15">
        <f>IF(AE1264=0, Model!$B$19, 0 )</f>
        <v>0</v>
      </c>
      <c r="AE1264" s="50">
        <f>IF(AE1263+AB1263-AB1264&lt;Model!$B$19*Model!$B$18, AE1263+AB1263-AB1264,  0)</f>
        <v>443.63457370611354</v>
      </c>
      <c r="AF1264" s="15">
        <f t="shared" si="412"/>
        <v>1</v>
      </c>
      <c r="AG1264" s="50">
        <f t="shared" si="413"/>
        <v>0</v>
      </c>
    </row>
    <row r="1265" spans="2:33" x14ac:dyDescent="0.25">
      <c r="B1265" s="13">
        <f t="shared" si="414"/>
        <v>1</v>
      </c>
      <c r="C1265" s="13">
        <f>B1265+Model!$B$4</f>
        <v>3</v>
      </c>
      <c r="D1265" s="13">
        <f t="shared" si="415"/>
        <v>1</v>
      </c>
      <c r="E1265" s="13">
        <f t="shared" si="421"/>
        <v>3</v>
      </c>
      <c r="F1265" s="14">
        <f>IF(AB1265&gt;0, VLOOKUP(B1265,Model!$A$40:$B$60, 2), 0)</f>
        <v>0</v>
      </c>
      <c r="G1265" s="13">
        <f>IF(AB1265&gt;0, VLOOKUP(B1265,Model!$A$39:$C$58, 3), 0)</f>
        <v>0</v>
      </c>
      <c r="H1265" s="13">
        <f t="shared" si="404"/>
        <v>0</v>
      </c>
      <c r="I1265" s="46">
        <f>Model!$B$21*EXP((-0.029*9.81*F1265)/(8.31*(273+J1265)))</f>
        <v>104500</v>
      </c>
      <c r="J1265" s="13">
        <f>IF(Model!$B$31="Summer",  IF(F1265&lt;=2000,  Model!$B$20-Model!$B$35*F1265/1000,  IF(F1265&lt;Model!$B$36,  Model!$B$33-6.5*F1265/1000,  Model!$B$38)),     IF(F1265&lt;=2000,  Model!$B$20-Model!$B$35*F1265/1000,  IF(F1265&lt;Model!$B$36,  Model!$B$33-5.4*F1265/1000,   Model!$B$38)))</f>
        <v>-20</v>
      </c>
      <c r="K1265" s="13">
        <f t="shared" si="417"/>
        <v>253</v>
      </c>
      <c r="L1265" s="46">
        <f>IF(AB1264-AA1264*(B1265-B1264)&gt;0, L1264-Y1264*(B1265-B1264)*3600-AD1265*Model!$B$16, 0)</f>
        <v>0</v>
      </c>
      <c r="M1265" s="57">
        <f t="shared" si="405"/>
        <v>0</v>
      </c>
      <c r="N1265" s="57">
        <f>Model!$B$13*I1265*K1265/(Model!$B$13*I1265-L1265*287*K1265)</f>
        <v>253</v>
      </c>
      <c r="O1265" s="57">
        <f t="shared" si="406"/>
        <v>253</v>
      </c>
      <c r="P1265" s="57">
        <f t="shared" si="407"/>
        <v>-10</v>
      </c>
      <c r="Q1265" s="63">
        <f t="shared" si="418"/>
        <v>2.2579999999999999E-2</v>
      </c>
      <c r="R1265" s="17">
        <f t="shared" si="419"/>
        <v>1.152E-5</v>
      </c>
      <c r="S1265" s="46">
        <f>0.37*Model!$B$10*(Q1265^2*(N1265-K1265)*I1265/(R1265*O1265^2))^0.33333*(N1265-K1265)</f>
        <v>0</v>
      </c>
      <c r="T1265" s="51">
        <f>Model!$B$32+(90-Model!$B$6)*SIN(RADIANS(-15*(E1265+6)))</f>
        <v>-31.619472402513487</v>
      </c>
      <c r="U1265" s="46">
        <f t="shared" si="408"/>
        <v>0</v>
      </c>
      <c r="V1265" s="51">
        <f t="shared" si="409"/>
        <v>99999</v>
      </c>
      <c r="W1265" s="46">
        <f t="shared" si="410"/>
        <v>0</v>
      </c>
      <c r="X1265" s="46">
        <f>0.3*W1265*Model!$B$9</f>
        <v>0</v>
      </c>
      <c r="Y1265" s="17">
        <f>(S1265-X1265)/Model!$B$11</f>
        <v>0</v>
      </c>
      <c r="Z1265" s="46" t="e">
        <f t="shared" si="411"/>
        <v>#DIV/0!</v>
      </c>
      <c r="AA1265" s="57">
        <f>Y1265/Model!$B$12*3600</f>
        <v>0</v>
      </c>
      <c r="AB1265" s="51">
        <f t="shared" si="416"/>
        <v>0</v>
      </c>
      <c r="AC1265" s="51">
        <f t="shared" si="420"/>
        <v>1800</v>
      </c>
      <c r="AD1265" s="13">
        <f>IF(AE1265=0, Model!$B$19, 0 )</f>
        <v>0</v>
      </c>
      <c r="AE1265" s="51">
        <f>IF(AE1264+AB1264-AB1265&lt;Model!$B$19*Model!$B$18, AE1264+AB1264-AB1265,  0)</f>
        <v>443.63457370611354</v>
      </c>
      <c r="AF1265" s="13">
        <f t="shared" si="412"/>
        <v>1</v>
      </c>
      <c r="AG1265" s="50">
        <f t="shared" si="413"/>
        <v>0</v>
      </c>
    </row>
    <row r="1266" spans="2:33" x14ac:dyDescent="0.25">
      <c r="B1266" s="15">
        <f t="shared" si="414"/>
        <v>1</v>
      </c>
      <c r="C1266" s="15">
        <f>B1266+Model!$B$4</f>
        <v>3</v>
      </c>
      <c r="D1266" s="15">
        <f t="shared" si="415"/>
        <v>1</v>
      </c>
      <c r="E1266" s="15">
        <f t="shared" si="421"/>
        <v>3</v>
      </c>
      <c r="F1266" s="16">
        <f>IF(AB1266&gt;0, VLOOKUP(B1266,Model!$A$40:$B$60, 2), 0)</f>
        <v>0</v>
      </c>
      <c r="G1266" s="15">
        <f>IF(AB1266&gt;0, VLOOKUP(B1266,Model!$A$39:$C$58, 3), 0)</f>
        <v>0</v>
      </c>
      <c r="H1266" s="15">
        <f t="shared" si="404"/>
        <v>0</v>
      </c>
      <c r="I1266" s="45">
        <f>Model!$B$21*EXP((-0.029*9.81*F1266)/(8.31*(273+J1266)))</f>
        <v>104500</v>
      </c>
      <c r="J1266" s="15">
        <f>IF(Model!$B$31="Summer",  IF(F1266&lt;=2000,  Model!$B$20-Model!$B$35*F1266/1000,  IF(F1266&lt;Model!$B$36,  Model!$B$33-6.5*F1266/1000,  Model!$B$38)),     IF(F1266&lt;=2000,  Model!$B$20-Model!$B$35*F1266/1000,  IF(F1266&lt;Model!$B$36,  Model!$B$33-5.4*F1266/1000,   Model!$B$38)))</f>
        <v>-20</v>
      </c>
      <c r="K1266" s="15">
        <f t="shared" si="417"/>
        <v>253</v>
      </c>
      <c r="L1266" s="45">
        <f>IF(AB1265-AA1265*(B1266-B1265)&gt;0, L1265-Y1265*(B1266-B1265)*3600-AD1266*Model!$B$16, 0)</f>
        <v>0</v>
      </c>
      <c r="M1266" s="56">
        <f t="shared" si="405"/>
        <v>0</v>
      </c>
      <c r="N1266" s="56">
        <f>Model!$B$13*I1266*K1266/(Model!$B$13*I1266-L1266*287*K1266)</f>
        <v>253</v>
      </c>
      <c r="O1266" s="56">
        <f t="shared" si="406"/>
        <v>253</v>
      </c>
      <c r="P1266" s="56">
        <f t="shared" si="407"/>
        <v>-10</v>
      </c>
      <c r="Q1266" s="62">
        <f t="shared" si="418"/>
        <v>2.2579999999999999E-2</v>
      </c>
      <c r="R1266" s="33">
        <f t="shared" si="419"/>
        <v>1.152E-5</v>
      </c>
      <c r="S1266" s="45">
        <f>0.37*Model!$B$10*(Q1266^2*(N1266-K1266)*I1266/(R1266*O1266^2))^0.33333*(N1266-K1266)</f>
        <v>0</v>
      </c>
      <c r="T1266" s="50">
        <f>Model!$B$32+(90-Model!$B$6)*SIN(RADIANS(-15*(E1266+6)))</f>
        <v>-31.619472402513487</v>
      </c>
      <c r="U1266" s="45">
        <f t="shared" si="408"/>
        <v>0</v>
      </c>
      <c r="V1266" s="50">
        <f t="shared" si="409"/>
        <v>99999</v>
      </c>
      <c r="W1266" s="45">
        <f t="shared" si="410"/>
        <v>0</v>
      </c>
      <c r="X1266" s="45">
        <f>0.3*W1266*Model!$B$9</f>
        <v>0</v>
      </c>
      <c r="Y1266" s="33">
        <f>(S1266-X1266)/Model!$B$11</f>
        <v>0</v>
      </c>
      <c r="Z1266" s="45" t="e">
        <f t="shared" si="411"/>
        <v>#DIV/0!</v>
      </c>
      <c r="AA1266" s="56">
        <f>Y1266/Model!$B$12*3600</f>
        <v>0</v>
      </c>
      <c r="AB1266" s="50">
        <f t="shared" si="416"/>
        <v>0</v>
      </c>
      <c r="AC1266" s="50">
        <f t="shared" si="420"/>
        <v>1800</v>
      </c>
      <c r="AD1266" s="15">
        <f>IF(AE1266=0, Model!$B$19, 0 )</f>
        <v>0</v>
      </c>
      <c r="AE1266" s="50">
        <f>IF(AE1265+AB1265-AB1266&lt;Model!$B$19*Model!$B$18, AE1265+AB1265-AB1266,  0)</f>
        <v>443.63457370611354</v>
      </c>
      <c r="AF1266" s="15">
        <f t="shared" si="412"/>
        <v>1</v>
      </c>
      <c r="AG1266" s="50">
        <f t="shared" si="413"/>
        <v>0</v>
      </c>
    </row>
    <row r="1267" spans="2:33" x14ac:dyDescent="0.25">
      <c r="B1267" s="13">
        <f t="shared" si="414"/>
        <v>1</v>
      </c>
      <c r="C1267" s="13">
        <f>B1267+Model!$B$4</f>
        <v>3</v>
      </c>
      <c r="D1267" s="13">
        <f t="shared" si="415"/>
        <v>1</v>
      </c>
      <c r="E1267" s="13">
        <f t="shared" si="421"/>
        <v>3</v>
      </c>
      <c r="F1267" s="14">
        <f>IF(AB1267&gt;0, VLOOKUP(B1267,Model!$A$40:$B$60, 2), 0)</f>
        <v>0</v>
      </c>
      <c r="G1267" s="13">
        <f>IF(AB1267&gt;0, VLOOKUP(B1267,Model!$A$39:$C$58, 3), 0)</f>
        <v>0</v>
      </c>
      <c r="H1267" s="13">
        <f t="shared" si="404"/>
        <v>0</v>
      </c>
      <c r="I1267" s="46">
        <f>Model!$B$21*EXP((-0.029*9.81*F1267)/(8.31*(273+J1267)))</f>
        <v>104500</v>
      </c>
      <c r="J1267" s="13">
        <f>IF(Model!$B$31="Summer",  IF(F1267&lt;=2000,  Model!$B$20-Model!$B$35*F1267/1000,  IF(F1267&lt;Model!$B$36,  Model!$B$33-6.5*F1267/1000,  Model!$B$38)),     IF(F1267&lt;=2000,  Model!$B$20-Model!$B$35*F1267/1000,  IF(F1267&lt;Model!$B$36,  Model!$B$33-5.4*F1267/1000,   Model!$B$38)))</f>
        <v>-20</v>
      </c>
      <c r="K1267" s="13">
        <f t="shared" si="417"/>
        <v>253</v>
      </c>
      <c r="L1267" s="46">
        <f>IF(AB1266-AA1266*(B1267-B1266)&gt;0, L1266-Y1266*(B1267-B1266)*3600-AD1267*Model!$B$16, 0)</f>
        <v>0</v>
      </c>
      <c r="M1267" s="57">
        <f t="shared" si="405"/>
        <v>0</v>
      </c>
      <c r="N1267" s="57">
        <f>Model!$B$13*I1267*K1267/(Model!$B$13*I1267-L1267*287*K1267)</f>
        <v>253</v>
      </c>
      <c r="O1267" s="57">
        <f t="shared" si="406"/>
        <v>253</v>
      </c>
      <c r="P1267" s="57">
        <f t="shared" si="407"/>
        <v>-10</v>
      </c>
      <c r="Q1267" s="63">
        <f t="shared" si="418"/>
        <v>2.2579999999999999E-2</v>
      </c>
      <c r="R1267" s="17">
        <f t="shared" si="419"/>
        <v>1.152E-5</v>
      </c>
      <c r="S1267" s="46">
        <f>0.37*Model!$B$10*(Q1267^2*(N1267-K1267)*I1267/(R1267*O1267^2))^0.33333*(N1267-K1267)</f>
        <v>0</v>
      </c>
      <c r="T1267" s="51">
        <f>Model!$B$32+(90-Model!$B$6)*SIN(RADIANS(-15*(E1267+6)))</f>
        <v>-31.619472402513487</v>
      </c>
      <c r="U1267" s="46">
        <f t="shared" si="408"/>
        <v>0</v>
      </c>
      <c r="V1267" s="51">
        <f t="shared" si="409"/>
        <v>99999</v>
      </c>
      <c r="W1267" s="46">
        <f t="shared" si="410"/>
        <v>0</v>
      </c>
      <c r="X1267" s="46">
        <f>0.3*W1267*Model!$B$9</f>
        <v>0</v>
      </c>
      <c r="Y1267" s="17">
        <f>(S1267-X1267)/Model!$B$11</f>
        <v>0</v>
      </c>
      <c r="Z1267" s="46" t="e">
        <f t="shared" si="411"/>
        <v>#DIV/0!</v>
      </c>
      <c r="AA1267" s="57">
        <f>Y1267/Model!$B$12*3600</f>
        <v>0</v>
      </c>
      <c r="AB1267" s="51">
        <f t="shared" si="416"/>
        <v>0</v>
      </c>
      <c r="AC1267" s="51">
        <f t="shared" si="420"/>
        <v>1800</v>
      </c>
      <c r="AD1267" s="13">
        <f>IF(AE1267=0, Model!$B$19, 0 )</f>
        <v>0</v>
      </c>
      <c r="AE1267" s="51">
        <f>IF(AE1266+AB1266-AB1267&lt;Model!$B$19*Model!$B$18, AE1266+AB1266-AB1267,  0)</f>
        <v>443.63457370611354</v>
      </c>
      <c r="AF1267" s="13">
        <f t="shared" si="412"/>
        <v>1</v>
      </c>
      <c r="AG1267" s="50">
        <f t="shared" si="413"/>
        <v>0</v>
      </c>
    </row>
    <row r="1268" spans="2:33" x14ac:dyDescent="0.25">
      <c r="B1268" s="15">
        <f t="shared" si="414"/>
        <v>1</v>
      </c>
      <c r="C1268" s="15">
        <f>B1268+Model!$B$4</f>
        <v>3</v>
      </c>
      <c r="D1268" s="15">
        <f t="shared" si="415"/>
        <v>1</v>
      </c>
      <c r="E1268" s="15">
        <f t="shared" si="421"/>
        <v>3</v>
      </c>
      <c r="F1268" s="16">
        <f>IF(AB1268&gt;0, VLOOKUP(B1268,Model!$A$40:$B$60, 2), 0)</f>
        <v>0</v>
      </c>
      <c r="G1268" s="15">
        <f>IF(AB1268&gt;0, VLOOKUP(B1268,Model!$A$39:$C$58, 3), 0)</f>
        <v>0</v>
      </c>
      <c r="H1268" s="15">
        <f t="shared" si="404"/>
        <v>0</v>
      </c>
      <c r="I1268" s="45">
        <f>Model!$B$21*EXP((-0.029*9.81*F1268)/(8.31*(273+J1268)))</f>
        <v>104500</v>
      </c>
      <c r="J1268" s="15">
        <f>IF(Model!$B$31="Summer",  IF(F1268&lt;=2000,  Model!$B$20-Model!$B$35*F1268/1000,  IF(F1268&lt;Model!$B$36,  Model!$B$33-6.5*F1268/1000,  Model!$B$38)),     IF(F1268&lt;=2000,  Model!$B$20-Model!$B$35*F1268/1000,  IF(F1268&lt;Model!$B$36,  Model!$B$33-5.4*F1268/1000,   Model!$B$38)))</f>
        <v>-20</v>
      </c>
      <c r="K1268" s="15">
        <f t="shared" si="417"/>
        <v>253</v>
      </c>
      <c r="L1268" s="45">
        <f>IF(AB1267-AA1267*(B1268-B1267)&gt;0, L1267-Y1267*(B1268-B1267)*3600-AD1268*Model!$B$16, 0)</f>
        <v>0</v>
      </c>
      <c r="M1268" s="56">
        <f t="shared" si="405"/>
        <v>0</v>
      </c>
      <c r="N1268" s="56">
        <f>Model!$B$13*I1268*K1268/(Model!$B$13*I1268-L1268*287*K1268)</f>
        <v>253</v>
      </c>
      <c r="O1268" s="56">
        <f t="shared" si="406"/>
        <v>253</v>
      </c>
      <c r="P1268" s="56">
        <f t="shared" si="407"/>
        <v>-10</v>
      </c>
      <c r="Q1268" s="62">
        <f t="shared" si="418"/>
        <v>2.2579999999999999E-2</v>
      </c>
      <c r="R1268" s="33">
        <f t="shared" si="419"/>
        <v>1.152E-5</v>
      </c>
      <c r="S1268" s="45">
        <f>0.37*Model!$B$10*(Q1268^2*(N1268-K1268)*I1268/(R1268*O1268^2))^0.33333*(N1268-K1268)</f>
        <v>0</v>
      </c>
      <c r="T1268" s="51">
        <f>Model!$B$32+(90-Model!$B$6)*SIN(RADIANS(-15*(E1268+6)))</f>
        <v>-31.619472402513487</v>
      </c>
      <c r="U1268" s="45">
        <f t="shared" si="408"/>
        <v>0</v>
      </c>
      <c r="V1268" s="50">
        <f t="shared" si="409"/>
        <v>99999</v>
      </c>
      <c r="W1268" s="45">
        <f t="shared" si="410"/>
        <v>0</v>
      </c>
      <c r="X1268" s="45">
        <f>0.3*W1268*Model!$B$9</f>
        <v>0</v>
      </c>
      <c r="Y1268" s="33">
        <f>(S1268-X1268)/Model!$B$11</f>
        <v>0</v>
      </c>
      <c r="Z1268" s="45" t="e">
        <f t="shared" si="411"/>
        <v>#DIV/0!</v>
      </c>
      <c r="AA1268" s="56">
        <f>Y1268/Model!$B$12*3600</f>
        <v>0</v>
      </c>
      <c r="AB1268" s="50">
        <f t="shared" si="416"/>
        <v>0</v>
      </c>
      <c r="AC1268" s="50">
        <f t="shared" si="420"/>
        <v>1800</v>
      </c>
      <c r="AD1268" s="15">
        <f>IF(AE1268=0, Model!$B$19, 0 )</f>
        <v>0</v>
      </c>
      <c r="AE1268" s="50">
        <f>IF(AE1267+AB1267-AB1268&lt;Model!$B$19*Model!$B$18, AE1267+AB1267-AB1268,  0)</f>
        <v>443.63457370611354</v>
      </c>
      <c r="AF1268" s="15">
        <f t="shared" si="412"/>
        <v>1</v>
      </c>
      <c r="AG1268" s="50">
        <f t="shared" si="413"/>
        <v>0</v>
      </c>
    </row>
    <row r="1269" spans="2:33" x14ac:dyDescent="0.25">
      <c r="B1269" s="13">
        <f t="shared" si="414"/>
        <v>1</v>
      </c>
      <c r="C1269" s="13">
        <f>B1269+Model!$B$4</f>
        <v>3</v>
      </c>
      <c r="D1269" s="13">
        <f t="shared" si="415"/>
        <v>1</v>
      </c>
      <c r="E1269" s="13">
        <f t="shared" si="421"/>
        <v>3</v>
      </c>
      <c r="F1269" s="14">
        <f>IF(AB1269&gt;0, VLOOKUP(B1269,Model!$A$40:$B$60, 2), 0)</f>
        <v>0</v>
      </c>
      <c r="G1269" s="13">
        <f>IF(AB1269&gt;0, VLOOKUP(B1269,Model!$A$39:$C$58, 3), 0)</f>
        <v>0</v>
      </c>
      <c r="H1269" s="13">
        <f t="shared" si="404"/>
        <v>0</v>
      </c>
      <c r="I1269" s="46">
        <f>Model!$B$21*EXP((-0.029*9.81*F1269)/(8.31*(273+J1269)))</f>
        <v>104500</v>
      </c>
      <c r="J1269" s="13">
        <f>IF(Model!$B$31="Summer",  IF(F1269&lt;=2000,  Model!$B$20-Model!$B$35*F1269/1000,  IF(F1269&lt;Model!$B$36,  Model!$B$33-6.5*F1269/1000,  Model!$B$38)),     IF(F1269&lt;=2000,  Model!$B$20-Model!$B$35*F1269/1000,  IF(F1269&lt;Model!$B$36,  Model!$B$33-5.4*F1269/1000,   Model!$B$38)))</f>
        <v>-20</v>
      </c>
      <c r="K1269" s="13">
        <f t="shared" si="417"/>
        <v>253</v>
      </c>
      <c r="L1269" s="46">
        <f>IF(AB1268-AA1268*(B1269-B1268)&gt;0, L1268-Y1268*(B1269-B1268)*3600-AD1269*Model!$B$16, 0)</f>
        <v>0</v>
      </c>
      <c r="M1269" s="57">
        <f t="shared" si="405"/>
        <v>0</v>
      </c>
      <c r="N1269" s="57">
        <f>Model!$B$13*I1269*K1269/(Model!$B$13*I1269-L1269*287*K1269)</f>
        <v>253</v>
      </c>
      <c r="O1269" s="57">
        <f t="shared" si="406"/>
        <v>253</v>
      </c>
      <c r="P1269" s="57">
        <f t="shared" si="407"/>
        <v>-10</v>
      </c>
      <c r="Q1269" s="63">
        <f t="shared" si="418"/>
        <v>2.2579999999999999E-2</v>
      </c>
      <c r="R1269" s="17">
        <f t="shared" si="419"/>
        <v>1.152E-5</v>
      </c>
      <c r="S1269" s="46">
        <f>0.37*Model!$B$10*(Q1269^2*(N1269-K1269)*I1269/(R1269*O1269^2))^0.33333*(N1269-K1269)</f>
        <v>0</v>
      </c>
      <c r="T1269" s="51">
        <f>Model!$B$32+(90-Model!$B$6)*SIN(RADIANS(-15*(E1269+6)))</f>
        <v>-31.619472402513487</v>
      </c>
      <c r="U1269" s="46">
        <f t="shared" si="408"/>
        <v>0</v>
      </c>
      <c r="V1269" s="51">
        <f t="shared" si="409"/>
        <v>99999</v>
      </c>
      <c r="W1269" s="46">
        <f t="shared" si="410"/>
        <v>0</v>
      </c>
      <c r="X1269" s="46">
        <f>0.3*W1269*Model!$B$9</f>
        <v>0</v>
      </c>
      <c r="Y1269" s="17">
        <f>(S1269-X1269)/Model!$B$11</f>
        <v>0</v>
      </c>
      <c r="Z1269" s="46" t="e">
        <f t="shared" si="411"/>
        <v>#DIV/0!</v>
      </c>
      <c r="AA1269" s="57">
        <f>Y1269/Model!$B$12*3600</f>
        <v>0</v>
      </c>
      <c r="AB1269" s="51">
        <f t="shared" si="416"/>
        <v>0</v>
      </c>
      <c r="AC1269" s="51">
        <f t="shared" si="420"/>
        <v>1800</v>
      </c>
      <c r="AD1269" s="13">
        <f>IF(AE1269=0, Model!$B$19, 0 )</f>
        <v>0</v>
      </c>
      <c r="AE1269" s="51">
        <f>IF(AE1268+AB1268-AB1269&lt;Model!$B$19*Model!$B$18, AE1268+AB1268-AB1269,  0)</f>
        <v>443.63457370611354</v>
      </c>
      <c r="AF1269" s="13">
        <f t="shared" si="412"/>
        <v>1</v>
      </c>
      <c r="AG1269" s="50">
        <f t="shared" si="413"/>
        <v>0</v>
      </c>
    </row>
    <row r="1270" spans="2:33" x14ac:dyDescent="0.25">
      <c r="B1270" s="15">
        <f t="shared" si="414"/>
        <v>1</v>
      </c>
      <c r="C1270" s="15">
        <f>B1270+Model!$B$4</f>
        <v>3</v>
      </c>
      <c r="D1270" s="15">
        <f t="shared" si="415"/>
        <v>1</v>
      </c>
      <c r="E1270" s="15">
        <f t="shared" si="421"/>
        <v>3</v>
      </c>
      <c r="F1270" s="16">
        <f>IF(AB1270&gt;0, VLOOKUP(B1270,Model!$A$40:$B$60, 2), 0)</f>
        <v>0</v>
      </c>
      <c r="G1270" s="15">
        <f>IF(AB1270&gt;0, VLOOKUP(B1270,Model!$A$39:$C$58, 3), 0)</f>
        <v>0</v>
      </c>
      <c r="H1270" s="15">
        <f t="shared" si="404"/>
        <v>0</v>
      </c>
      <c r="I1270" s="45">
        <f>Model!$B$21*EXP((-0.029*9.81*F1270)/(8.31*(273+J1270)))</f>
        <v>104500</v>
      </c>
      <c r="J1270" s="15">
        <f>IF(Model!$B$31="Summer",  IF(F1270&lt;=2000,  Model!$B$20-Model!$B$35*F1270/1000,  IF(F1270&lt;Model!$B$36,  Model!$B$33-6.5*F1270/1000,  Model!$B$38)),     IF(F1270&lt;=2000,  Model!$B$20-Model!$B$35*F1270/1000,  IF(F1270&lt;Model!$B$36,  Model!$B$33-5.4*F1270/1000,   Model!$B$38)))</f>
        <v>-20</v>
      </c>
      <c r="K1270" s="15">
        <f t="shared" si="417"/>
        <v>253</v>
      </c>
      <c r="L1270" s="45">
        <f>IF(AB1269-AA1269*(B1270-B1269)&gt;0, L1269-Y1269*(B1270-B1269)*3600-AD1270*Model!$B$16, 0)</f>
        <v>0</v>
      </c>
      <c r="M1270" s="56">
        <f t="shared" si="405"/>
        <v>0</v>
      </c>
      <c r="N1270" s="56">
        <f>Model!$B$13*I1270*K1270/(Model!$B$13*I1270-L1270*287*K1270)</f>
        <v>253</v>
      </c>
      <c r="O1270" s="56">
        <f t="shared" si="406"/>
        <v>253</v>
      </c>
      <c r="P1270" s="56">
        <f t="shared" si="407"/>
        <v>-10</v>
      </c>
      <c r="Q1270" s="62">
        <f t="shared" si="418"/>
        <v>2.2579999999999999E-2</v>
      </c>
      <c r="R1270" s="33">
        <f t="shared" si="419"/>
        <v>1.152E-5</v>
      </c>
      <c r="S1270" s="45">
        <f>0.37*Model!$B$10*(Q1270^2*(N1270-K1270)*I1270/(R1270*O1270^2))^0.33333*(N1270-K1270)</f>
        <v>0</v>
      </c>
      <c r="T1270" s="51">
        <f>Model!$B$32+(90-Model!$B$6)*SIN(RADIANS(-15*(E1270+6)))</f>
        <v>-31.619472402513487</v>
      </c>
      <c r="U1270" s="45">
        <f t="shared" si="408"/>
        <v>0</v>
      </c>
      <c r="V1270" s="50">
        <f t="shared" si="409"/>
        <v>99999</v>
      </c>
      <c r="W1270" s="45">
        <f t="shared" si="410"/>
        <v>0</v>
      </c>
      <c r="X1270" s="45">
        <f>0.3*W1270*Model!$B$9</f>
        <v>0</v>
      </c>
      <c r="Y1270" s="33">
        <f>(S1270-X1270)/Model!$B$11</f>
        <v>0</v>
      </c>
      <c r="Z1270" s="45" t="e">
        <f t="shared" si="411"/>
        <v>#DIV/0!</v>
      </c>
      <c r="AA1270" s="56">
        <f>Y1270/Model!$B$12*3600</f>
        <v>0</v>
      </c>
      <c r="AB1270" s="50">
        <f t="shared" si="416"/>
        <v>0</v>
      </c>
      <c r="AC1270" s="50">
        <f t="shared" si="420"/>
        <v>1800</v>
      </c>
      <c r="AD1270" s="15">
        <f>IF(AE1270=0, Model!$B$19, 0 )</f>
        <v>0</v>
      </c>
      <c r="AE1270" s="50">
        <f>IF(AE1269+AB1269-AB1270&lt;Model!$B$19*Model!$B$18, AE1269+AB1269-AB1270,  0)</f>
        <v>443.63457370611354</v>
      </c>
      <c r="AF1270" s="15">
        <f t="shared" si="412"/>
        <v>1</v>
      </c>
      <c r="AG1270" s="50">
        <f t="shared" si="413"/>
        <v>0</v>
      </c>
    </row>
    <row r="1271" spans="2:33" x14ac:dyDescent="0.25">
      <c r="B1271" s="13">
        <f t="shared" si="414"/>
        <v>1</v>
      </c>
      <c r="C1271" s="13">
        <f>B1271+Model!$B$4</f>
        <v>3</v>
      </c>
      <c r="D1271" s="13">
        <f t="shared" si="415"/>
        <v>1</v>
      </c>
      <c r="E1271" s="13">
        <f t="shared" si="421"/>
        <v>3</v>
      </c>
      <c r="F1271" s="14">
        <f>IF(AB1271&gt;0, VLOOKUP(B1271,Model!$A$40:$B$60, 2), 0)</f>
        <v>0</v>
      </c>
      <c r="G1271" s="13">
        <f>IF(AB1271&gt;0, VLOOKUP(B1271,Model!$A$39:$C$58, 3), 0)</f>
        <v>0</v>
      </c>
      <c r="H1271" s="13">
        <f t="shared" si="404"/>
        <v>0</v>
      </c>
      <c r="I1271" s="46">
        <f>Model!$B$21*EXP((-0.029*9.81*F1271)/(8.31*(273+J1271)))</f>
        <v>104500</v>
      </c>
      <c r="J1271" s="13">
        <f>IF(Model!$B$31="Summer",  IF(F1271&lt;=2000,  Model!$B$20-Model!$B$35*F1271/1000,  IF(F1271&lt;Model!$B$36,  Model!$B$33-6.5*F1271/1000,  Model!$B$38)),     IF(F1271&lt;=2000,  Model!$B$20-Model!$B$35*F1271/1000,  IF(F1271&lt;Model!$B$36,  Model!$B$33-5.4*F1271/1000,   Model!$B$38)))</f>
        <v>-20</v>
      </c>
      <c r="K1271" s="13">
        <f t="shared" si="417"/>
        <v>253</v>
      </c>
      <c r="L1271" s="46">
        <f>IF(AB1270-AA1270*(B1271-B1270)&gt;0, L1270-Y1270*(B1271-B1270)*3600-AD1271*Model!$B$16, 0)</f>
        <v>0</v>
      </c>
      <c r="M1271" s="57">
        <f t="shared" si="405"/>
        <v>0</v>
      </c>
      <c r="N1271" s="57">
        <f>Model!$B$13*I1271*K1271/(Model!$B$13*I1271-L1271*287*K1271)</f>
        <v>253</v>
      </c>
      <c r="O1271" s="57">
        <f t="shared" si="406"/>
        <v>253</v>
      </c>
      <c r="P1271" s="57">
        <f t="shared" si="407"/>
        <v>-10</v>
      </c>
      <c r="Q1271" s="63">
        <f t="shared" si="418"/>
        <v>2.2579999999999999E-2</v>
      </c>
      <c r="R1271" s="17">
        <f t="shared" si="419"/>
        <v>1.152E-5</v>
      </c>
      <c r="S1271" s="46">
        <f>0.37*Model!$B$10*(Q1271^2*(N1271-K1271)*I1271/(R1271*O1271^2))^0.33333*(N1271-K1271)</f>
        <v>0</v>
      </c>
      <c r="T1271" s="51">
        <f>Model!$B$32+(90-Model!$B$6)*SIN(RADIANS(-15*(E1271+6)))</f>
        <v>-31.619472402513487</v>
      </c>
      <c r="U1271" s="46">
        <f t="shared" si="408"/>
        <v>0</v>
      </c>
      <c r="V1271" s="51">
        <f t="shared" si="409"/>
        <v>99999</v>
      </c>
      <c r="W1271" s="46">
        <f t="shared" si="410"/>
        <v>0</v>
      </c>
      <c r="X1271" s="46">
        <f>0.3*W1271*Model!$B$9</f>
        <v>0</v>
      </c>
      <c r="Y1271" s="17">
        <f>(S1271-X1271)/Model!$B$11</f>
        <v>0</v>
      </c>
      <c r="Z1271" s="46" t="e">
        <f t="shared" si="411"/>
        <v>#DIV/0!</v>
      </c>
      <c r="AA1271" s="57">
        <f>Y1271/Model!$B$12*3600</f>
        <v>0</v>
      </c>
      <c r="AB1271" s="51">
        <f t="shared" si="416"/>
        <v>0</v>
      </c>
      <c r="AC1271" s="51">
        <f t="shared" si="420"/>
        <v>1800</v>
      </c>
      <c r="AD1271" s="13">
        <f>IF(AE1271=0, Model!$B$19, 0 )</f>
        <v>0</v>
      </c>
      <c r="AE1271" s="51">
        <f>IF(AE1270+AB1270-AB1271&lt;Model!$B$19*Model!$B$18, AE1270+AB1270-AB1271,  0)</f>
        <v>443.63457370611354</v>
      </c>
      <c r="AF1271" s="13">
        <f t="shared" si="412"/>
        <v>1</v>
      </c>
      <c r="AG1271" s="50">
        <f t="shared" si="413"/>
        <v>0</v>
      </c>
    </row>
    <row r="1272" spans="2:33" x14ac:dyDescent="0.25">
      <c r="B1272" s="15">
        <f t="shared" si="414"/>
        <v>1</v>
      </c>
      <c r="C1272" s="15">
        <f>B1272+Model!$B$4</f>
        <v>3</v>
      </c>
      <c r="D1272" s="15">
        <f t="shared" si="415"/>
        <v>1</v>
      </c>
      <c r="E1272" s="15">
        <f t="shared" si="421"/>
        <v>3</v>
      </c>
      <c r="F1272" s="16">
        <f>IF(AB1272&gt;0, VLOOKUP(B1272,Model!$A$40:$B$60, 2), 0)</f>
        <v>0</v>
      </c>
      <c r="G1272" s="15">
        <f>IF(AB1272&gt;0, VLOOKUP(B1272,Model!$A$39:$C$58, 3), 0)</f>
        <v>0</v>
      </c>
      <c r="H1272" s="15">
        <f t="shared" si="404"/>
        <v>0</v>
      </c>
      <c r="I1272" s="45">
        <f>Model!$B$21*EXP((-0.029*9.81*F1272)/(8.31*(273+J1272)))</f>
        <v>104500</v>
      </c>
      <c r="J1272" s="15">
        <f>IF(Model!$B$31="Summer",  IF(F1272&lt;=2000,  Model!$B$20-Model!$B$35*F1272/1000,  IF(F1272&lt;Model!$B$36,  Model!$B$33-6.5*F1272/1000,  Model!$B$38)),     IF(F1272&lt;=2000,  Model!$B$20-Model!$B$35*F1272/1000,  IF(F1272&lt;Model!$B$36,  Model!$B$33-5.4*F1272/1000,   Model!$B$38)))</f>
        <v>-20</v>
      </c>
      <c r="K1272" s="15">
        <f t="shared" si="417"/>
        <v>253</v>
      </c>
      <c r="L1272" s="45">
        <f>IF(AB1271-AA1271*(B1272-B1271)&gt;0, L1271-Y1271*(B1272-B1271)*3600-AD1272*Model!$B$16, 0)</f>
        <v>0</v>
      </c>
      <c r="M1272" s="56">
        <f t="shared" si="405"/>
        <v>0</v>
      </c>
      <c r="N1272" s="56">
        <f>Model!$B$13*I1272*K1272/(Model!$B$13*I1272-L1272*287*K1272)</f>
        <v>253</v>
      </c>
      <c r="O1272" s="56">
        <f t="shared" si="406"/>
        <v>253</v>
      </c>
      <c r="P1272" s="56">
        <f t="shared" si="407"/>
        <v>-10</v>
      </c>
      <c r="Q1272" s="62">
        <f t="shared" si="418"/>
        <v>2.2579999999999999E-2</v>
      </c>
      <c r="R1272" s="33">
        <f t="shared" si="419"/>
        <v>1.152E-5</v>
      </c>
      <c r="S1272" s="45">
        <f>0.37*Model!$B$10*(Q1272^2*(N1272-K1272)*I1272/(R1272*O1272^2))^0.33333*(N1272-K1272)</f>
        <v>0</v>
      </c>
      <c r="T1272" s="51">
        <f>Model!$B$32+(90-Model!$B$6)*SIN(RADIANS(-15*(E1272+6)))</f>
        <v>-31.619472402513487</v>
      </c>
      <c r="U1272" s="45">
        <f t="shared" si="408"/>
        <v>0</v>
      </c>
      <c r="V1272" s="50">
        <f t="shared" si="409"/>
        <v>99999</v>
      </c>
      <c r="W1272" s="45">
        <f t="shared" si="410"/>
        <v>0</v>
      </c>
      <c r="X1272" s="45">
        <f>0.3*W1272*Model!$B$9</f>
        <v>0</v>
      </c>
      <c r="Y1272" s="33">
        <f>(S1272-X1272)/Model!$B$11</f>
        <v>0</v>
      </c>
      <c r="Z1272" s="45" t="e">
        <f t="shared" si="411"/>
        <v>#DIV/0!</v>
      </c>
      <c r="AA1272" s="56">
        <f>Y1272/Model!$B$12*3600</f>
        <v>0</v>
      </c>
      <c r="AB1272" s="50">
        <f t="shared" si="416"/>
        <v>0</v>
      </c>
      <c r="AC1272" s="50">
        <f t="shared" si="420"/>
        <v>1800</v>
      </c>
      <c r="AD1272" s="15">
        <f>IF(AE1272=0, Model!$B$19, 0 )</f>
        <v>0</v>
      </c>
      <c r="AE1272" s="50">
        <f>IF(AE1271+AB1271-AB1272&lt;Model!$B$19*Model!$B$18, AE1271+AB1271-AB1272,  0)</f>
        <v>443.63457370611354</v>
      </c>
      <c r="AF1272" s="15">
        <f t="shared" si="412"/>
        <v>1</v>
      </c>
      <c r="AG1272" s="50">
        <f t="shared" si="413"/>
        <v>0</v>
      </c>
    </row>
    <row r="1273" spans="2:33" x14ac:dyDescent="0.25">
      <c r="B1273" s="13">
        <f t="shared" si="414"/>
        <v>1</v>
      </c>
      <c r="C1273" s="13">
        <f>B1273+Model!$B$4</f>
        <v>3</v>
      </c>
      <c r="D1273" s="13">
        <f t="shared" si="415"/>
        <v>1</v>
      </c>
      <c r="E1273" s="13">
        <f t="shared" si="421"/>
        <v>3</v>
      </c>
      <c r="F1273" s="14">
        <f>IF(AB1273&gt;0, VLOOKUP(B1273,Model!$A$40:$B$60, 2), 0)</f>
        <v>0</v>
      </c>
      <c r="G1273" s="13">
        <f>IF(AB1273&gt;0, VLOOKUP(B1273,Model!$A$39:$C$58, 3), 0)</f>
        <v>0</v>
      </c>
      <c r="H1273" s="13">
        <f t="shared" si="404"/>
        <v>0</v>
      </c>
      <c r="I1273" s="46">
        <f>Model!$B$21*EXP((-0.029*9.81*F1273)/(8.31*(273+J1273)))</f>
        <v>104500</v>
      </c>
      <c r="J1273" s="13">
        <f>IF(Model!$B$31="Summer",  IF(F1273&lt;=2000,  Model!$B$20-Model!$B$35*F1273/1000,  IF(F1273&lt;Model!$B$36,  Model!$B$33-6.5*F1273/1000,  Model!$B$38)),     IF(F1273&lt;=2000,  Model!$B$20-Model!$B$35*F1273/1000,  IF(F1273&lt;Model!$B$36,  Model!$B$33-5.4*F1273/1000,   Model!$B$38)))</f>
        <v>-20</v>
      </c>
      <c r="K1273" s="13">
        <f t="shared" si="417"/>
        <v>253</v>
      </c>
      <c r="L1273" s="46">
        <f>IF(AB1272-AA1272*(B1273-B1272)&gt;0, L1272-Y1272*(B1273-B1272)*3600-AD1273*Model!$B$16, 0)</f>
        <v>0</v>
      </c>
      <c r="M1273" s="57">
        <f t="shared" si="405"/>
        <v>0</v>
      </c>
      <c r="N1273" s="57">
        <f>Model!$B$13*I1273*K1273/(Model!$B$13*I1273-L1273*287*K1273)</f>
        <v>253</v>
      </c>
      <c r="O1273" s="57">
        <f t="shared" si="406"/>
        <v>253</v>
      </c>
      <c r="P1273" s="57">
        <f t="shared" si="407"/>
        <v>-10</v>
      </c>
      <c r="Q1273" s="63">
        <f t="shared" si="418"/>
        <v>2.2579999999999999E-2</v>
      </c>
      <c r="R1273" s="17">
        <f t="shared" si="419"/>
        <v>1.152E-5</v>
      </c>
      <c r="S1273" s="46">
        <f>0.37*Model!$B$10*(Q1273^2*(N1273-K1273)*I1273/(R1273*O1273^2))^0.33333*(N1273-K1273)</f>
        <v>0</v>
      </c>
      <c r="T1273" s="51">
        <f>Model!$B$32+(90-Model!$B$6)*SIN(RADIANS(-15*(E1273+6)))</f>
        <v>-31.619472402513487</v>
      </c>
      <c r="U1273" s="46">
        <f t="shared" si="408"/>
        <v>0</v>
      </c>
      <c r="V1273" s="51">
        <f t="shared" si="409"/>
        <v>99999</v>
      </c>
      <c r="W1273" s="46">
        <f t="shared" si="410"/>
        <v>0</v>
      </c>
      <c r="X1273" s="46">
        <f>0.3*W1273*Model!$B$9</f>
        <v>0</v>
      </c>
      <c r="Y1273" s="17">
        <f>(S1273-X1273)/Model!$B$11</f>
        <v>0</v>
      </c>
      <c r="Z1273" s="46" t="e">
        <f t="shared" si="411"/>
        <v>#DIV/0!</v>
      </c>
      <c r="AA1273" s="57">
        <f>Y1273/Model!$B$12*3600</f>
        <v>0</v>
      </c>
      <c r="AB1273" s="51">
        <f t="shared" si="416"/>
        <v>0</v>
      </c>
      <c r="AC1273" s="51">
        <f t="shared" si="420"/>
        <v>1800</v>
      </c>
      <c r="AD1273" s="13">
        <f>IF(AE1273=0, Model!$B$19, 0 )</f>
        <v>0</v>
      </c>
      <c r="AE1273" s="51">
        <f>IF(AE1272+AB1272-AB1273&lt;Model!$B$19*Model!$B$18, AE1272+AB1272-AB1273,  0)</f>
        <v>443.63457370611354</v>
      </c>
      <c r="AF1273" s="13">
        <f t="shared" si="412"/>
        <v>1</v>
      </c>
      <c r="AG1273" s="50">
        <f t="shared" si="413"/>
        <v>0</v>
      </c>
    </row>
    <row r="1274" spans="2:33" x14ac:dyDescent="0.25">
      <c r="B1274" s="15">
        <f t="shared" si="414"/>
        <v>1</v>
      </c>
      <c r="C1274" s="15">
        <f>B1274+Model!$B$4</f>
        <v>3</v>
      </c>
      <c r="D1274" s="15">
        <f t="shared" si="415"/>
        <v>1</v>
      </c>
      <c r="E1274" s="15">
        <f t="shared" si="421"/>
        <v>3</v>
      </c>
      <c r="F1274" s="16">
        <f>IF(AB1274&gt;0, VLOOKUP(B1274,Model!$A$40:$B$60, 2), 0)</f>
        <v>0</v>
      </c>
      <c r="G1274" s="15">
        <f>IF(AB1274&gt;0, VLOOKUP(B1274,Model!$A$39:$C$58, 3), 0)</f>
        <v>0</v>
      </c>
      <c r="H1274" s="15">
        <f t="shared" si="404"/>
        <v>0</v>
      </c>
      <c r="I1274" s="45">
        <f>Model!$B$21*EXP((-0.029*9.81*F1274)/(8.31*(273+J1274)))</f>
        <v>104500</v>
      </c>
      <c r="J1274" s="15">
        <f>IF(Model!$B$31="Summer",  IF(F1274&lt;=2000,  Model!$B$20-Model!$B$35*F1274/1000,  IF(F1274&lt;Model!$B$36,  Model!$B$33-6.5*F1274/1000,  Model!$B$38)),     IF(F1274&lt;=2000,  Model!$B$20-Model!$B$35*F1274/1000,  IF(F1274&lt;Model!$B$36,  Model!$B$33-5.4*F1274/1000,   Model!$B$38)))</f>
        <v>-20</v>
      </c>
      <c r="K1274" s="15">
        <f t="shared" si="417"/>
        <v>253</v>
      </c>
      <c r="L1274" s="45">
        <f>IF(AB1273-AA1273*(B1274-B1273)&gt;0, L1273-Y1273*(B1274-B1273)*3600-AD1274*Model!$B$16, 0)</f>
        <v>0</v>
      </c>
      <c r="M1274" s="56">
        <f t="shared" si="405"/>
        <v>0</v>
      </c>
      <c r="N1274" s="56">
        <f>Model!$B$13*I1274*K1274/(Model!$B$13*I1274-L1274*287*K1274)</f>
        <v>253</v>
      </c>
      <c r="O1274" s="56">
        <f t="shared" si="406"/>
        <v>253</v>
      </c>
      <c r="P1274" s="56">
        <f t="shared" si="407"/>
        <v>-10</v>
      </c>
      <c r="Q1274" s="62">
        <f t="shared" si="418"/>
        <v>2.2579999999999999E-2</v>
      </c>
      <c r="R1274" s="33">
        <f t="shared" si="419"/>
        <v>1.152E-5</v>
      </c>
      <c r="S1274" s="45">
        <f>0.37*Model!$B$10*(Q1274^2*(N1274-K1274)*I1274/(R1274*O1274^2))^0.33333*(N1274-K1274)</f>
        <v>0</v>
      </c>
      <c r="T1274" s="51">
        <f>Model!$B$32+(90-Model!$B$6)*SIN(RADIANS(-15*(E1274+6)))</f>
        <v>-31.619472402513487</v>
      </c>
      <c r="U1274" s="45">
        <f t="shared" si="408"/>
        <v>0</v>
      </c>
      <c r="V1274" s="50">
        <f t="shared" si="409"/>
        <v>99999</v>
      </c>
      <c r="W1274" s="45">
        <f t="shared" si="410"/>
        <v>0</v>
      </c>
      <c r="X1274" s="45">
        <f>0.3*W1274*Model!$B$9</f>
        <v>0</v>
      </c>
      <c r="Y1274" s="33">
        <f>(S1274-X1274)/Model!$B$11</f>
        <v>0</v>
      </c>
      <c r="Z1274" s="45" t="e">
        <f t="shared" si="411"/>
        <v>#DIV/0!</v>
      </c>
      <c r="AA1274" s="56">
        <f>Y1274/Model!$B$12*3600</f>
        <v>0</v>
      </c>
      <c r="AB1274" s="50">
        <f t="shared" si="416"/>
        <v>0</v>
      </c>
      <c r="AC1274" s="50">
        <f t="shared" si="420"/>
        <v>1800</v>
      </c>
      <c r="AD1274" s="15">
        <f>IF(AE1274=0, Model!$B$19, 0 )</f>
        <v>0</v>
      </c>
      <c r="AE1274" s="50">
        <f>IF(AE1273+AB1273-AB1274&lt;Model!$B$19*Model!$B$18, AE1273+AB1273-AB1274,  0)</f>
        <v>443.63457370611354</v>
      </c>
      <c r="AF1274" s="15">
        <f t="shared" si="412"/>
        <v>1</v>
      </c>
      <c r="AG1274" s="50">
        <f t="shared" si="413"/>
        <v>0</v>
      </c>
    </row>
    <row r="1275" spans="2:33" x14ac:dyDescent="0.25">
      <c r="B1275" s="13">
        <f t="shared" si="414"/>
        <v>1</v>
      </c>
      <c r="C1275" s="13">
        <f>B1275+Model!$B$4</f>
        <v>3</v>
      </c>
      <c r="D1275" s="13">
        <f t="shared" si="415"/>
        <v>1</v>
      </c>
      <c r="E1275" s="13">
        <f t="shared" si="421"/>
        <v>3</v>
      </c>
      <c r="F1275" s="14">
        <f>IF(AB1275&gt;0, VLOOKUP(B1275,Model!$A$40:$B$60, 2), 0)</f>
        <v>0</v>
      </c>
      <c r="G1275" s="13">
        <f>IF(AB1275&gt;0, VLOOKUP(B1275,Model!$A$39:$C$58, 3), 0)</f>
        <v>0</v>
      </c>
      <c r="H1275" s="13">
        <f t="shared" si="404"/>
        <v>0</v>
      </c>
      <c r="I1275" s="46">
        <f>Model!$B$21*EXP((-0.029*9.81*F1275)/(8.31*(273+J1275)))</f>
        <v>104500</v>
      </c>
      <c r="J1275" s="13">
        <f>IF(Model!$B$31="Summer",  IF(F1275&lt;=2000,  Model!$B$20-Model!$B$35*F1275/1000,  IF(F1275&lt;Model!$B$36,  Model!$B$33-6.5*F1275/1000,  Model!$B$38)),     IF(F1275&lt;=2000,  Model!$B$20-Model!$B$35*F1275/1000,  IF(F1275&lt;Model!$B$36,  Model!$B$33-5.4*F1275/1000,   Model!$B$38)))</f>
        <v>-20</v>
      </c>
      <c r="K1275" s="13">
        <f t="shared" si="417"/>
        <v>253</v>
      </c>
      <c r="L1275" s="46">
        <f>IF(AB1274-AA1274*(B1275-B1274)&gt;0, L1274-Y1274*(B1275-B1274)*3600-AD1275*Model!$B$16, 0)</f>
        <v>0</v>
      </c>
      <c r="M1275" s="57">
        <f t="shared" si="405"/>
        <v>0</v>
      </c>
      <c r="N1275" s="57">
        <f>Model!$B$13*I1275*K1275/(Model!$B$13*I1275-L1275*287*K1275)</f>
        <v>253</v>
      </c>
      <c r="O1275" s="57">
        <f t="shared" si="406"/>
        <v>253</v>
      </c>
      <c r="P1275" s="57">
        <f t="shared" si="407"/>
        <v>-10</v>
      </c>
      <c r="Q1275" s="63">
        <f t="shared" si="418"/>
        <v>2.2579999999999999E-2</v>
      </c>
      <c r="R1275" s="17">
        <f t="shared" si="419"/>
        <v>1.152E-5</v>
      </c>
      <c r="S1275" s="46">
        <f>0.37*Model!$B$10*(Q1275^2*(N1275-K1275)*I1275/(R1275*O1275^2))^0.33333*(N1275-K1275)</f>
        <v>0</v>
      </c>
      <c r="T1275" s="51">
        <f>Model!$B$32+(90-Model!$B$6)*SIN(RADIANS(-15*(E1275+6)))</f>
        <v>-31.619472402513487</v>
      </c>
      <c r="U1275" s="46">
        <f t="shared" si="408"/>
        <v>0</v>
      </c>
      <c r="V1275" s="51">
        <f t="shared" si="409"/>
        <v>99999</v>
      </c>
      <c r="W1275" s="46">
        <f t="shared" si="410"/>
        <v>0</v>
      </c>
      <c r="X1275" s="46">
        <f>0.3*W1275*Model!$B$9</f>
        <v>0</v>
      </c>
      <c r="Y1275" s="17">
        <f>(S1275-X1275)/Model!$B$11</f>
        <v>0</v>
      </c>
      <c r="Z1275" s="46" t="e">
        <f t="shared" si="411"/>
        <v>#DIV/0!</v>
      </c>
      <c r="AA1275" s="57">
        <f>Y1275/Model!$B$12*3600</f>
        <v>0</v>
      </c>
      <c r="AB1275" s="51">
        <f t="shared" si="416"/>
        <v>0</v>
      </c>
      <c r="AC1275" s="51">
        <f t="shared" si="420"/>
        <v>1800</v>
      </c>
      <c r="AD1275" s="13">
        <f>IF(AE1275=0, Model!$B$19, 0 )</f>
        <v>0</v>
      </c>
      <c r="AE1275" s="51">
        <f>IF(AE1274+AB1274-AB1275&lt;Model!$B$19*Model!$B$18, AE1274+AB1274-AB1275,  0)</f>
        <v>443.63457370611354</v>
      </c>
      <c r="AF1275" s="13">
        <f t="shared" si="412"/>
        <v>1</v>
      </c>
      <c r="AG1275" s="50">
        <f t="shared" si="413"/>
        <v>0</v>
      </c>
    </row>
    <row r="1276" spans="2:33" x14ac:dyDescent="0.25">
      <c r="B1276" s="15">
        <f t="shared" si="414"/>
        <v>1</v>
      </c>
      <c r="C1276" s="15">
        <f>B1276+Model!$B$4</f>
        <v>3</v>
      </c>
      <c r="D1276" s="15">
        <f t="shared" si="415"/>
        <v>1</v>
      </c>
      <c r="E1276" s="15">
        <f t="shared" si="421"/>
        <v>3</v>
      </c>
      <c r="F1276" s="16">
        <f>IF(AB1276&gt;0, VLOOKUP(B1276,Model!$A$40:$B$60, 2), 0)</f>
        <v>0</v>
      </c>
      <c r="G1276" s="15">
        <f>IF(AB1276&gt;0, VLOOKUP(B1276,Model!$A$39:$C$58, 3), 0)</f>
        <v>0</v>
      </c>
      <c r="H1276" s="15">
        <f t="shared" si="404"/>
        <v>0</v>
      </c>
      <c r="I1276" s="45">
        <f>Model!$B$21*EXP((-0.029*9.81*F1276)/(8.31*(273+J1276)))</f>
        <v>104500</v>
      </c>
      <c r="J1276" s="15">
        <f>IF(Model!$B$31="Summer",  IF(F1276&lt;=2000,  Model!$B$20-Model!$B$35*F1276/1000,  IF(F1276&lt;Model!$B$36,  Model!$B$33-6.5*F1276/1000,  Model!$B$38)),     IF(F1276&lt;=2000,  Model!$B$20-Model!$B$35*F1276/1000,  IF(F1276&lt;Model!$B$36,  Model!$B$33-5.4*F1276/1000,   Model!$B$38)))</f>
        <v>-20</v>
      </c>
      <c r="K1276" s="15">
        <f t="shared" ref="K1276:K1281" si="422">273+J1276</f>
        <v>253</v>
      </c>
      <c r="L1276" s="45">
        <f>IF(AB1275-AA1275*(B1276-B1275)&gt;0, L1275-Y1275*(B1276-B1275)*3600-AD1276*Model!$B$16, 0)</f>
        <v>0</v>
      </c>
      <c r="M1276" s="56">
        <f t="shared" si="405"/>
        <v>0</v>
      </c>
      <c r="N1276" s="56">
        <f>Model!$B$13*I1276*K1276/(Model!$B$13*I1276-L1276*287*K1276)</f>
        <v>253</v>
      </c>
      <c r="O1276" s="56">
        <f t="shared" si="406"/>
        <v>253</v>
      </c>
      <c r="P1276" s="56">
        <f t="shared" si="407"/>
        <v>-10</v>
      </c>
      <c r="Q1276" s="62">
        <f t="shared" ref="Q1276:Q1281" si="423">(O1276-273)*7.1*0.00001+0.024</f>
        <v>2.2579999999999999E-2</v>
      </c>
      <c r="R1276" s="33">
        <f t="shared" ref="R1276:R1281" si="424">((O1276-273)*0.104+13.6)*0.000001</f>
        <v>1.152E-5</v>
      </c>
      <c r="S1276" s="45">
        <f>0.37*Model!$B$10*(Q1276^2*(N1276-K1276)*I1276/(R1276*O1276^2))^0.33333*(N1276-K1276)</f>
        <v>0</v>
      </c>
      <c r="T1276" s="51">
        <f>Model!$B$32+(90-Model!$B$6)*SIN(RADIANS(-15*(E1276+6)))</f>
        <v>-31.619472402513487</v>
      </c>
      <c r="U1276" s="45">
        <f t="shared" si="408"/>
        <v>0</v>
      </c>
      <c r="V1276" s="50">
        <f t="shared" si="409"/>
        <v>99999</v>
      </c>
      <c r="W1276" s="45">
        <f t="shared" si="410"/>
        <v>0</v>
      </c>
      <c r="X1276" s="45">
        <f>0.3*W1276*Model!$B$9</f>
        <v>0</v>
      </c>
      <c r="Y1276" s="33">
        <f>(S1276-X1276)/Model!$B$11</f>
        <v>0</v>
      </c>
      <c r="Z1276" s="45" t="e">
        <f t="shared" si="411"/>
        <v>#DIV/0!</v>
      </c>
      <c r="AA1276" s="56">
        <f>Y1276/Model!$B$12*3600</f>
        <v>0</v>
      </c>
      <c r="AB1276" s="50">
        <f t="shared" si="416"/>
        <v>0</v>
      </c>
      <c r="AC1276" s="50">
        <f t="shared" ref="AC1276:AC1281" si="425">AC1275+AB1275-AB1276</f>
        <v>1800</v>
      </c>
      <c r="AD1276" s="15">
        <f>IF(AE1276=0, Model!$B$19, 0 )</f>
        <v>0</v>
      </c>
      <c r="AE1276" s="50">
        <f>IF(AE1275+AB1275-AB1276&lt;Model!$B$19*Model!$B$18, AE1275+AB1275-AB1276,  0)</f>
        <v>443.63457370611354</v>
      </c>
      <c r="AF1276" s="15">
        <f t="shared" si="412"/>
        <v>1</v>
      </c>
      <c r="AG1276" s="50">
        <f t="shared" si="413"/>
        <v>0</v>
      </c>
    </row>
    <row r="1277" spans="2:33" x14ac:dyDescent="0.25">
      <c r="B1277" s="13">
        <f t="shared" si="414"/>
        <v>1</v>
      </c>
      <c r="C1277" s="13">
        <f>B1277+Model!$B$4</f>
        <v>3</v>
      </c>
      <c r="D1277" s="13">
        <f t="shared" si="415"/>
        <v>1</v>
      </c>
      <c r="E1277" s="13">
        <f t="shared" si="421"/>
        <v>3</v>
      </c>
      <c r="F1277" s="14">
        <f>IF(AB1277&gt;0, VLOOKUP(B1277,Model!$A$40:$B$60, 2), 0)</f>
        <v>0</v>
      </c>
      <c r="G1277" s="13">
        <f>IF(AB1277&gt;0, VLOOKUP(B1277,Model!$A$39:$C$58, 3), 0)</f>
        <v>0</v>
      </c>
      <c r="H1277" s="13">
        <f t="shared" si="404"/>
        <v>0</v>
      </c>
      <c r="I1277" s="46">
        <f>Model!$B$21*EXP((-0.029*9.81*F1277)/(8.31*(273+J1277)))</f>
        <v>104500</v>
      </c>
      <c r="J1277" s="13">
        <f>IF(Model!$B$31="Summer",  IF(F1277&lt;=2000,  Model!$B$20-Model!$B$35*F1277/1000,  IF(F1277&lt;Model!$B$36,  Model!$B$33-6.5*F1277/1000,  Model!$B$38)),     IF(F1277&lt;=2000,  Model!$B$20-Model!$B$35*F1277/1000,  IF(F1277&lt;Model!$B$36,  Model!$B$33-5.4*F1277/1000,   Model!$B$38)))</f>
        <v>-20</v>
      </c>
      <c r="K1277" s="13">
        <f t="shared" si="422"/>
        <v>253</v>
      </c>
      <c r="L1277" s="46">
        <f>IF(AB1276-AA1276*(B1277-B1276)&gt;0, L1276-Y1276*(B1277-B1276)*3600-AD1277*Model!$B$16, 0)</f>
        <v>0</v>
      </c>
      <c r="M1277" s="57">
        <f t="shared" si="405"/>
        <v>0</v>
      </c>
      <c r="N1277" s="57">
        <f>Model!$B$13*I1277*K1277/(Model!$B$13*I1277-L1277*287*K1277)</f>
        <v>253</v>
      </c>
      <c r="O1277" s="57">
        <f t="shared" si="406"/>
        <v>253</v>
      </c>
      <c r="P1277" s="57">
        <f t="shared" si="407"/>
        <v>-10</v>
      </c>
      <c r="Q1277" s="63">
        <f t="shared" si="423"/>
        <v>2.2579999999999999E-2</v>
      </c>
      <c r="R1277" s="17">
        <f t="shared" si="424"/>
        <v>1.152E-5</v>
      </c>
      <c r="S1277" s="46">
        <f>0.37*Model!$B$10*(Q1277^2*(N1277-K1277)*I1277/(R1277*O1277^2))^0.33333*(N1277-K1277)</f>
        <v>0</v>
      </c>
      <c r="T1277" s="51">
        <f>Model!$B$32+(90-Model!$B$6)*SIN(RADIANS(-15*(E1277+6)))</f>
        <v>-31.619472402513487</v>
      </c>
      <c r="U1277" s="46">
        <f t="shared" si="408"/>
        <v>0</v>
      </c>
      <c r="V1277" s="51">
        <f t="shared" si="409"/>
        <v>99999</v>
      </c>
      <c r="W1277" s="46">
        <f t="shared" si="410"/>
        <v>0</v>
      </c>
      <c r="X1277" s="46">
        <f>0.3*W1277*Model!$B$9</f>
        <v>0</v>
      </c>
      <c r="Y1277" s="17">
        <f>(S1277-X1277)/Model!$B$11</f>
        <v>0</v>
      </c>
      <c r="Z1277" s="46" t="e">
        <f t="shared" si="411"/>
        <v>#DIV/0!</v>
      </c>
      <c r="AA1277" s="57">
        <f>Y1277/Model!$B$12*3600</f>
        <v>0</v>
      </c>
      <c r="AB1277" s="51">
        <f t="shared" si="416"/>
        <v>0</v>
      </c>
      <c r="AC1277" s="51">
        <f t="shared" si="425"/>
        <v>1800</v>
      </c>
      <c r="AD1277" s="13">
        <f>IF(AE1277=0, Model!$B$19, 0 )</f>
        <v>0</v>
      </c>
      <c r="AE1277" s="51">
        <f>IF(AE1276+AB1276-AB1277&lt;Model!$B$19*Model!$B$18, AE1276+AB1276-AB1277,  0)</f>
        <v>443.63457370611354</v>
      </c>
      <c r="AF1277" s="13">
        <f t="shared" si="412"/>
        <v>1</v>
      </c>
      <c r="AG1277" s="50">
        <f t="shared" si="413"/>
        <v>0</v>
      </c>
    </row>
    <row r="1278" spans="2:33" x14ac:dyDescent="0.25">
      <c r="B1278" s="15">
        <f t="shared" si="414"/>
        <v>1</v>
      </c>
      <c r="C1278" s="15">
        <f>B1278+Model!$B$4</f>
        <v>3</v>
      </c>
      <c r="D1278" s="15">
        <f t="shared" si="415"/>
        <v>1</v>
      </c>
      <c r="E1278" s="15">
        <f t="shared" si="421"/>
        <v>3</v>
      </c>
      <c r="F1278" s="16">
        <f>IF(AB1278&gt;0, VLOOKUP(B1278,Model!$A$40:$B$60, 2), 0)</f>
        <v>0</v>
      </c>
      <c r="G1278" s="15">
        <f>IF(AB1278&gt;0, VLOOKUP(B1278,Model!$A$39:$C$58, 3), 0)</f>
        <v>0</v>
      </c>
      <c r="H1278" s="15">
        <f t="shared" si="404"/>
        <v>0</v>
      </c>
      <c r="I1278" s="45">
        <f>Model!$B$21*EXP((-0.029*9.81*F1278)/(8.31*(273+J1278)))</f>
        <v>104500</v>
      </c>
      <c r="J1278" s="15">
        <f>IF(Model!$B$31="Summer",  IF(F1278&lt;=2000,  Model!$B$20-Model!$B$35*F1278/1000,  IF(F1278&lt;Model!$B$36,  Model!$B$33-6.5*F1278/1000,  Model!$B$38)),     IF(F1278&lt;=2000,  Model!$B$20-Model!$B$35*F1278/1000,  IF(F1278&lt;Model!$B$36,  Model!$B$33-5.4*F1278/1000,   Model!$B$38)))</f>
        <v>-20</v>
      </c>
      <c r="K1278" s="15">
        <f t="shared" si="422"/>
        <v>253</v>
      </c>
      <c r="L1278" s="45">
        <f>IF(AB1277-AA1277*(B1278-B1277)&gt;0, L1277-Y1277*(B1278-B1277)*3600-AD1278*Model!$B$16, 0)</f>
        <v>0</v>
      </c>
      <c r="M1278" s="56">
        <f t="shared" si="405"/>
        <v>0</v>
      </c>
      <c r="N1278" s="56">
        <f>Model!$B$13*I1278*K1278/(Model!$B$13*I1278-L1278*287*K1278)</f>
        <v>253</v>
      </c>
      <c r="O1278" s="56">
        <f t="shared" si="406"/>
        <v>253</v>
      </c>
      <c r="P1278" s="56">
        <f t="shared" si="407"/>
        <v>-10</v>
      </c>
      <c r="Q1278" s="62">
        <f t="shared" si="423"/>
        <v>2.2579999999999999E-2</v>
      </c>
      <c r="R1278" s="33">
        <f t="shared" si="424"/>
        <v>1.152E-5</v>
      </c>
      <c r="S1278" s="45">
        <f>0.37*Model!$B$10*(Q1278^2*(N1278-K1278)*I1278/(R1278*O1278^2))^0.33333*(N1278-K1278)</f>
        <v>0</v>
      </c>
      <c r="T1278" s="51">
        <f>Model!$B$32+(90-Model!$B$6)*SIN(RADIANS(-15*(E1278+6)))</f>
        <v>-31.619472402513487</v>
      </c>
      <c r="U1278" s="45">
        <f t="shared" si="408"/>
        <v>0</v>
      </c>
      <c r="V1278" s="50">
        <f t="shared" si="409"/>
        <v>99999</v>
      </c>
      <c r="W1278" s="45">
        <f t="shared" si="410"/>
        <v>0</v>
      </c>
      <c r="X1278" s="45">
        <f>0.3*W1278*Model!$B$9</f>
        <v>0</v>
      </c>
      <c r="Y1278" s="33">
        <f>(S1278-X1278)/Model!$B$11</f>
        <v>0</v>
      </c>
      <c r="Z1278" s="45" t="e">
        <f t="shared" si="411"/>
        <v>#DIV/0!</v>
      </c>
      <c r="AA1278" s="56">
        <f>Y1278/Model!$B$12*3600</f>
        <v>0</v>
      </c>
      <c r="AB1278" s="50">
        <f t="shared" si="416"/>
        <v>0</v>
      </c>
      <c r="AC1278" s="50">
        <f t="shared" si="425"/>
        <v>1800</v>
      </c>
      <c r="AD1278" s="15">
        <f>IF(AE1278=0, Model!$B$19, 0 )</f>
        <v>0</v>
      </c>
      <c r="AE1278" s="50">
        <f>IF(AE1277+AB1277-AB1278&lt;Model!$B$19*Model!$B$18, AE1277+AB1277-AB1278,  0)</f>
        <v>443.63457370611354</v>
      </c>
      <c r="AF1278" s="15">
        <f t="shared" si="412"/>
        <v>1</v>
      </c>
      <c r="AG1278" s="50">
        <f t="shared" si="413"/>
        <v>0</v>
      </c>
    </row>
    <row r="1279" spans="2:33" x14ac:dyDescent="0.25">
      <c r="B1279" s="13">
        <f t="shared" si="414"/>
        <v>1</v>
      </c>
      <c r="C1279" s="13">
        <f>B1279+Model!$B$4</f>
        <v>3</v>
      </c>
      <c r="D1279" s="13">
        <f t="shared" si="415"/>
        <v>1</v>
      </c>
      <c r="E1279" s="13">
        <f t="shared" si="421"/>
        <v>3</v>
      </c>
      <c r="F1279" s="14">
        <f>IF(AB1279&gt;0, VLOOKUP(B1279,Model!$A$40:$B$60, 2), 0)</f>
        <v>0</v>
      </c>
      <c r="G1279" s="13">
        <f>IF(AB1279&gt;0, VLOOKUP(B1279,Model!$A$39:$C$58, 3), 0)</f>
        <v>0</v>
      </c>
      <c r="H1279" s="13">
        <f t="shared" si="404"/>
        <v>0</v>
      </c>
      <c r="I1279" s="46">
        <f>Model!$B$21*EXP((-0.029*9.81*F1279)/(8.31*(273+J1279)))</f>
        <v>104500</v>
      </c>
      <c r="J1279" s="13">
        <f>IF(Model!$B$31="Summer",  IF(F1279&lt;=2000,  Model!$B$20-Model!$B$35*F1279/1000,  IF(F1279&lt;Model!$B$36,  Model!$B$33-6.5*F1279/1000,  Model!$B$38)),     IF(F1279&lt;=2000,  Model!$B$20-Model!$B$35*F1279/1000,  IF(F1279&lt;Model!$B$36,  Model!$B$33-5.4*F1279/1000,   Model!$B$38)))</f>
        <v>-20</v>
      </c>
      <c r="K1279" s="13">
        <f t="shared" si="422"/>
        <v>253</v>
      </c>
      <c r="L1279" s="46">
        <f>IF(AB1278-AA1278*(B1279-B1278)&gt;0, L1278-Y1278*(B1279-B1278)*3600-AD1279*Model!$B$16, 0)</f>
        <v>0</v>
      </c>
      <c r="M1279" s="57">
        <f t="shared" si="405"/>
        <v>0</v>
      </c>
      <c r="N1279" s="57">
        <f>Model!$B$13*I1279*K1279/(Model!$B$13*I1279-L1279*287*K1279)</f>
        <v>253</v>
      </c>
      <c r="O1279" s="57">
        <f t="shared" si="406"/>
        <v>253</v>
      </c>
      <c r="P1279" s="57">
        <f t="shared" si="407"/>
        <v>-10</v>
      </c>
      <c r="Q1279" s="63">
        <f t="shared" si="423"/>
        <v>2.2579999999999999E-2</v>
      </c>
      <c r="R1279" s="17">
        <f t="shared" si="424"/>
        <v>1.152E-5</v>
      </c>
      <c r="S1279" s="46">
        <f>0.37*Model!$B$10*(Q1279^2*(N1279-K1279)*I1279/(R1279*O1279^2))^0.33333*(N1279-K1279)</f>
        <v>0</v>
      </c>
      <c r="T1279" s="51">
        <f>Model!$B$32+(90-Model!$B$6)*SIN(RADIANS(-15*(E1279+6)))</f>
        <v>-31.619472402513487</v>
      </c>
      <c r="U1279" s="46">
        <f t="shared" si="408"/>
        <v>0</v>
      </c>
      <c r="V1279" s="51">
        <f t="shared" si="409"/>
        <v>99999</v>
      </c>
      <c r="W1279" s="46">
        <f t="shared" si="410"/>
        <v>0</v>
      </c>
      <c r="X1279" s="46">
        <f>0.3*W1279*Model!$B$9</f>
        <v>0</v>
      </c>
      <c r="Y1279" s="17">
        <f>(S1279-X1279)/Model!$B$11</f>
        <v>0</v>
      </c>
      <c r="Z1279" s="46" t="e">
        <f t="shared" si="411"/>
        <v>#DIV/0!</v>
      </c>
      <c r="AA1279" s="57">
        <f>Y1279/Model!$B$12*3600</f>
        <v>0</v>
      </c>
      <c r="AB1279" s="51">
        <f t="shared" si="416"/>
        <v>0</v>
      </c>
      <c r="AC1279" s="51">
        <f t="shared" si="425"/>
        <v>1800</v>
      </c>
      <c r="AD1279" s="13">
        <f>IF(AE1279=0, Model!$B$19, 0 )</f>
        <v>0</v>
      </c>
      <c r="AE1279" s="51">
        <f>IF(AE1278+AB1278-AB1279&lt;Model!$B$19*Model!$B$18, AE1278+AB1278-AB1279,  0)</f>
        <v>443.63457370611354</v>
      </c>
      <c r="AF1279" s="13">
        <f t="shared" si="412"/>
        <v>1</v>
      </c>
      <c r="AG1279" s="50">
        <f t="shared" si="413"/>
        <v>0</v>
      </c>
    </row>
    <row r="1280" spans="2:33" x14ac:dyDescent="0.25">
      <c r="B1280" s="15">
        <f t="shared" si="414"/>
        <v>1</v>
      </c>
      <c r="C1280" s="15">
        <f>B1280+Model!$B$4</f>
        <v>3</v>
      </c>
      <c r="D1280" s="15">
        <f t="shared" si="415"/>
        <v>1</v>
      </c>
      <c r="E1280" s="15">
        <f t="shared" si="421"/>
        <v>3</v>
      </c>
      <c r="F1280" s="16">
        <f>IF(AB1280&gt;0, VLOOKUP(B1280,Model!$A$40:$B$60, 2), 0)</f>
        <v>0</v>
      </c>
      <c r="G1280" s="15">
        <f>IF(AB1280&gt;0, VLOOKUP(B1280,Model!$A$39:$C$58, 3), 0)</f>
        <v>0</v>
      </c>
      <c r="H1280" s="15">
        <f t="shared" si="404"/>
        <v>0</v>
      </c>
      <c r="I1280" s="45">
        <f>Model!$B$21*EXP((-0.029*9.81*F1280)/(8.31*(273+J1280)))</f>
        <v>104500</v>
      </c>
      <c r="J1280" s="15">
        <f>IF(Model!$B$31="Summer",  IF(F1280&lt;=2000,  Model!$B$20-Model!$B$35*F1280/1000,  IF(F1280&lt;Model!$B$36,  Model!$B$33-6.5*F1280/1000,  Model!$B$38)),     IF(F1280&lt;=2000,  Model!$B$20-Model!$B$35*F1280/1000,  IF(F1280&lt;Model!$B$36,  Model!$B$33-5.4*F1280/1000,   Model!$B$38)))</f>
        <v>-20</v>
      </c>
      <c r="K1280" s="15">
        <f t="shared" si="422"/>
        <v>253</v>
      </c>
      <c r="L1280" s="45">
        <f>IF(AB1279-AA1279*(B1280-B1279)&gt;0, L1279-Y1279*(B1280-B1279)*3600-AD1280*Model!$B$16, 0)</f>
        <v>0</v>
      </c>
      <c r="M1280" s="56">
        <f t="shared" si="405"/>
        <v>0</v>
      </c>
      <c r="N1280" s="56">
        <f>Model!$B$13*I1280*K1280/(Model!$B$13*I1280-L1280*287*K1280)</f>
        <v>253</v>
      </c>
      <c r="O1280" s="56">
        <f t="shared" si="406"/>
        <v>253</v>
      </c>
      <c r="P1280" s="56">
        <f t="shared" si="407"/>
        <v>-10</v>
      </c>
      <c r="Q1280" s="62">
        <f t="shared" si="423"/>
        <v>2.2579999999999999E-2</v>
      </c>
      <c r="R1280" s="33">
        <f t="shared" si="424"/>
        <v>1.152E-5</v>
      </c>
      <c r="S1280" s="45">
        <f>0.37*Model!$B$10*(Q1280^2*(N1280-K1280)*I1280/(R1280*O1280^2))^0.33333*(N1280-K1280)</f>
        <v>0</v>
      </c>
      <c r="T1280" s="51">
        <f>Model!$B$32+(90-Model!$B$6)*SIN(RADIANS(-15*(E1280+6)))</f>
        <v>-31.619472402513487</v>
      </c>
      <c r="U1280" s="45">
        <f t="shared" si="408"/>
        <v>0</v>
      </c>
      <c r="V1280" s="50">
        <f t="shared" si="409"/>
        <v>99999</v>
      </c>
      <c r="W1280" s="45">
        <f t="shared" si="410"/>
        <v>0</v>
      </c>
      <c r="X1280" s="45">
        <f>0.3*W1280*Model!$B$9</f>
        <v>0</v>
      </c>
      <c r="Y1280" s="33">
        <f>(S1280-X1280)/Model!$B$11</f>
        <v>0</v>
      </c>
      <c r="Z1280" s="45" t="e">
        <f t="shared" si="411"/>
        <v>#DIV/0!</v>
      </c>
      <c r="AA1280" s="56">
        <f>Y1280/Model!$B$12*3600</f>
        <v>0</v>
      </c>
      <c r="AB1280" s="50">
        <f t="shared" si="416"/>
        <v>0</v>
      </c>
      <c r="AC1280" s="50">
        <f t="shared" si="425"/>
        <v>1800</v>
      </c>
      <c r="AD1280" s="15">
        <f>IF(AE1280=0, Model!$B$19, 0 )</f>
        <v>0</v>
      </c>
      <c r="AE1280" s="50">
        <f>IF(AE1279+AB1279-AB1280&lt;Model!$B$19*Model!$B$18, AE1279+AB1279-AB1280,  0)</f>
        <v>443.63457370611354</v>
      </c>
      <c r="AF1280" s="15">
        <f t="shared" si="412"/>
        <v>1</v>
      </c>
      <c r="AG1280" s="50">
        <f t="shared" si="413"/>
        <v>0</v>
      </c>
    </row>
    <row r="1281" spans="2:33" x14ac:dyDescent="0.25">
      <c r="B1281" s="13">
        <f t="shared" si="414"/>
        <v>1</v>
      </c>
      <c r="C1281" s="13">
        <f>B1281+Model!$B$4</f>
        <v>3</v>
      </c>
      <c r="D1281" s="13">
        <f t="shared" si="415"/>
        <v>1</v>
      </c>
      <c r="E1281" s="13">
        <f t="shared" si="421"/>
        <v>3</v>
      </c>
      <c r="F1281" s="14">
        <f>IF(AB1281&gt;0, VLOOKUP(B1281,Model!$A$40:$B$60, 2), 0)</f>
        <v>0</v>
      </c>
      <c r="G1281" s="13">
        <f>IF(AB1281&gt;0, VLOOKUP(B1281,Model!$A$39:$C$58, 3), 0)</f>
        <v>0</v>
      </c>
      <c r="H1281" s="13">
        <f t="shared" si="404"/>
        <v>0</v>
      </c>
      <c r="I1281" s="46">
        <f>Model!$B$21*EXP((-0.029*9.81*F1281)/(8.31*(273+J1281)))</f>
        <v>104500</v>
      </c>
      <c r="J1281" s="13">
        <f>IF(Model!$B$31="Summer",  IF(F1281&lt;=2000,  Model!$B$20-Model!$B$35*F1281/1000,  IF(F1281&lt;Model!$B$36,  Model!$B$33-6.5*F1281/1000,  Model!$B$38)),     IF(F1281&lt;=2000,  Model!$B$20-Model!$B$35*F1281/1000,  IF(F1281&lt;Model!$B$36,  Model!$B$33-5.4*F1281/1000,   Model!$B$38)))</f>
        <v>-20</v>
      </c>
      <c r="K1281" s="13">
        <f t="shared" si="422"/>
        <v>253</v>
      </c>
      <c r="L1281" s="46">
        <f>IF(AB1280-AA1280*(B1281-B1280)&gt;0, L1280-Y1280*(B1281-B1280)*3600-AD1281*Model!$B$16, 0)</f>
        <v>0</v>
      </c>
      <c r="M1281" s="57">
        <f t="shared" si="405"/>
        <v>0</v>
      </c>
      <c r="N1281" s="57">
        <f>Model!$B$13*I1281*K1281/(Model!$B$13*I1281-L1281*287*K1281)</f>
        <v>253</v>
      </c>
      <c r="O1281" s="57">
        <f t="shared" si="406"/>
        <v>253</v>
      </c>
      <c r="P1281" s="57">
        <f t="shared" si="407"/>
        <v>-10</v>
      </c>
      <c r="Q1281" s="63">
        <f t="shared" si="423"/>
        <v>2.2579999999999999E-2</v>
      </c>
      <c r="R1281" s="17">
        <f t="shared" si="424"/>
        <v>1.152E-5</v>
      </c>
      <c r="S1281" s="46">
        <f>0.37*Model!$B$10*(Q1281^2*(N1281-K1281)*I1281/(R1281*O1281^2))^0.33333*(N1281-K1281)</f>
        <v>0</v>
      </c>
      <c r="T1281" s="51">
        <f>Model!$B$32+(90-Model!$B$6)*SIN(RADIANS(-15*(E1281+6)))</f>
        <v>-31.619472402513487</v>
      </c>
      <c r="U1281" s="46">
        <f t="shared" si="408"/>
        <v>0</v>
      </c>
      <c r="V1281" s="51">
        <f t="shared" si="409"/>
        <v>99999</v>
      </c>
      <c r="W1281" s="46">
        <f t="shared" si="410"/>
        <v>0</v>
      </c>
      <c r="X1281" s="46">
        <f>0.3*W1281*Model!$B$9</f>
        <v>0</v>
      </c>
      <c r="Y1281" s="17">
        <f>(S1281-X1281)/Model!$B$11</f>
        <v>0</v>
      </c>
      <c r="Z1281" s="46" t="e">
        <f t="shared" si="411"/>
        <v>#DIV/0!</v>
      </c>
      <c r="AA1281" s="57">
        <f>Y1281/Model!$B$12*3600</f>
        <v>0</v>
      </c>
      <c r="AB1281" s="51">
        <f t="shared" si="416"/>
        <v>0</v>
      </c>
      <c r="AC1281" s="51">
        <f t="shared" si="425"/>
        <v>1800</v>
      </c>
      <c r="AD1281" s="13">
        <f>IF(AE1281=0, Model!$B$19, 0 )</f>
        <v>0</v>
      </c>
      <c r="AE1281" s="51">
        <f>IF(AE1280+AB1280-AB1281&lt;Model!$B$19*Model!$B$18, AE1280+AB1280-AB1281,  0)</f>
        <v>443.63457370611354</v>
      </c>
      <c r="AF1281" s="13">
        <f t="shared" si="412"/>
        <v>1</v>
      </c>
      <c r="AG1281" s="50">
        <f t="shared" si="413"/>
        <v>0</v>
      </c>
    </row>
    <row r="1282" spans="2:33" x14ac:dyDescent="0.25">
      <c r="B1282" s="15">
        <f t="shared" si="414"/>
        <v>1</v>
      </c>
      <c r="C1282" s="15">
        <f>B1282+Model!$B$4</f>
        <v>3</v>
      </c>
      <c r="D1282" s="15">
        <f t="shared" si="415"/>
        <v>1</v>
      </c>
      <c r="E1282" s="15">
        <f t="shared" si="421"/>
        <v>3</v>
      </c>
      <c r="F1282" s="16">
        <f>IF(AB1282&gt;0, VLOOKUP(B1282,Model!$A$40:$B$60, 2), 0)</f>
        <v>0</v>
      </c>
      <c r="G1282" s="15">
        <f>IF(AB1282&gt;0, VLOOKUP(B1282,Model!$A$39:$C$58, 3), 0)</f>
        <v>0</v>
      </c>
      <c r="H1282" s="15">
        <f t="shared" ref="H1282:H1302" si="426">IF(B1282=1, 0, G1282*97)</f>
        <v>0</v>
      </c>
      <c r="I1282" s="45">
        <f>Model!$B$21*EXP((-0.029*9.81*F1282)/(8.31*(273+J1282)))</f>
        <v>104500</v>
      </c>
      <c r="J1282" s="15">
        <f>IF(Model!$B$31="Summer",  IF(F1282&lt;=2000,  Model!$B$20-Model!$B$35*F1282/1000,  IF(F1282&lt;Model!$B$36,  Model!$B$33-6.5*F1282/1000,  Model!$B$38)),     IF(F1282&lt;=2000,  Model!$B$20-Model!$B$35*F1282/1000,  IF(F1282&lt;Model!$B$36,  Model!$B$33-5.4*F1282/1000,   Model!$B$38)))</f>
        <v>-20</v>
      </c>
      <c r="K1282" s="15">
        <f t="shared" ref="K1282:K1302" si="427">273+J1282</f>
        <v>253</v>
      </c>
      <c r="L1282" s="45">
        <f>IF(AB1281-AA1281*(B1282-B1281)&gt;0, L1281-Y1281*(B1282-B1281)*3600-AD1282*Model!$B$16, 0)</f>
        <v>0</v>
      </c>
      <c r="M1282" s="56">
        <f t="shared" ref="M1282:M1345" si="428">IF(AB1282=0, 0, N1282-273)</f>
        <v>0</v>
      </c>
      <c r="N1282" s="56">
        <f>Model!$B$13*I1282*K1282/(Model!$B$13*I1282-L1282*287*K1282)</f>
        <v>253</v>
      </c>
      <c r="O1282" s="56">
        <f t="shared" ref="O1282:O1345" si="429">(K1282+N1282)/2</f>
        <v>253</v>
      </c>
      <c r="P1282" s="56">
        <f t="shared" ref="P1282:P1302" si="430">(J1282+M1282)/2+W1281/150</f>
        <v>-10</v>
      </c>
      <c r="Q1282" s="62">
        <f t="shared" ref="Q1282:Q1302" si="431">(O1282-273)*7.1*0.00001+0.024</f>
        <v>2.2579999999999999E-2</v>
      </c>
      <c r="R1282" s="33">
        <f t="shared" ref="R1282:R1302" si="432">((O1282-273)*0.104+13.6)*0.000001</f>
        <v>1.152E-5</v>
      </c>
      <c r="S1282" s="45">
        <f>0.37*Model!$B$10*(Q1282^2*(N1282-K1282)*I1282/(R1282*O1282^2))^0.33333*(N1282-K1282)</f>
        <v>0</v>
      </c>
      <c r="T1282" s="51">
        <f>Model!$B$32+(90-Model!$B$6)*SIN(RADIANS(-15*(E1282+6)))</f>
        <v>-31.619472402513487</v>
      </c>
      <c r="U1282" s="45">
        <f t="shared" ref="U1282:U1302" si="433">IF(OR(T1282&lt;0, AB1282=0),  0, T1282)</f>
        <v>0</v>
      </c>
      <c r="V1282" s="50">
        <f t="shared" ref="V1282:V1302" si="434">IF(T1282&lt;0,99999,1/SIN(RADIANS(T1282)))</f>
        <v>99999</v>
      </c>
      <c r="W1282" s="45">
        <f t="shared" ref="W1282:W1345" si="435">IF(G1282=0,0, 1353*((1+F1282/7100)*0.7^V1282^0.678)+F1282/7100)</f>
        <v>0</v>
      </c>
      <c r="X1282" s="45">
        <f>0.3*W1282*Model!$B$9</f>
        <v>0</v>
      </c>
      <c r="Y1282" s="33">
        <f>(S1282-X1282)/Model!$B$11</f>
        <v>0</v>
      </c>
      <c r="Z1282" s="45" t="e">
        <f t="shared" ref="Z1282:Z1302" si="436">100*X1282/S1282</f>
        <v>#DIV/0!</v>
      </c>
      <c r="AA1282" s="56">
        <f>Y1282/Model!$B$12*3600</f>
        <v>0</v>
      </c>
      <c r="AB1282" s="50">
        <f t="shared" si="416"/>
        <v>0</v>
      </c>
      <c r="AC1282" s="50">
        <f t="shared" ref="AC1282:AC1302" si="437">AC1281+AB1281-AB1282</f>
        <v>1800</v>
      </c>
      <c r="AD1282" s="15">
        <f>IF(AE1282=0, Model!$B$19, 0 )</f>
        <v>0</v>
      </c>
      <c r="AE1282" s="50">
        <f>IF(AE1281+AB1281-AB1282&lt;Model!$B$19*Model!$B$18, AE1281+AB1281-AB1282,  0)</f>
        <v>443.63457370611354</v>
      </c>
      <c r="AF1282" s="15">
        <f t="shared" ref="AF1282:AF1302" si="438">B1282</f>
        <v>1</v>
      </c>
      <c r="AG1282" s="50">
        <f t="shared" ref="AG1282:AG1302" si="439">IF(OR(P1282&gt;0, AB1282&lt;=0),0, IF(P1282&lt;-2,0.99,ABS(P1282/2)))</f>
        <v>0</v>
      </c>
    </row>
    <row r="1283" spans="2:33" x14ac:dyDescent="0.25">
      <c r="B1283" s="13">
        <f t="shared" ref="B1283:B1302" si="440">IF(AB1282&gt;0, B1282+0.05, 1)</f>
        <v>1</v>
      </c>
      <c r="C1283" s="13">
        <f>B1283+Model!$B$4</f>
        <v>3</v>
      </c>
      <c r="D1283" s="13">
        <f t="shared" ref="D1283:D1302" si="441">INT(C1283/24+1)</f>
        <v>1</v>
      </c>
      <c r="E1283" s="13">
        <f t="shared" si="421"/>
        <v>3</v>
      </c>
      <c r="F1283" s="14">
        <f>IF(AB1283&gt;0, VLOOKUP(B1283,Model!$A$40:$B$60, 2), 0)</f>
        <v>0</v>
      </c>
      <c r="G1283" s="13">
        <f>IF(AB1283&gt;0, VLOOKUP(B1283,Model!$A$39:$C$58, 3), 0)</f>
        <v>0</v>
      </c>
      <c r="H1283" s="13">
        <f t="shared" si="426"/>
        <v>0</v>
      </c>
      <c r="I1283" s="46">
        <f>Model!$B$21*EXP((-0.029*9.81*F1283)/(8.31*(273+J1283)))</f>
        <v>104500</v>
      </c>
      <c r="J1283" s="13">
        <f>IF(Model!$B$31="Summer",  IF(F1283&lt;=2000,  Model!$B$20-Model!$B$35*F1283/1000,  IF(F1283&lt;Model!$B$36,  Model!$B$33-6.5*F1283/1000,  Model!$B$38)),     IF(F1283&lt;=2000,  Model!$B$20-Model!$B$35*F1283/1000,  IF(F1283&lt;Model!$B$36,  Model!$B$33-5.4*F1283/1000,   Model!$B$38)))</f>
        <v>-20</v>
      </c>
      <c r="K1283" s="13">
        <f t="shared" si="427"/>
        <v>253</v>
      </c>
      <c r="L1283" s="46">
        <f>IF(AB1282-AA1282*(B1283-B1282)&gt;0, L1282-Y1282*(B1283-B1282)*3600-AD1283*Model!$B$16, 0)</f>
        <v>0</v>
      </c>
      <c r="M1283" s="57">
        <f t="shared" si="428"/>
        <v>0</v>
      </c>
      <c r="N1283" s="57">
        <f>Model!$B$13*I1283*K1283/(Model!$B$13*I1283-L1283*287*K1283)</f>
        <v>253</v>
      </c>
      <c r="O1283" s="57">
        <f t="shared" si="429"/>
        <v>253</v>
      </c>
      <c r="P1283" s="57">
        <f t="shared" si="430"/>
        <v>-10</v>
      </c>
      <c r="Q1283" s="63">
        <f t="shared" si="431"/>
        <v>2.2579999999999999E-2</v>
      </c>
      <c r="R1283" s="17">
        <f t="shared" si="432"/>
        <v>1.152E-5</v>
      </c>
      <c r="S1283" s="46">
        <f>0.37*Model!$B$10*(Q1283^2*(N1283-K1283)*I1283/(R1283*O1283^2))^0.33333*(N1283-K1283)</f>
        <v>0</v>
      </c>
      <c r="T1283" s="51">
        <f>Model!$B$32+(90-Model!$B$6)*SIN(RADIANS(-15*(E1283+6)))</f>
        <v>-31.619472402513487</v>
      </c>
      <c r="U1283" s="46">
        <f t="shared" si="433"/>
        <v>0</v>
      </c>
      <c r="V1283" s="51">
        <f t="shared" si="434"/>
        <v>99999</v>
      </c>
      <c r="W1283" s="46">
        <f t="shared" si="435"/>
        <v>0</v>
      </c>
      <c r="X1283" s="46">
        <f>0.3*W1283*Model!$B$9</f>
        <v>0</v>
      </c>
      <c r="Y1283" s="17">
        <f>(S1283-X1283)/Model!$B$11</f>
        <v>0</v>
      </c>
      <c r="Z1283" s="46" t="e">
        <f t="shared" si="436"/>
        <v>#DIV/0!</v>
      </c>
      <c r="AA1283" s="57">
        <f>Y1283/Model!$B$12*3600</f>
        <v>0</v>
      </c>
      <c r="AB1283" s="51">
        <f t="shared" ref="AB1283:AB1302" si="442">IF(AB1282-AA1282*(B1283-B1282)&gt;0, AB1282-AA1282*(B1283-B1282), 0)</f>
        <v>0</v>
      </c>
      <c r="AC1283" s="51">
        <f t="shared" si="437"/>
        <v>1800</v>
      </c>
      <c r="AD1283" s="13">
        <f>IF(AE1283=0, Model!$B$19, 0 )</f>
        <v>0</v>
      </c>
      <c r="AE1283" s="51">
        <f>IF(AE1282+AB1282-AB1283&lt;Model!$B$19*Model!$B$18, AE1282+AB1282-AB1283,  0)</f>
        <v>443.63457370611354</v>
      </c>
      <c r="AF1283" s="13">
        <f t="shared" si="438"/>
        <v>1</v>
      </c>
      <c r="AG1283" s="50">
        <f t="shared" si="439"/>
        <v>0</v>
      </c>
    </row>
    <row r="1284" spans="2:33" x14ac:dyDescent="0.25">
      <c r="B1284" s="15">
        <f t="shared" si="440"/>
        <v>1</v>
      </c>
      <c r="C1284" s="15">
        <f>B1284+Model!$B$4</f>
        <v>3</v>
      </c>
      <c r="D1284" s="15">
        <f t="shared" si="441"/>
        <v>1</v>
      </c>
      <c r="E1284" s="15">
        <f t="shared" si="421"/>
        <v>3</v>
      </c>
      <c r="F1284" s="16">
        <f>IF(AB1284&gt;0, VLOOKUP(B1284,Model!$A$40:$B$60, 2), 0)</f>
        <v>0</v>
      </c>
      <c r="G1284" s="15">
        <f>IF(AB1284&gt;0, VLOOKUP(B1284,Model!$A$39:$C$58, 3), 0)</f>
        <v>0</v>
      </c>
      <c r="H1284" s="15">
        <f t="shared" si="426"/>
        <v>0</v>
      </c>
      <c r="I1284" s="45">
        <f>Model!$B$21*EXP((-0.029*9.81*F1284)/(8.31*(273+J1284)))</f>
        <v>104500</v>
      </c>
      <c r="J1284" s="15">
        <f>IF(Model!$B$31="Summer",  IF(F1284&lt;=2000,  Model!$B$20-Model!$B$35*F1284/1000,  IF(F1284&lt;Model!$B$36,  Model!$B$33-6.5*F1284/1000,  Model!$B$38)),     IF(F1284&lt;=2000,  Model!$B$20-Model!$B$35*F1284/1000,  IF(F1284&lt;Model!$B$36,  Model!$B$33-5.4*F1284/1000,   Model!$B$38)))</f>
        <v>-20</v>
      </c>
      <c r="K1284" s="15">
        <f t="shared" si="427"/>
        <v>253</v>
      </c>
      <c r="L1284" s="45">
        <f>IF(AB1283-AA1283*(B1284-B1283)&gt;0, L1283-Y1283*(B1284-B1283)*3600-AD1284*Model!$B$16, 0)</f>
        <v>0</v>
      </c>
      <c r="M1284" s="56">
        <f t="shared" si="428"/>
        <v>0</v>
      </c>
      <c r="N1284" s="56">
        <f>Model!$B$13*I1284*K1284/(Model!$B$13*I1284-L1284*287*K1284)</f>
        <v>253</v>
      </c>
      <c r="O1284" s="56">
        <f t="shared" si="429"/>
        <v>253</v>
      </c>
      <c r="P1284" s="56">
        <f t="shared" si="430"/>
        <v>-10</v>
      </c>
      <c r="Q1284" s="62">
        <f t="shared" si="431"/>
        <v>2.2579999999999999E-2</v>
      </c>
      <c r="R1284" s="33">
        <f t="shared" si="432"/>
        <v>1.152E-5</v>
      </c>
      <c r="S1284" s="45">
        <f>0.37*Model!$B$10*(Q1284^2*(N1284-K1284)*I1284/(R1284*O1284^2))^0.33333*(N1284-K1284)</f>
        <v>0</v>
      </c>
      <c r="T1284" s="51">
        <f>Model!$B$32+(90-Model!$B$6)*SIN(RADIANS(-15*(E1284+6)))</f>
        <v>-31.619472402513487</v>
      </c>
      <c r="U1284" s="45">
        <f t="shared" si="433"/>
        <v>0</v>
      </c>
      <c r="V1284" s="50">
        <f t="shared" si="434"/>
        <v>99999</v>
      </c>
      <c r="W1284" s="45">
        <f t="shared" si="435"/>
        <v>0</v>
      </c>
      <c r="X1284" s="45">
        <f>0.3*W1284*Model!$B$9</f>
        <v>0</v>
      </c>
      <c r="Y1284" s="33">
        <f>(S1284-X1284)/Model!$B$11</f>
        <v>0</v>
      </c>
      <c r="Z1284" s="45" t="e">
        <f t="shared" si="436"/>
        <v>#DIV/0!</v>
      </c>
      <c r="AA1284" s="56">
        <f>Y1284/Model!$B$12*3600</f>
        <v>0</v>
      </c>
      <c r="AB1284" s="50">
        <f t="shared" si="442"/>
        <v>0</v>
      </c>
      <c r="AC1284" s="50">
        <f t="shared" si="437"/>
        <v>1800</v>
      </c>
      <c r="AD1284" s="15">
        <f>IF(AE1284=0, Model!$B$19, 0 )</f>
        <v>0</v>
      </c>
      <c r="AE1284" s="50">
        <f>IF(AE1283+AB1283-AB1284&lt;Model!$B$19*Model!$B$18, AE1283+AB1283-AB1284,  0)</f>
        <v>443.63457370611354</v>
      </c>
      <c r="AF1284" s="15">
        <f t="shared" si="438"/>
        <v>1</v>
      </c>
      <c r="AG1284" s="50">
        <f t="shared" si="439"/>
        <v>0</v>
      </c>
    </row>
    <row r="1285" spans="2:33" x14ac:dyDescent="0.25">
      <c r="B1285" s="13">
        <f t="shared" si="440"/>
        <v>1</v>
      </c>
      <c r="C1285" s="13">
        <f>B1285+Model!$B$4</f>
        <v>3</v>
      </c>
      <c r="D1285" s="13">
        <f t="shared" si="441"/>
        <v>1</v>
      </c>
      <c r="E1285" s="13">
        <f t="shared" si="421"/>
        <v>3</v>
      </c>
      <c r="F1285" s="14">
        <f>IF(AB1285&gt;0, VLOOKUP(B1285,Model!$A$40:$B$60, 2), 0)</f>
        <v>0</v>
      </c>
      <c r="G1285" s="13">
        <f>IF(AB1285&gt;0, VLOOKUP(B1285,Model!$A$39:$C$58, 3), 0)</f>
        <v>0</v>
      </c>
      <c r="H1285" s="13">
        <f t="shared" si="426"/>
        <v>0</v>
      </c>
      <c r="I1285" s="46">
        <f>Model!$B$21*EXP((-0.029*9.81*F1285)/(8.31*(273+J1285)))</f>
        <v>104500</v>
      </c>
      <c r="J1285" s="13">
        <f>IF(Model!$B$31="Summer",  IF(F1285&lt;=2000,  Model!$B$20-Model!$B$35*F1285/1000,  IF(F1285&lt;Model!$B$36,  Model!$B$33-6.5*F1285/1000,  Model!$B$38)),     IF(F1285&lt;=2000,  Model!$B$20-Model!$B$35*F1285/1000,  IF(F1285&lt;Model!$B$36,  Model!$B$33-5.4*F1285/1000,   Model!$B$38)))</f>
        <v>-20</v>
      </c>
      <c r="K1285" s="13">
        <f t="shared" si="427"/>
        <v>253</v>
      </c>
      <c r="L1285" s="46">
        <f>IF(AB1284-AA1284*(B1285-B1284)&gt;0, L1284-Y1284*(B1285-B1284)*3600-AD1285*Model!$B$16, 0)</f>
        <v>0</v>
      </c>
      <c r="M1285" s="57">
        <f t="shared" si="428"/>
        <v>0</v>
      </c>
      <c r="N1285" s="57">
        <f>Model!$B$13*I1285*K1285/(Model!$B$13*I1285-L1285*287*K1285)</f>
        <v>253</v>
      </c>
      <c r="O1285" s="57">
        <f t="shared" si="429"/>
        <v>253</v>
      </c>
      <c r="P1285" s="57">
        <f t="shared" si="430"/>
        <v>-10</v>
      </c>
      <c r="Q1285" s="63">
        <f t="shared" si="431"/>
        <v>2.2579999999999999E-2</v>
      </c>
      <c r="R1285" s="17">
        <f t="shared" si="432"/>
        <v>1.152E-5</v>
      </c>
      <c r="S1285" s="46">
        <f>0.37*Model!$B$10*(Q1285^2*(N1285-K1285)*I1285/(R1285*O1285^2))^0.33333*(N1285-K1285)</f>
        <v>0</v>
      </c>
      <c r="T1285" s="51">
        <f>Model!$B$32+(90-Model!$B$6)*SIN(RADIANS(-15*(E1285+6)))</f>
        <v>-31.619472402513487</v>
      </c>
      <c r="U1285" s="46">
        <f t="shared" si="433"/>
        <v>0</v>
      </c>
      <c r="V1285" s="51">
        <f t="shared" si="434"/>
        <v>99999</v>
      </c>
      <c r="W1285" s="46">
        <f t="shared" si="435"/>
        <v>0</v>
      </c>
      <c r="X1285" s="46">
        <f>0.3*W1285*Model!$B$9</f>
        <v>0</v>
      </c>
      <c r="Y1285" s="17">
        <f>(S1285-X1285)/Model!$B$11</f>
        <v>0</v>
      </c>
      <c r="Z1285" s="46" t="e">
        <f t="shared" si="436"/>
        <v>#DIV/0!</v>
      </c>
      <c r="AA1285" s="57">
        <f>Y1285/Model!$B$12*3600</f>
        <v>0</v>
      </c>
      <c r="AB1285" s="51">
        <f t="shared" si="442"/>
        <v>0</v>
      </c>
      <c r="AC1285" s="51">
        <f t="shared" si="437"/>
        <v>1800</v>
      </c>
      <c r="AD1285" s="13">
        <f>IF(AE1285=0, Model!$B$19, 0 )</f>
        <v>0</v>
      </c>
      <c r="AE1285" s="51">
        <f>IF(AE1284+AB1284-AB1285&lt;Model!$B$19*Model!$B$18, AE1284+AB1284-AB1285,  0)</f>
        <v>443.63457370611354</v>
      </c>
      <c r="AF1285" s="13">
        <f t="shared" si="438"/>
        <v>1</v>
      </c>
      <c r="AG1285" s="50">
        <f t="shared" si="439"/>
        <v>0</v>
      </c>
    </row>
    <row r="1286" spans="2:33" x14ac:dyDescent="0.25">
      <c r="B1286" s="15">
        <f t="shared" si="440"/>
        <v>1</v>
      </c>
      <c r="C1286" s="15">
        <f>B1286+Model!$B$4</f>
        <v>3</v>
      </c>
      <c r="D1286" s="15">
        <f t="shared" si="441"/>
        <v>1</v>
      </c>
      <c r="E1286" s="15">
        <f t="shared" si="421"/>
        <v>3</v>
      </c>
      <c r="F1286" s="16">
        <f>IF(AB1286&gt;0, VLOOKUP(B1286,Model!$A$40:$B$60, 2), 0)</f>
        <v>0</v>
      </c>
      <c r="G1286" s="15">
        <f>IF(AB1286&gt;0, VLOOKUP(B1286,Model!$A$39:$C$58, 3), 0)</f>
        <v>0</v>
      </c>
      <c r="H1286" s="15">
        <f t="shared" si="426"/>
        <v>0</v>
      </c>
      <c r="I1286" s="45">
        <f>Model!$B$21*EXP((-0.029*9.81*F1286)/(8.31*(273+J1286)))</f>
        <v>104500</v>
      </c>
      <c r="J1286" s="15">
        <f>IF(Model!$B$31="Summer",  IF(F1286&lt;=2000,  Model!$B$20-Model!$B$35*F1286/1000,  IF(F1286&lt;Model!$B$36,  Model!$B$33-6.5*F1286/1000,  Model!$B$38)),     IF(F1286&lt;=2000,  Model!$B$20-Model!$B$35*F1286/1000,  IF(F1286&lt;Model!$B$36,  Model!$B$33-5.4*F1286/1000,   Model!$B$38)))</f>
        <v>-20</v>
      </c>
      <c r="K1286" s="15">
        <f t="shared" si="427"/>
        <v>253</v>
      </c>
      <c r="L1286" s="45">
        <f>IF(AB1285-AA1285*(B1286-B1285)&gt;0, L1285-Y1285*(B1286-B1285)*3600-AD1286*Model!$B$16, 0)</f>
        <v>0</v>
      </c>
      <c r="M1286" s="56">
        <f t="shared" si="428"/>
        <v>0</v>
      </c>
      <c r="N1286" s="56">
        <f>Model!$B$13*I1286*K1286/(Model!$B$13*I1286-L1286*287*K1286)</f>
        <v>253</v>
      </c>
      <c r="O1286" s="56">
        <f t="shared" si="429"/>
        <v>253</v>
      </c>
      <c r="P1286" s="56">
        <f t="shared" si="430"/>
        <v>-10</v>
      </c>
      <c r="Q1286" s="62">
        <f t="shared" si="431"/>
        <v>2.2579999999999999E-2</v>
      </c>
      <c r="R1286" s="33">
        <f t="shared" si="432"/>
        <v>1.152E-5</v>
      </c>
      <c r="S1286" s="45">
        <f>0.37*Model!$B$10*(Q1286^2*(N1286-K1286)*I1286/(R1286*O1286^2))^0.33333*(N1286-K1286)</f>
        <v>0</v>
      </c>
      <c r="T1286" s="51">
        <f>Model!$B$32+(90-Model!$B$6)*SIN(RADIANS(-15*(E1286+6)))</f>
        <v>-31.619472402513487</v>
      </c>
      <c r="U1286" s="45">
        <f t="shared" si="433"/>
        <v>0</v>
      </c>
      <c r="V1286" s="50">
        <f t="shared" si="434"/>
        <v>99999</v>
      </c>
      <c r="W1286" s="45">
        <f t="shared" si="435"/>
        <v>0</v>
      </c>
      <c r="X1286" s="45">
        <f>0.3*W1286*Model!$B$9</f>
        <v>0</v>
      </c>
      <c r="Y1286" s="33">
        <f>(S1286-X1286)/Model!$B$11</f>
        <v>0</v>
      </c>
      <c r="Z1286" s="45" t="e">
        <f t="shared" si="436"/>
        <v>#DIV/0!</v>
      </c>
      <c r="AA1286" s="56">
        <f>Y1286/Model!$B$12*3600</f>
        <v>0</v>
      </c>
      <c r="AB1286" s="50">
        <f t="shared" si="442"/>
        <v>0</v>
      </c>
      <c r="AC1286" s="50">
        <f t="shared" si="437"/>
        <v>1800</v>
      </c>
      <c r="AD1286" s="15">
        <f>IF(AE1286=0, Model!$B$19, 0 )</f>
        <v>0</v>
      </c>
      <c r="AE1286" s="50">
        <f>IF(AE1285+AB1285-AB1286&lt;Model!$B$19*Model!$B$18, AE1285+AB1285-AB1286,  0)</f>
        <v>443.63457370611354</v>
      </c>
      <c r="AF1286" s="15">
        <f t="shared" si="438"/>
        <v>1</v>
      </c>
      <c r="AG1286" s="50">
        <f t="shared" si="439"/>
        <v>0</v>
      </c>
    </row>
    <row r="1287" spans="2:33" x14ac:dyDescent="0.25">
      <c r="B1287" s="13">
        <f t="shared" si="440"/>
        <v>1</v>
      </c>
      <c r="C1287" s="13">
        <f>B1287+Model!$B$4</f>
        <v>3</v>
      </c>
      <c r="D1287" s="13">
        <f t="shared" si="441"/>
        <v>1</v>
      </c>
      <c r="E1287" s="13">
        <f t="shared" si="421"/>
        <v>3</v>
      </c>
      <c r="F1287" s="14">
        <f>IF(AB1287&gt;0, VLOOKUP(B1287,Model!$A$40:$B$60, 2), 0)</f>
        <v>0</v>
      </c>
      <c r="G1287" s="13">
        <f>IF(AB1287&gt;0, VLOOKUP(B1287,Model!$A$39:$C$58, 3), 0)</f>
        <v>0</v>
      </c>
      <c r="H1287" s="13">
        <f t="shared" si="426"/>
        <v>0</v>
      </c>
      <c r="I1287" s="46">
        <f>Model!$B$21*EXP((-0.029*9.81*F1287)/(8.31*(273+J1287)))</f>
        <v>104500</v>
      </c>
      <c r="J1287" s="13">
        <f>IF(Model!$B$31="Summer",  IF(F1287&lt;=2000,  Model!$B$20-Model!$B$35*F1287/1000,  IF(F1287&lt;Model!$B$36,  Model!$B$33-6.5*F1287/1000,  Model!$B$38)),     IF(F1287&lt;=2000,  Model!$B$20-Model!$B$35*F1287/1000,  IF(F1287&lt;Model!$B$36,  Model!$B$33-5.4*F1287/1000,   Model!$B$38)))</f>
        <v>-20</v>
      </c>
      <c r="K1287" s="13">
        <f t="shared" si="427"/>
        <v>253</v>
      </c>
      <c r="L1287" s="46">
        <f>IF(AB1286-AA1286*(B1287-B1286)&gt;0, L1286-Y1286*(B1287-B1286)*3600-AD1287*Model!$B$16, 0)</f>
        <v>0</v>
      </c>
      <c r="M1287" s="57">
        <f t="shared" si="428"/>
        <v>0</v>
      </c>
      <c r="N1287" s="57">
        <f>Model!$B$13*I1287*K1287/(Model!$B$13*I1287-L1287*287*K1287)</f>
        <v>253</v>
      </c>
      <c r="O1287" s="57">
        <f t="shared" si="429"/>
        <v>253</v>
      </c>
      <c r="P1287" s="57">
        <f t="shared" si="430"/>
        <v>-10</v>
      </c>
      <c r="Q1287" s="63">
        <f t="shared" si="431"/>
        <v>2.2579999999999999E-2</v>
      </c>
      <c r="R1287" s="17">
        <f t="shared" si="432"/>
        <v>1.152E-5</v>
      </c>
      <c r="S1287" s="46">
        <f>0.37*Model!$B$10*(Q1287^2*(N1287-K1287)*I1287/(R1287*O1287^2))^0.33333*(N1287-K1287)</f>
        <v>0</v>
      </c>
      <c r="T1287" s="51">
        <f>Model!$B$32+(90-Model!$B$6)*SIN(RADIANS(-15*(E1287+6)))</f>
        <v>-31.619472402513487</v>
      </c>
      <c r="U1287" s="46">
        <f t="shared" si="433"/>
        <v>0</v>
      </c>
      <c r="V1287" s="51">
        <f t="shared" si="434"/>
        <v>99999</v>
      </c>
      <c r="W1287" s="46">
        <f t="shared" si="435"/>
        <v>0</v>
      </c>
      <c r="X1287" s="46">
        <f>0.3*W1287*Model!$B$9</f>
        <v>0</v>
      </c>
      <c r="Y1287" s="17">
        <f>(S1287-X1287)/Model!$B$11</f>
        <v>0</v>
      </c>
      <c r="Z1287" s="46" t="e">
        <f t="shared" si="436"/>
        <v>#DIV/0!</v>
      </c>
      <c r="AA1287" s="57">
        <f>Y1287/Model!$B$12*3600</f>
        <v>0</v>
      </c>
      <c r="AB1287" s="51">
        <f t="shared" si="442"/>
        <v>0</v>
      </c>
      <c r="AC1287" s="51">
        <f t="shared" si="437"/>
        <v>1800</v>
      </c>
      <c r="AD1287" s="13">
        <f>IF(AE1287=0, Model!$B$19, 0 )</f>
        <v>0</v>
      </c>
      <c r="AE1287" s="51">
        <f>IF(AE1286+AB1286-AB1287&lt;Model!$B$19*Model!$B$18, AE1286+AB1286-AB1287,  0)</f>
        <v>443.63457370611354</v>
      </c>
      <c r="AF1287" s="13">
        <f t="shared" si="438"/>
        <v>1</v>
      </c>
      <c r="AG1287" s="50">
        <f t="shared" si="439"/>
        <v>0</v>
      </c>
    </row>
    <row r="1288" spans="2:33" x14ac:dyDescent="0.25">
      <c r="B1288" s="15">
        <f t="shared" si="440"/>
        <v>1</v>
      </c>
      <c r="C1288" s="15">
        <f>B1288+Model!$B$4</f>
        <v>3</v>
      </c>
      <c r="D1288" s="15">
        <f t="shared" si="441"/>
        <v>1</v>
      </c>
      <c r="E1288" s="15">
        <f t="shared" si="421"/>
        <v>3</v>
      </c>
      <c r="F1288" s="16">
        <f>IF(AB1288&gt;0, VLOOKUP(B1288,Model!$A$40:$B$60, 2), 0)</f>
        <v>0</v>
      </c>
      <c r="G1288" s="15">
        <f>IF(AB1288&gt;0, VLOOKUP(B1288,Model!$A$39:$C$58, 3), 0)</f>
        <v>0</v>
      </c>
      <c r="H1288" s="15">
        <f t="shared" si="426"/>
        <v>0</v>
      </c>
      <c r="I1288" s="45">
        <f>Model!$B$21*EXP((-0.029*9.81*F1288)/(8.31*(273+J1288)))</f>
        <v>104500</v>
      </c>
      <c r="J1288" s="15">
        <f>IF(Model!$B$31="Summer",  IF(F1288&lt;=2000,  Model!$B$20-Model!$B$35*F1288/1000,  IF(F1288&lt;Model!$B$36,  Model!$B$33-6.5*F1288/1000,  Model!$B$38)),     IF(F1288&lt;=2000,  Model!$B$20-Model!$B$35*F1288/1000,  IF(F1288&lt;Model!$B$36,  Model!$B$33-5.4*F1288/1000,   Model!$B$38)))</f>
        <v>-20</v>
      </c>
      <c r="K1288" s="15">
        <f t="shared" si="427"/>
        <v>253</v>
      </c>
      <c r="L1288" s="45">
        <f>IF(AB1287-AA1287*(B1288-B1287)&gt;0, L1287-Y1287*(B1288-B1287)*3600-AD1288*Model!$B$16, 0)</f>
        <v>0</v>
      </c>
      <c r="M1288" s="56">
        <f t="shared" si="428"/>
        <v>0</v>
      </c>
      <c r="N1288" s="56">
        <f>Model!$B$13*I1288*K1288/(Model!$B$13*I1288-L1288*287*K1288)</f>
        <v>253</v>
      </c>
      <c r="O1288" s="56">
        <f t="shared" si="429"/>
        <v>253</v>
      </c>
      <c r="P1288" s="56">
        <f t="shared" si="430"/>
        <v>-10</v>
      </c>
      <c r="Q1288" s="62">
        <f t="shared" si="431"/>
        <v>2.2579999999999999E-2</v>
      </c>
      <c r="R1288" s="33">
        <f t="shared" si="432"/>
        <v>1.152E-5</v>
      </c>
      <c r="S1288" s="45">
        <f>0.37*Model!$B$10*(Q1288^2*(N1288-K1288)*I1288/(R1288*O1288^2))^0.33333*(N1288-K1288)</f>
        <v>0</v>
      </c>
      <c r="T1288" s="51">
        <f>Model!$B$32+(90-Model!$B$6)*SIN(RADIANS(-15*(E1288+6)))</f>
        <v>-31.619472402513487</v>
      </c>
      <c r="U1288" s="45">
        <f t="shared" si="433"/>
        <v>0</v>
      </c>
      <c r="V1288" s="50">
        <f t="shared" si="434"/>
        <v>99999</v>
      </c>
      <c r="W1288" s="45">
        <f t="shared" si="435"/>
        <v>0</v>
      </c>
      <c r="X1288" s="45">
        <f>0.3*W1288*Model!$B$9</f>
        <v>0</v>
      </c>
      <c r="Y1288" s="33">
        <f>(S1288-X1288)/Model!$B$11</f>
        <v>0</v>
      </c>
      <c r="Z1288" s="45" t="e">
        <f t="shared" si="436"/>
        <v>#DIV/0!</v>
      </c>
      <c r="AA1288" s="56">
        <f>Y1288/Model!$B$12*3600</f>
        <v>0</v>
      </c>
      <c r="AB1288" s="50">
        <f t="shared" si="442"/>
        <v>0</v>
      </c>
      <c r="AC1288" s="50">
        <f t="shared" si="437"/>
        <v>1800</v>
      </c>
      <c r="AD1288" s="15">
        <f>IF(AE1288=0, Model!$B$19, 0 )</f>
        <v>0</v>
      </c>
      <c r="AE1288" s="50">
        <f>IF(AE1287+AB1287-AB1288&lt;Model!$B$19*Model!$B$18, AE1287+AB1287-AB1288,  0)</f>
        <v>443.63457370611354</v>
      </c>
      <c r="AF1288" s="15">
        <f t="shared" si="438"/>
        <v>1</v>
      </c>
      <c r="AG1288" s="50">
        <f t="shared" si="439"/>
        <v>0</v>
      </c>
    </row>
    <row r="1289" spans="2:33" x14ac:dyDescent="0.25">
      <c r="B1289" s="13">
        <f t="shared" si="440"/>
        <v>1</v>
      </c>
      <c r="C1289" s="13">
        <f>B1289+Model!$B$4</f>
        <v>3</v>
      </c>
      <c r="D1289" s="13">
        <f t="shared" si="441"/>
        <v>1</v>
      </c>
      <c r="E1289" s="13">
        <f t="shared" si="421"/>
        <v>3</v>
      </c>
      <c r="F1289" s="14">
        <f>IF(AB1289&gt;0, VLOOKUP(B1289,Model!$A$40:$B$60, 2), 0)</f>
        <v>0</v>
      </c>
      <c r="G1289" s="13">
        <f>IF(AB1289&gt;0, VLOOKUP(B1289,Model!$A$39:$C$58, 3), 0)</f>
        <v>0</v>
      </c>
      <c r="H1289" s="13">
        <f t="shared" si="426"/>
        <v>0</v>
      </c>
      <c r="I1289" s="46">
        <f>Model!$B$21*EXP((-0.029*9.81*F1289)/(8.31*(273+J1289)))</f>
        <v>104500</v>
      </c>
      <c r="J1289" s="13">
        <f>IF(Model!$B$31="Summer",  IF(F1289&lt;=2000,  Model!$B$20-Model!$B$35*F1289/1000,  IF(F1289&lt;Model!$B$36,  Model!$B$33-6.5*F1289/1000,  Model!$B$38)),     IF(F1289&lt;=2000,  Model!$B$20-Model!$B$35*F1289/1000,  IF(F1289&lt;Model!$B$36,  Model!$B$33-5.4*F1289/1000,   Model!$B$38)))</f>
        <v>-20</v>
      </c>
      <c r="K1289" s="13">
        <f t="shared" si="427"/>
        <v>253</v>
      </c>
      <c r="L1289" s="46">
        <f>IF(AB1288-AA1288*(B1289-B1288)&gt;0, L1288-Y1288*(B1289-B1288)*3600-AD1289*Model!$B$16, 0)</f>
        <v>0</v>
      </c>
      <c r="M1289" s="57">
        <f t="shared" si="428"/>
        <v>0</v>
      </c>
      <c r="N1289" s="57">
        <f>Model!$B$13*I1289*K1289/(Model!$B$13*I1289-L1289*287*K1289)</f>
        <v>253</v>
      </c>
      <c r="O1289" s="57">
        <f t="shared" si="429"/>
        <v>253</v>
      </c>
      <c r="P1289" s="57">
        <f t="shared" si="430"/>
        <v>-10</v>
      </c>
      <c r="Q1289" s="63">
        <f t="shared" si="431"/>
        <v>2.2579999999999999E-2</v>
      </c>
      <c r="R1289" s="17">
        <f t="shared" si="432"/>
        <v>1.152E-5</v>
      </c>
      <c r="S1289" s="46">
        <f>0.37*Model!$B$10*(Q1289^2*(N1289-K1289)*I1289/(R1289*O1289^2))^0.33333*(N1289-K1289)</f>
        <v>0</v>
      </c>
      <c r="T1289" s="51">
        <f>Model!$B$32+(90-Model!$B$6)*SIN(RADIANS(-15*(E1289+6)))</f>
        <v>-31.619472402513487</v>
      </c>
      <c r="U1289" s="46">
        <f t="shared" si="433"/>
        <v>0</v>
      </c>
      <c r="V1289" s="51">
        <f t="shared" si="434"/>
        <v>99999</v>
      </c>
      <c r="W1289" s="46">
        <f t="shared" si="435"/>
        <v>0</v>
      </c>
      <c r="X1289" s="46">
        <f>0.3*W1289*Model!$B$9</f>
        <v>0</v>
      </c>
      <c r="Y1289" s="17">
        <f>(S1289-X1289)/Model!$B$11</f>
        <v>0</v>
      </c>
      <c r="Z1289" s="46" t="e">
        <f t="shared" si="436"/>
        <v>#DIV/0!</v>
      </c>
      <c r="AA1289" s="57">
        <f>Y1289/Model!$B$12*3600</f>
        <v>0</v>
      </c>
      <c r="AB1289" s="51">
        <f t="shared" si="442"/>
        <v>0</v>
      </c>
      <c r="AC1289" s="51">
        <f t="shared" si="437"/>
        <v>1800</v>
      </c>
      <c r="AD1289" s="13">
        <f>IF(AE1289=0, Model!$B$19, 0 )</f>
        <v>0</v>
      </c>
      <c r="AE1289" s="51">
        <f>IF(AE1288+AB1288-AB1289&lt;Model!$B$19*Model!$B$18, AE1288+AB1288-AB1289,  0)</f>
        <v>443.63457370611354</v>
      </c>
      <c r="AF1289" s="13">
        <f t="shared" si="438"/>
        <v>1</v>
      </c>
      <c r="AG1289" s="50">
        <f t="shared" si="439"/>
        <v>0</v>
      </c>
    </row>
    <row r="1290" spans="2:33" x14ac:dyDescent="0.25">
      <c r="B1290" s="15">
        <f t="shared" si="440"/>
        <v>1</v>
      </c>
      <c r="C1290" s="15">
        <f>B1290+Model!$B$4</f>
        <v>3</v>
      </c>
      <c r="D1290" s="15">
        <f t="shared" si="441"/>
        <v>1</v>
      </c>
      <c r="E1290" s="15">
        <f t="shared" si="421"/>
        <v>3</v>
      </c>
      <c r="F1290" s="16">
        <f>IF(AB1290&gt;0, VLOOKUP(B1290,Model!$A$40:$B$60, 2), 0)</f>
        <v>0</v>
      </c>
      <c r="G1290" s="15">
        <f>IF(AB1290&gt;0, VLOOKUP(B1290,Model!$A$39:$C$58, 3), 0)</f>
        <v>0</v>
      </c>
      <c r="H1290" s="15">
        <f t="shared" si="426"/>
        <v>0</v>
      </c>
      <c r="I1290" s="45">
        <f>Model!$B$21*EXP((-0.029*9.81*F1290)/(8.31*(273+J1290)))</f>
        <v>104500</v>
      </c>
      <c r="J1290" s="15">
        <f>IF(Model!$B$31="Summer",  IF(F1290&lt;=2000,  Model!$B$20-Model!$B$35*F1290/1000,  IF(F1290&lt;Model!$B$36,  Model!$B$33-6.5*F1290/1000,  Model!$B$38)),     IF(F1290&lt;=2000,  Model!$B$20-Model!$B$35*F1290/1000,  IF(F1290&lt;Model!$B$36,  Model!$B$33-5.4*F1290/1000,   Model!$B$38)))</f>
        <v>-20</v>
      </c>
      <c r="K1290" s="15">
        <f t="shared" si="427"/>
        <v>253</v>
      </c>
      <c r="L1290" s="45">
        <f>IF(AB1289-AA1289*(B1290-B1289)&gt;0, L1289-Y1289*(B1290-B1289)*3600-AD1290*Model!$B$16, 0)</f>
        <v>0</v>
      </c>
      <c r="M1290" s="56">
        <f t="shared" si="428"/>
        <v>0</v>
      </c>
      <c r="N1290" s="56">
        <f>Model!$B$13*I1290*K1290/(Model!$B$13*I1290-L1290*287*K1290)</f>
        <v>253</v>
      </c>
      <c r="O1290" s="56">
        <f t="shared" si="429"/>
        <v>253</v>
      </c>
      <c r="P1290" s="56">
        <f t="shared" si="430"/>
        <v>-10</v>
      </c>
      <c r="Q1290" s="62">
        <f t="shared" si="431"/>
        <v>2.2579999999999999E-2</v>
      </c>
      <c r="R1290" s="33">
        <f t="shared" si="432"/>
        <v>1.152E-5</v>
      </c>
      <c r="S1290" s="45">
        <f>0.37*Model!$B$10*(Q1290^2*(N1290-K1290)*I1290/(R1290*O1290^2))^0.33333*(N1290-K1290)</f>
        <v>0</v>
      </c>
      <c r="T1290" s="51">
        <f>Model!$B$32+(90-Model!$B$6)*SIN(RADIANS(-15*(E1290+6)))</f>
        <v>-31.619472402513487</v>
      </c>
      <c r="U1290" s="45">
        <f t="shared" si="433"/>
        <v>0</v>
      </c>
      <c r="V1290" s="50">
        <f t="shared" si="434"/>
        <v>99999</v>
      </c>
      <c r="W1290" s="45">
        <f t="shared" si="435"/>
        <v>0</v>
      </c>
      <c r="X1290" s="45">
        <f>0.3*W1290*Model!$B$9</f>
        <v>0</v>
      </c>
      <c r="Y1290" s="33">
        <f>(S1290-X1290)/Model!$B$11</f>
        <v>0</v>
      </c>
      <c r="Z1290" s="45" t="e">
        <f t="shared" si="436"/>
        <v>#DIV/0!</v>
      </c>
      <c r="AA1290" s="56">
        <f>Y1290/Model!$B$12*3600</f>
        <v>0</v>
      </c>
      <c r="AB1290" s="50">
        <f t="shared" si="442"/>
        <v>0</v>
      </c>
      <c r="AC1290" s="50">
        <f t="shared" si="437"/>
        <v>1800</v>
      </c>
      <c r="AD1290" s="15">
        <f>IF(AE1290=0, Model!$B$19, 0 )</f>
        <v>0</v>
      </c>
      <c r="AE1290" s="50">
        <f>IF(AE1289+AB1289-AB1290&lt;Model!$B$19*Model!$B$18, AE1289+AB1289-AB1290,  0)</f>
        <v>443.63457370611354</v>
      </c>
      <c r="AF1290" s="15">
        <f t="shared" si="438"/>
        <v>1</v>
      </c>
      <c r="AG1290" s="50">
        <f t="shared" si="439"/>
        <v>0</v>
      </c>
    </row>
    <row r="1291" spans="2:33" x14ac:dyDescent="0.25">
      <c r="B1291" s="13">
        <f t="shared" si="440"/>
        <v>1</v>
      </c>
      <c r="C1291" s="13">
        <f>B1291+Model!$B$4</f>
        <v>3</v>
      </c>
      <c r="D1291" s="13">
        <f t="shared" si="441"/>
        <v>1</v>
      </c>
      <c r="E1291" s="13">
        <f t="shared" si="421"/>
        <v>3</v>
      </c>
      <c r="F1291" s="14">
        <f>IF(AB1291&gt;0, VLOOKUP(B1291,Model!$A$40:$B$60, 2), 0)</f>
        <v>0</v>
      </c>
      <c r="G1291" s="13">
        <f>IF(AB1291&gt;0, VLOOKUP(B1291,Model!$A$39:$C$58, 3), 0)</f>
        <v>0</v>
      </c>
      <c r="H1291" s="13">
        <f t="shared" si="426"/>
        <v>0</v>
      </c>
      <c r="I1291" s="46">
        <f>Model!$B$21*EXP((-0.029*9.81*F1291)/(8.31*(273+J1291)))</f>
        <v>104500</v>
      </c>
      <c r="J1291" s="13">
        <f>IF(Model!$B$31="Summer",  IF(F1291&lt;=2000,  Model!$B$20-Model!$B$35*F1291/1000,  IF(F1291&lt;Model!$B$36,  Model!$B$33-6.5*F1291/1000,  Model!$B$38)),     IF(F1291&lt;=2000,  Model!$B$20-Model!$B$35*F1291/1000,  IF(F1291&lt;Model!$B$36,  Model!$B$33-5.4*F1291/1000,   Model!$B$38)))</f>
        <v>-20</v>
      </c>
      <c r="K1291" s="13">
        <f t="shared" si="427"/>
        <v>253</v>
      </c>
      <c r="L1291" s="46">
        <f>IF(AB1290-AA1290*(B1291-B1290)&gt;0, L1290-Y1290*(B1291-B1290)*3600-AD1291*Model!$B$16, 0)</f>
        <v>0</v>
      </c>
      <c r="M1291" s="57">
        <f t="shared" si="428"/>
        <v>0</v>
      </c>
      <c r="N1291" s="57">
        <f>Model!$B$13*I1291*K1291/(Model!$B$13*I1291-L1291*287*K1291)</f>
        <v>253</v>
      </c>
      <c r="O1291" s="57">
        <f t="shared" si="429"/>
        <v>253</v>
      </c>
      <c r="P1291" s="57">
        <f t="shared" si="430"/>
        <v>-10</v>
      </c>
      <c r="Q1291" s="63">
        <f t="shared" si="431"/>
        <v>2.2579999999999999E-2</v>
      </c>
      <c r="R1291" s="17">
        <f t="shared" si="432"/>
        <v>1.152E-5</v>
      </c>
      <c r="S1291" s="46">
        <f>0.37*Model!$B$10*(Q1291^2*(N1291-K1291)*I1291/(R1291*O1291^2))^0.33333*(N1291-K1291)</f>
        <v>0</v>
      </c>
      <c r="T1291" s="51">
        <f>Model!$B$32+(90-Model!$B$6)*SIN(RADIANS(-15*(E1291+6)))</f>
        <v>-31.619472402513487</v>
      </c>
      <c r="U1291" s="46">
        <f t="shared" si="433"/>
        <v>0</v>
      </c>
      <c r="V1291" s="51">
        <f t="shared" si="434"/>
        <v>99999</v>
      </c>
      <c r="W1291" s="46">
        <f t="shared" si="435"/>
        <v>0</v>
      </c>
      <c r="X1291" s="46">
        <f>0.3*W1291*Model!$B$9</f>
        <v>0</v>
      </c>
      <c r="Y1291" s="17">
        <f>(S1291-X1291)/Model!$B$11</f>
        <v>0</v>
      </c>
      <c r="Z1291" s="46" t="e">
        <f t="shared" si="436"/>
        <v>#DIV/0!</v>
      </c>
      <c r="AA1291" s="57">
        <f>Y1291/Model!$B$12*3600</f>
        <v>0</v>
      </c>
      <c r="AB1291" s="51">
        <f t="shared" si="442"/>
        <v>0</v>
      </c>
      <c r="AC1291" s="51">
        <f t="shared" si="437"/>
        <v>1800</v>
      </c>
      <c r="AD1291" s="13">
        <f>IF(AE1291=0, Model!$B$19, 0 )</f>
        <v>0</v>
      </c>
      <c r="AE1291" s="51">
        <f>IF(AE1290+AB1290-AB1291&lt;Model!$B$19*Model!$B$18, AE1290+AB1290-AB1291,  0)</f>
        <v>443.63457370611354</v>
      </c>
      <c r="AF1291" s="13">
        <f t="shared" si="438"/>
        <v>1</v>
      </c>
      <c r="AG1291" s="50">
        <f t="shared" si="439"/>
        <v>0</v>
      </c>
    </row>
    <row r="1292" spans="2:33" x14ac:dyDescent="0.25">
      <c r="B1292" s="15">
        <f t="shared" si="440"/>
        <v>1</v>
      </c>
      <c r="C1292" s="15">
        <f>B1292+Model!$B$4</f>
        <v>3</v>
      </c>
      <c r="D1292" s="15">
        <f t="shared" si="441"/>
        <v>1</v>
      </c>
      <c r="E1292" s="15">
        <f t="shared" si="421"/>
        <v>3</v>
      </c>
      <c r="F1292" s="16">
        <f>IF(AB1292&gt;0, VLOOKUP(B1292,Model!$A$40:$B$60, 2), 0)</f>
        <v>0</v>
      </c>
      <c r="G1292" s="15">
        <f>IF(AB1292&gt;0, VLOOKUP(B1292,Model!$A$39:$C$58, 3), 0)</f>
        <v>0</v>
      </c>
      <c r="H1292" s="15">
        <f t="shared" si="426"/>
        <v>0</v>
      </c>
      <c r="I1292" s="45">
        <f>Model!$B$21*EXP((-0.029*9.81*F1292)/(8.31*(273+J1292)))</f>
        <v>104500</v>
      </c>
      <c r="J1292" s="15">
        <f>IF(Model!$B$31="Summer",  IF(F1292&lt;=2000,  Model!$B$20-Model!$B$35*F1292/1000,  IF(F1292&lt;Model!$B$36,  Model!$B$33-6.5*F1292/1000,  Model!$B$38)),     IF(F1292&lt;=2000,  Model!$B$20-Model!$B$35*F1292/1000,  IF(F1292&lt;Model!$B$36,  Model!$B$33-5.4*F1292/1000,   Model!$B$38)))</f>
        <v>-20</v>
      </c>
      <c r="K1292" s="15">
        <f t="shared" si="427"/>
        <v>253</v>
      </c>
      <c r="L1292" s="45">
        <f>IF(AB1291-AA1291*(B1292-B1291)&gt;0, L1291-Y1291*(B1292-B1291)*3600-AD1292*Model!$B$16, 0)</f>
        <v>0</v>
      </c>
      <c r="M1292" s="56">
        <f t="shared" si="428"/>
        <v>0</v>
      </c>
      <c r="N1292" s="56">
        <f>Model!$B$13*I1292*K1292/(Model!$B$13*I1292-L1292*287*K1292)</f>
        <v>253</v>
      </c>
      <c r="O1292" s="56">
        <f t="shared" si="429"/>
        <v>253</v>
      </c>
      <c r="P1292" s="56">
        <f t="shared" si="430"/>
        <v>-10</v>
      </c>
      <c r="Q1292" s="62">
        <f t="shared" si="431"/>
        <v>2.2579999999999999E-2</v>
      </c>
      <c r="R1292" s="33">
        <f t="shared" si="432"/>
        <v>1.152E-5</v>
      </c>
      <c r="S1292" s="45">
        <f>0.37*Model!$B$10*(Q1292^2*(N1292-K1292)*I1292/(R1292*O1292^2))^0.33333*(N1292-K1292)</f>
        <v>0</v>
      </c>
      <c r="T1292" s="51">
        <f>Model!$B$32+(90-Model!$B$6)*SIN(RADIANS(-15*(E1292+6)))</f>
        <v>-31.619472402513487</v>
      </c>
      <c r="U1292" s="45">
        <f t="shared" si="433"/>
        <v>0</v>
      </c>
      <c r="V1292" s="50">
        <f t="shared" si="434"/>
        <v>99999</v>
      </c>
      <c r="W1292" s="45">
        <f t="shared" si="435"/>
        <v>0</v>
      </c>
      <c r="X1292" s="45">
        <f>0.3*W1292*Model!$B$9</f>
        <v>0</v>
      </c>
      <c r="Y1292" s="33">
        <f>(S1292-X1292)/Model!$B$11</f>
        <v>0</v>
      </c>
      <c r="Z1292" s="45" t="e">
        <f t="shared" si="436"/>
        <v>#DIV/0!</v>
      </c>
      <c r="AA1292" s="56">
        <f>Y1292/Model!$B$12*3600</f>
        <v>0</v>
      </c>
      <c r="AB1292" s="50">
        <f t="shared" si="442"/>
        <v>0</v>
      </c>
      <c r="AC1292" s="50">
        <f t="shared" si="437"/>
        <v>1800</v>
      </c>
      <c r="AD1292" s="15">
        <f>IF(AE1292=0, Model!$B$19, 0 )</f>
        <v>0</v>
      </c>
      <c r="AE1292" s="50">
        <f>IF(AE1291+AB1291-AB1292&lt;Model!$B$19*Model!$B$18, AE1291+AB1291-AB1292,  0)</f>
        <v>443.63457370611354</v>
      </c>
      <c r="AF1292" s="15">
        <f t="shared" si="438"/>
        <v>1</v>
      </c>
      <c r="AG1292" s="50">
        <f t="shared" si="439"/>
        <v>0</v>
      </c>
    </row>
    <row r="1293" spans="2:33" x14ac:dyDescent="0.25">
      <c r="B1293" s="13">
        <f t="shared" si="440"/>
        <v>1</v>
      </c>
      <c r="C1293" s="13">
        <f>B1293+Model!$B$4</f>
        <v>3</v>
      </c>
      <c r="D1293" s="13">
        <f t="shared" si="441"/>
        <v>1</v>
      </c>
      <c r="E1293" s="13">
        <f t="shared" si="421"/>
        <v>3</v>
      </c>
      <c r="F1293" s="14">
        <f>IF(AB1293&gt;0, VLOOKUP(B1293,Model!$A$40:$B$60, 2), 0)</f>
        <v>0</v>
      </c>
      <c r="G1293" s="13">
        <f>IF(AB1293&gt;0, VLOOKUP(B1293,Model!$A$39:$C$58, 3), 0)</f>
        <v>0</v>
      </c>
      <c r="H1293" s="13">
        <f t="shared" si="426"/>
        <v>0</v>
      </c>
      <c r="I1293" s="46">
        <f>Model!$B$21*EXP((-0.029*9.81*F1293)/(8.31*(273+J1293)))</f>
        <v>104500</v>
      </c>
      <c r="J1293" s="13">
        <f>IF(Model!$B$31="Summer",  IF(F1293&lt;=2000,  Model!$B$20-Model!$B$35*F1293/1000,  IF(F1293&lt;Model!$B$36,  Model!$B$33-6.5*F1293/1000,  Model!$B$38)),     IF(F1293&lt;=2000,  Model!$B$20-Model!$B$35*F1293/1000,  IF(F1293&lt;Model!$B$36,  Model!$B$33-5.4*F1293/1000,   Model!$B$38)))</f>
        <v>-20</v>
      </c>
      <c r="K1293" s="13">
        <f t="shared" si="427"/>
        <v>253</v>
      </c>
      <c r="L1293" s="46">
        <f>IF(AB1292-AA1292*(B1293-B1292)&gt;0, L1292-Y1292*(B1293-B1292)*3600-AD1293*Model!$B$16, 0)</f>
        <v>0</v>
      </c>
      <c r="M1293" s="57">
        <f t="shared" si="428"/>
        <v>0</v>
      </c>
      <c r="N1293" s="57">
        <f>Model!$B$13*I1293*K1293/(Model!$B$13*I1293-L1293*287*K1293)</f>
        <v>253</v>
      </c>
      <c r="O1293" s="57">
        <f t="shared" si="429"/>
        <v>253</v>
      </c>
      <c r="P1293" s="57">
        <f t="shared" si="430"/>
        <v>-10</v>
      </c>
      <c r="Q1293" s="63">
        <f t="shared" si="431"/>
        <v>2.2579999999999999E-2</v>
      </c>
      <c r="R1293" s="17">
        <f t="shared" si="432"/>
        <v>1.152E-5</v>
      </c>
      <c r="S1293" s="46">
        <f>0.37*Model!$B$10*(Q1293^2*(N1293-K1293)*I1293/(R1293*O1293^2))^0.33333*(N1293-K1293)</f>
        <v>0</v>
      </c>
      <c r="T1293" s="51">
        <f>Model!$B$32+(90-Model!$B$6)*SIN(RADIANS(-15*(E1293+6)))</f>
        <v>-31.619472402513487</v>
      </c>
      <c r="U1293" s="46">
        <f t="shared" si="433"/>
        <v>0</v>
      </c>
      <c r="V1293" s="51">
        <f t="shared" si="434"/>
        <v>99999</v>
      </c>
      <c r="W1293" s="46">
        <f t="shared" si="435"/>
        <v>0</v>
      </c>
      <c r="X1293" s="46">
        <f>0.3*W1293*Model!$B$9</f>
        <v>0</v>
      </c>
      <c r="Y1293" s="17">
        <f>(S1293-X1293)/Model!$B$11</f>
        <v>0</v>
      </c>
      <c r="Z1293" s="46" t="e">
        <f t="shared" si="436"/>
        <v>#DIV/0!</v>
      </c>
      <c r="AA1293" s="57">
        <f>Y1293/Model!$B$12*3600</f>
        <v>0</v>
      </c>
      <c r="AB1293" s="51">
        <f t="shared" si="442"/>
        <v>0</v>
      </c>
      <c r="AC1293" s="51">
        <f t="shared" si="437"/>
        <v>1800</v>
      </c>
      <c r="AD1293" s="13">
        <f>IF(AE1293=0, Model!$B$19, 0 )</f>
        <v>0</v>
      </c>
      <c r="AE1293" s="51">
        <f>IF(AE1292+AB1292-AB1293&lt;Model!$B$19*Model!$B$18, AE1292+AB1292-AB1293,  0)</f>
        <v>443.63457370611354</v>
      </c>
      <c r="AF1293" s="13">
        <f t="shared" si="438"/>
        <v>1</v>
      </c>
      <c r="AG1293" s="50">
        <f t="shared" si="439"/>
        <v>0</v>
      </c>
    </row>
    <row r="1294" spans="2:33" x14ac:dyDescent="0.25">
      <c r="B1294" s="15">
        <f t="shared" si="440"/>
        <v>1</v>
      </c>
      <c r="C1294" s="15">
        <f>B1294+Model!$B$4</f>
        <v>3</v>
      </c>
      <c r="D1294" s="15">
        <f t="shared" si="441"/>
        <v>1</v>
      </c>
      <c r="E1294" s="15">
        <f t="shared" si="421"/>
        <v>3</v>
      </c>
      <c r="F1294" s="16">
        <f>IF(AB1294&gt;0, VLOOKUP(B1294,Model!$A$40:$B$60, 2), 0)</f>
        <v>0</v>
      </c>
      <c r="G1294" s="15">
        <f>IF(AB1294&gt;0, VLOOKUP(B1294,Model!$A$39:$C$58, 3), 0)</f>
        <v>0</v>
      </c>
      <c r="H1294" s="15">
        <f t="shared" si="426"/>
        <v>0</v>
      </c>
      <c r="I1294" s="45">
        <f>Model!$B$21*EXP((-0.029*9.81*F1294)/(8.31*(273+J1294)))</f>
        <v>104500</v>
      </c>
      <c r="J1294" s="15">
        <f>IF(Model!$B$31="Summer",  IF(F1294&lt;=2000,  Model!$B$20-Model!$B$35*F1294/1000,  IF(F1294&lt;Model!$B$36,  Model!$B$33-6.5*F1294/1000,  Model!$B$38)),     IF(F1294&lt;=2000,  Model!$B$20-Model!$B$35*F1294/1000,  IF(F1294&lt;Model!$B$36,  Model!$B$33-5.4*F1294/1000,   Model!$B$38)))</f>
        <v>-20</v>
      </c>
      <c r="K1294" s="15">
        <f t="shared" si="427"/>
        <v>253</v>
      </c>
      <c r="L1294" s="45">
        <f>IF(AB1293-AA1293*(B1294-B1293)&gt;0, L1293-Y1293*(B1294-B1293)*3600-AD1294*Model!$B$16, 0)</f>
        <v>0</v>
      </c>
      <c r="M1294" s="56">
        <f t="shared" si="428"/>
        <v>0</v>
      </c>
      <c r="N1294" s="56">
        <f>Model!$B$13*I1294*K1294/(Model!$B$13*I1294-L1294*287*K1294)</f>
        <v>253</v>
      </c>
      <c r="O1294" s="56">
        <f t="shared" si="429"/>
        <v>253</v>
      </c>
      <c r="P1294" s="56">
        <f t="shared" si="430"/>
        <v>-10</v>
      </c>
      <c r="Q1294" s="62">
        <f t="shared" si="431"/>
        <v>2.2579999999999999E-2</v>
      </c>
      <c r="R1294" s="33">
        <f t="shared" si="432"/>
        <v>1.152E-5</v>
      </c>
      <c r="S1294" s="45">
        <f>0.37*Model!$B$10*(Q1294^2*(N1294-K1294)*I1294/(R1294*O1294^2))^0.33333*(N1294-K1294)</f>
        <v>0</v>
      </c>
      <c r="T1294" s="51">
        <f>Model!$B$32+(90-Model!$B$6)*SIN(RADIANS(-15*(E1294+6)))</f>
        <v>-31.619472402513487</v>
      </c>
      <c r="U1294" s="45">
        <f t="shared" si="433"/>
        <v>0</v>
      </c>
      <c r="V1294" s="50">
        <f t="shared" si="434"/>
        <v>99999</v>
      </c>
      <c r="W1294" s="45">
        <f t="shared" si="435"/>
        <v>0</v>
      </c>
      <c r="X1294" s="45">
        <f>0.3*W1294*Model!$B$9</f>
        <v>0</v>
      </c>
      <c r="Y1294" s="33">
        <f>(S1294-X1294)/Model!$B$11</f>
        <v>0</v>
      </c>
      <c r="Z1294" s="45" t="e">
        <f t="shared" si="436"/>
        <v>#DIV/0!</v>
      </c>
      <c r="AA1294" s="56">
        <f>Y1294/Model!$B$12*3600</f>
        <v>0</v>
      </c>
      <c r="AB1294" s="50">
        <f t="shared" si="442"/>
        <v>0</v>
      </c>
      <c r="AC1294" s="50">
        <f t="shared" si="437"/>
        <v>1800</v>
      </c>
      <c r="AD1294" s="15">
        <f>IF(AE1294=0, Model!$B$19, 0 )</f>
        <v>0</v>
      </c>
      <c r="AE1294" s="50">
        <f>IF(AE1293+AB1293-AB1294&lt;Model!$B$19*Model!$B$18, AE1293+AB1293-AB1294,  0)</f>
        <v>443.63457370611354</v>
      </c>
      <c r="AF1294" s="15">
        <f t="shared" si="438"/>
        <v>1</v>
      </c>
      <c r="AG1294" s="50">
        <f t="shared" si="439"/>
        <v>0</v>
      </c>
    </row>
    <row r="1295" spans="2:33" x14ac:dyDescent="0.25">
      <c r="B1295" s="13">
        <f t="shared" si="440"/>
        <v>1</v>
      </c>
      <c r="C1295" s="13">
        <f>B1295+Model!$B$4</f>
        <v>3</v>
      </c>
      <c r="D1295" s="13">
        <f t="shared" si="441"/>
        <v>1</v>
      </c>
      <c r="E1295" s="13">
        <f t="shared" si="421"/>
        <v>3</v>
      </c>
      <c r="F1295" s="14">
        <f>IF(AB1295&gt;0, VLOOKUP(B1295,Model!$A$40:$B$60, 2), 0)</f>
        <v>0</v>
      </c>
      <c r="G1295" s="13">
        <f>IF(AB1295&gt;0, VLOOKUP(B1295,Model!$A$39:$C$58, 3), 0)</f>
        <v>0</v>
      </c>
      <c r="H1295" s="13">
        <f t="shared" si="426"/>
        <v>0</v>
      </c>
      <c r="I1295" s="46">
        <f>Model!$B$21*EXP((-0.029*9.81*F1295)/(8.31*(273+J1295)))</f>
        <v>104500</v>
      </c>
      <c r="J1295" s="13">
        <f>IF(Model!$B$31="Summer",  IF(F1295&lt;=2000,  Model!$B$20-Model!$B$35*F1295/1000,  IF(F1295&lt;Model!$B$36,  Model!$B$33-6.5*F1295/1000,  Model!$B$38)),     IF(F1295&lt;=2000,  Model!$B$20-Model!$B$35*F1295/1000,  IF(F1295&lt;Model!$B$36,  Model!$B$33-5.4*F1295/1000,   Model!$B$38)))</f>
        <v>-20</v>
      </c>
      <c r="K1295" s="13">
        <f t="shared" si="427"/>
        <v>253</v>
      </c>
      <c r="L1295" s="46">
        <f>IF(AB1294-AA1294*(B1295-B1294)&gt;0, L1294-Y1294*(B1295-B1294)*3600-AD1295*Model!$B$16, 0)</f>
        <v>0</v>
      </c>
      <c r="M1295" s="57">
        <f t="shared" si="428"/>
        <v>0</v>
      </c>
      <c r="N1295" s="57">
        <f>Model!$B$13*I1295*K1295/(Model!$B$13*I1295-L1295*287*K1295)</f>
        <v>253</v>
      </c>
      <c r="O1295" s="57">
        <f t="shared" si="429"/>
        <v>253</v>
      </c>
      <c r="P1295" s="57">
        <f t="shared" si="430"/>
        <v>-10</v>
      </c>
      <c r="Q1295" s="63">
        <f t="shared" si="431"/>
        <v>2.2579999999999999E-2</v>
      </c>
      <c r="R1295" s="17">
        <f t="shared" si="432"/>
        <v>1.152E-5</v>
      </c>
      <c r="S1295" s="46">
        <f>0.37*Model!$B$10*(Q1295^2*(N1295-K1295)*I1295/(R1295*O1295^2))^0.33333*(N1295-K1295)</f>
        <v>0</v>
      </c>
      <c r="T1295" s="51">
        <f>Model!$B$32+(90-Model!$B$6)*SIN(RADIANS(-15*(E1295+6)))</f>
        <v>-31.619472402513487</v>
      </c>
      <c r="U1295" s="46">
        <f t="shared" si="433"/>
        <v>0</v>
      </c>
      <c r="V1295" s="51">
        <f t="shared" si="434"/>
        <v>99999</v>
      </c>
      <c r="W1295" s="46">
        <f t="shared" si="435"/>
        <v>0</v>
      </c>
      <c r="X1295" s="46">
        <f>0.3*W1295*Model!$B$9</f>
        <v>0</v>
      </c>
      <c r="Y1295" s="17">
        <f>(S1295-X1295)/Model!$B$11</f>
        <v>0</v>
      </c>
      <c r="Z1295" s="46" t="e">
        <f t="shared" si="436"/>
        <v>#DIV/0!</v>
      </c>
      <c r="AA1295" s="57">
        <f>Y1295/Model!$B$12*3600</f>
        <v>0</v>
      </c>
      <c r="AB1295" s="51">
        <f t="shared" si="442"/>
        <v>0</v>
      </c>
      <c r="AC1295" s="51">
        <f t="shared" si="437"/>
        <v>1800</v>
      </c>
      <c r="AD1295" s="13">
        <f>IF(AE1295=0, Model!$B$19, 0 )</f>
        <v>0</v>
      </c>
      <c r="AE1295" s="51">
        <f>IF(AE1294+AB1294-AB1295&lt;Model!$B$19*Model!$B$18, AE1294+AB1294-AB1295,  0)</f>
        <v>443.63457370611354</v>
      </c>
      <c r="AF1295" s="13">
        <f t="shared" si="438"/>
        <v>1</v>
      </c>
      <c r="AG1295" s="50">
        <f t="shared" si="439"/>
        <v>0</v>
      </c>
    </row>
    <row r="1296" spans="2:33" x14ac:dyDescent="0.25">
      <c r="B1296" s="15">
        <f t="shared" si="440"/>
        <v>1</v>
      </c>
      <c r="C1296" s="15">
        <f>B1296+Model!$B$4</f>
        <v>3</v>
      </c>
      <c r="D1296" s="15">
        <f t="shared" si="441"/>
        <v>1</v>
      </c>
      <c r="E1296" s="15">
        <f t="shared" si="421"/>
        <v>3</v>
      </c>
      <c r="F1296" s="16">
        <f>IF(AB1296&gt;0, VLOOKUP(B1296,Model!$A$40:$B$60, 2), 0)</f>
        <v>0</v>
      </c>
      <c r="G1296" s="15">
        <f>IF(AB1296&gt;0, VLOOKUP(B1296,Model!$A$39:$C$58, 3), 0)</f>
        <v>0</v>
      </c>
      <c r="H1296" s="15">
        <f t="shared" si="426"/>
        <v>0</v>
      </c>
      <c r="I1296" s="45">
        <f>Model!$B$21*EXP((-0.029*9.81*F1296)/(8.31*(273+J1296)))</f>
        <v>104500</v>
      </c>
      <c r="J1296" s="15">
        <f>IF(Model!$B$31="Summer",  IF(F1296&lt;=2000,  Model!$B$20-Model!$B$35*F1296/1000,  IF(F1296&lt;Model!$B$36,  Model!$B$33-6.5*F1296/1000,  Model!$B$38)),     IF(F1296&lt;=2000,  Model!$B$20-Model!$B$35*F1296/1000,  IF(F1296&lt;Model!$B$36,  Model!$B$33-5.4*F1296/1000,   Model!$B$38)))</f>
        <v>-20</v>
      </c>
      <c r="K1296" s="15">
        <f t="shared" si="427"/>
        <v>253</v>
      </c>
      <c r="L1296" s="45">
        <f>IF(AB1295-AA1295*(B1296-B1295)&gt;0, L1295-Y1295*(B1296-B1295)*3600-AD1296*Model!$B$16, 0)</f>
        <v>0</v>
      </c>
      <c r="M1296" s="56">
        <f t="shared" si="428"/>
        <v>0</v>
      </c>
      <c r="N1296" s="56">
        <f>Model!$B$13*I1296*K1296/(Model!$B$13*I1296-L1296*287*K1296)</f>
        <v>253</v>
      </c>
      <c r="O1296" s="56">
        <f t="shared" si="429"/>
        <v>253</v>
      </c>
      <c r="P1296" s="56">
        <f t="shared" si="430"/>
        <v>-10</v>
      </c>
      <c r="Q1296" s="62">
        <f t="shared" si="431"/>
        <v>2.2579999999999999E-2</v>
      </c>
      <c r="R1296" s="33">
        <f t="shared" si="432"/>
        <v>1.152E-5</v>
      </c>
      <c r="S1296" s="45">
        <f>0.37*Model!$B$10*(Q1296^2*(N1296-K1296)*I1296/(R1296*O1296^2))^0.33333*(N1296-K1296)</f>
        <v>0</v>
      </c>
      <c r="T1296" s="51">
        <f>Model!$B$32+(90-Model!$B$6)*SIN(RADIANS(-15*(E1296+6)))</f>
        <v>-31.619472402513487</v>
      </c>
      <c r="U1296" s="45">
        <f t="shared" si="433"/>
        <v>0</v>
      </c>
      <c r="V1296" s="50">
        <f t="shared" si="434"/>
        <v>99999</v>
      </c>
      <c r="W1296" s="45">
        <f t="shared" si="435"/>
        <v>0</v>
      </c>
      <c r="X1296" s="45">
        <f>0.3*W1296*Model!$B$9</f>
        <v>0</v>
      </c>
      <c r="Y1296" s="33">
        <f>(S1296-X1296)/Model!$B$11</f>
        <v>0</v>
      </c>
      <c r="Z1296" s="45" t="e">
        <f t="shared" si="436"/>
        <v>#DIV/0!</v>
      </c>
      <c r="AA1296" s="56">
        <f>Y1296/Model!$B$12*3600</f>
        <v>0</v>
      </c>
      <c r="AB1296" s="50">
        <f t="shared" si="442"/>
        <v>0</v>
      </c>
      <c r="AC1296" s="50">
        <f t="shared" si="437"/>
        <v>1800</v>
      </c>
      <c r="AD1296" s="15">
        <f>IF(AE1296=0, Model!$B$19, 0 )</f>
        <v>0</v>
      </c>
      <c r="AE1296" s="50">
        <f>IF(AE1295+AB1295-AB1296&lt;Model!$B$19*Model!$B$18, AE1295+AB1295-AB1296,  0)</f>
        <v>443.63457370611354</v>
      </c>
      <c r="AF1296" s="15">
        <f t="shared" si="438"/>
        <v>1</v>
      </c>
      <c r="AG1296" s="50">
        <f t="shared" si="439"/>
        <v>0</v>
      </c>
    </row>
    <row r="1297" spans="2:33" x14ac:dyDescent="0.25">
      <c r="B1297" s="13">
        <f t="shared" si="440"/>
        <v>1</v>
      </c>
      <c r="C1297" s="13">
        <f>B1297+Model!$B$4</f>
        <v>3</v>
      </c>
      <c r="D1297" s="13">
        <f t="shared" si="441"/>
        <v>1</v>
      </c>
      <c r="E1297" s="13">
        <f t="shared" si="421"/>
        <v>3</v>
      </c>
      <c r="F1297" s="14">
        <f>IF(AB1297&gt;0, VLOOKUP(B1297,Model!$A$40:$B$60, 2), 0)</f>
        <v>0</v>
      </c>
      <c r="G1297" s="13">
        <f>IF(AB1297&gt;0, VLOOKUP(B1297,Model!$A$39:$C$58, 3), 0)</f>
        <v>0</v>
      </c>
      <c r="H1297" s="13">
        <f t="shared" si="426"/>
        <v>0</v>
      </c>
      <c r="I1297" s="46">
        <f>Model!$B$21*EXP((-0.029*9.81*F1297)/(8.31*(273+J1297)))</f>
        <v>104500</v>
      </c>
      <c r="J1297" s="13">
        <f>IF(Model!$B$31="Summer",  IF(F1297&lt;=2000,  Model!$B$20-Model!$B$35*F1297/1000,  IF(F1297&lt;Model!$B$36,  Model!$B$33-6.5*F1297/1000,  Model!$B$38)),     IF(F1297&lt;=2000,  Model!$B$20-Model!$B$35*F1297/1000,  IF(F1297&lt;Model!$B$36,  Model!$B$33-5.4*F1297/1000,   Model!$B$38)))</f>
        <v>-20</v>
      </c>
      <c r="K1297" s="13">
        <f t="shared" si="427"/>
        <v>253</v>
      </c>
      <c r="L1297" s="46">
        <f>IF(AB1296-AA1296*(B1297-B1296)&gt;0, L1296-Y1296*(B1297-B1296)*3600-AD1297*Model!$B$16, 0)</f>
        <v>0</v>
      </c>
      <c r="M1297" s="57">
        <f t="shared" si="428"/>
        <v>0</v>
      </c>
      <c r="N1297" s="57">
        <f>Model!$B$13*I1297*K1297/(Model!$B$13*I1297-L1297*287*K1297)</f>
        <v>253</v>
      </c>
      <c r="O1297" s="57">
        <f t="shared" si="429"/>
        <v>253</v>
      </c>
      <c r="P1297" s="57">
        <f t="shared" si="430"/>
        <v>-10</v>
      </c>
      <c r="Q1297" s="63">
        <f t="shared" si="431"/>
        <v>2.2579999999999999E-2</v>
      </c>
      <c r="R1297" s="17">
        <f t="shared" si="432"/>
        <v>1.152E-5</v>
      </c>
      <c r="S1297" s="46">
        <f>0.37*Model!$B$10*(Q1297^2*(N1297-K1297)*I1297/(R1297*O1297^2))^0.33333*(N1297-K1297)</f>
        <v>0</v>
      </c>
      <c r="T1297" s="51">
        <f>Model!$B$32+(90-Model!$B$6)*SIN(RADIANS(-15*(E1297+6)))</f>
        <v>-31.619472402513487</v>
      </c>
      <c r="U1297" s="46">
        <f t="shared" si="433"/>
        <v>0</v>
      </c>
      <c r="V1297" s="51">
        <f t="shared" si="434"/>
        <v>99999</v>
      </c>
      <c r="W1297" s="46">
        <f t="shared" si="435"/>
        <v>0</v>
      </c>
      <c r="X1297" s="46">
        <f>0.3*W1297*Model!$B$9</f>
        <v>0</v>
      </c>
      <c r="Y1297" s="17">
        <f>(S1297-X1297)/Model!$B$11</f>
        <v>0</v>
      </c>
      <c r="Z1297" s="46" t="e">
        <f t="shared" si="436"/>
        <v>#DIV/0!</v>
      </c>
      <c r="AA1297" s="57">
        <f>Y1297/Model!$B$12*3600</f>
        <v>0</v>
      </c>
      <c r="AB1297" s="51">
        <f t="shared" si="442"/>
        <v>0</v>
      </c>
      <c r="AC1297" s="51">
        <f t="shared" si="437"/>
        <v>1800</v>
      </c>
      <c r="AD1297" s="13">
        <f>IF(AE1297=0, Model!$B$19, 0 )</f>
        <v>0</v>
      </c>
      <c r="AE1297" s="51">
        <f>IF(AE1296+AB1296-AB1297&lt;Model!$B$19*Model!$B$18, AE1296+AB1296-AB1297,  0)</f>
        <v>443.63457370611354</v>
      </c>
      <c r="AF1297" s="13">
        <f t="shared" si="438"/>
        <v>1</v>
      </c>
      <c r="AG1297" s="50">
        <f t="shared" si="439"/>
        <v>0</v>
      </c>
    </row>
    <row r="1298" spans="2:33" x14ac:dyDescent="0.25">
      <c r="B1298" s="15">
        <f t="shared" si="440"/>
        <v>1</v>
      </c>
      <c r="C1298" s="15">
        <f>B1298+Model!$B$4</f>
        <v>3</v>
      </c>
      <c r="D1298" s="15">
        <f t="shared" si="441"/>
        <v>1</v>
      </c>
      <c r="E1298" s="15">
        <f t="shared" si="421"/>
        <v>3</v>
      </c>
      <c r="F1298" s="16">
        <f>IF(AB1298&gt;0, VLOOKUP(B1298,Model!$A$40:$B$60, 2), 0)</f>
        <v>0</v>
      </c>
      <c r="G1298" s="15">
        <f>IF(AB1298&gt;0, VLOOKUP(B1298,Model!$A$39:$C$58, 3), 0)</f>
        <v>0</v>
      </c>
      <c r="H1298" s="15">
        <f t="shared" si="426"/>
        <v>0</v>
      </c>
      <c r="I1298" s="45">
        <f>Model!$B$21*EXP((-0.029*9.81*F1298)/(8.31*(273+J1298)))</f>
        <v>104500</v>
      </c>
      <c r="J1298" s="15">
        <f>IF(Model!$B$31="Summer",  IF(F1298&lt;=2000,  Model!$B$20-Model!$B$35*F1298/1000,  IF(F1298&lt;Model!$B$36,  Model!$B$33-6.5*F1298/1000,  Model!$B$38)),     IF(F1298&lt;=2000,  Model!$B$20-Model!$B$35*F1298/1000,  IF(F1298&lt;Model!$B$36,  Model!$B$33-5.4*F1298/1000,   Model!$B$38)))</f>
        <v>-20</v>
      </c>
      <c r="K1298" s="15">
        <f t="shared" si="427"/>
        <v>253</v>
      </c>
      <c r="L1298" s="45">
        <f>IF(AB1297-AA1297*(B1298-B1297)&gt;0, L1297-Y1297*(B1298-B1297)*3600-AD1298*Model!$B$16, 0)</f>
        <v>0</v>
      </c>
      <c r="M1298" s="56">
        <f t="shared" si="428"/>
        <v>0</v>
      </c>
      <c r="N1298" s="56">
        <f>Model!$B$13*I1298*K1298/(Model!$B$13*I1298-L1298*287*K1298)</f>
        <v>253</v>
      </c>
      <c r="O1298" s="56">
        <f t="shared" si="429"/>
        <v>253</v>
      </c>
      <c r="P1298" s="56">
        <f t="shared" si="430"/>
        <v>-10</v>
      </c>
      <c r="Q1298" s="62">
        <f t="shared" si="431"/>
        <v>2.2579999999999999E-2</v>
      </c>
      <c r="R1298" s="33">
        <f t="shared" si="432"/>
        <v>1.152E-5</v>
      </c>
      <c r="S1298" s="45">
        <f>0.37*Model!$B$10*(Q1298^2*(N1298-K1298)*I1298/(R1298*O1298^2))^0.33333*(N1298-K1298)</f>
        <v>0</v>
      </c>
      <c r="T1298" s="51">
        <f>Model!$B$32+(90-Model!$B$6)*SIN(RADIANS(-15*(E1298+6)))</f>
        <v>-31.619472402513487</v>
      </c>
      <c r="U1298" s="45">
        <f t="shared" si="433"/>
        <v>0</v>
      </c>
      <c r="V1298" s="50">
        <f t="shared" si="434"/>
        <v>99999</v>
      </c>
      <c r="W1298" s="45">
        <f t="shared" si="435"/>
        <v>0</v>
      </c>
      <c r="X1298" s="45">
        <f>0.3*W1298*Model!$B$9</f>
        <v>0</v>
      </c>
      <c r="Y1298" s="33">
        <f>(S1298-X1298)/Model!$B$11</f>
        <v>0</v>
      </c>
      <c r="Z1298" s="45" t="e">
        <f t="shared" si="436"/>
        <v>#DIV/0!</v>
      </c>
      <c r="AA1298" s="56">
        <f>Y1298/Model!$B$12*3600</f>
        <v>0</v>
      </c>
      <c r="AB1298" s="50">
        <f t="shared" si="442"/>
        <v>0</v>
      </c>
      <c r="AC1298" s="50">
        <f t="shared" si="437"/>
        <v>1800</v>
      </c>
      <c r="AD1298" s="15">
        <f>IF(AE1298=0, Model!$B$19, 0 )</f>
        <v>0</v>
      </c>
      <c r="AE1298" s="50">
        <f>IF(AE1297+AB1297-AB1298&lt;Model!$B$19*Model!$B$18, AE1297+AB1297-AB1298,  0)</f>
        <v>443.63457370611354</v>
      </c>
      <c r="AF1298" s="15">
        <f t="shared" si="438"/>
        <v>1</v>
      </c>
      <c r="AG1298" s="50">
        <f t="shared" si="439"/>
        <v>0</v>
      </c>
    </row>
    <row r="1299" spans="2:33" x14ac:dyDescent="0.25">
      <c r="B1299" s="13">
        <f t="shared" si="440"/>
        <v>1</v>
      </c>
      <c r="C1299" s="13">
        <f>B1299+Model!$B$4</f>
        <v>3</v>
      </c>
      <c r="D1299" s="13">
        <f t="shared" si="441"/>
        <v>1</v>
      </c>
      <c r="E1299" s="13">
        <f t="shared" si="421"/>
        <v>3</v>
      </c>
      <c r="F1299" s="14">
        <f>IF(AB1299&gt;0, VLOOKUP(B1299,Model!$A$40:$B$60, 2), 0)</f>
        <v>0</v>
      </c>
      <c r="G1299" s="13">
        <f>IF(AB1299&gt;0, VLOOKUP(B1299,Model!$A$39:$C$58, 3), 0)</f>
        <v>0</v>
      </c>
      <c r="H1299" s="13">
        <f t="shared" si="426"/>
        <v>0</v>
      </c>
      <c r="I1299" s="46">
        <f>Model!$B$21*EXP((-0.029*9.81*F1299)/(8.31*(273+J1299)))</f>
        <v>104500</v>
      </c>
      <c r="J1299" s="13">
        <f>IF(Model!$B$31="Summer",  IF(F1299&lt;=2000,  Model!$B$20-Model!$B$35*F1299/1000,  IF(F1299&lt;Model!$B$36,  Model!$B$33-6.5*F1299/1000,  Model!$B$38)),     IF(F1299&lt;=2000,  Model!$B$20-Model!$B$35*F1299/1000,  IF(F1299&lt;Model!$B$36,  Model!$B$33-5.4*F1299/1000,   Model!$B$38)))</f>
        <v>-20</v>
      </c>
      <c r="K1299" s="13">
        <f t="shared" si="427"/>
        <v>253</v>
      </c>
      <c r="L1299" s="46">
        <f>IF(AB1298-AA1298*(B1299-B1298)&gt;0, L1298-Y1298*(B1299-B1298)*3600-AD1299*Model!$B$16, 0)</f>
        <v>0</v>
      </c>
      <c r="M1299" s="57">
        <f t="shared" si="428"/>
        <v>0</v>
      </c>
      <c r="N1299" s="57">
        <f>Model!$B$13*I1299*K1299/(Model!$B$13*I1299-L1299*287*K1299)</f>
        <v>253</v>
      </c>
      <c r="O1299" s="57">
        <f t="shared" si="429"/>
        <v>253</v>
      </c>
      <c r="P1299" s="57">
        <f t="shared" si="430"/>
        <v>-10</v>
      </c>
      <c r="Q1299" s="63">
        <f t="shared" si="431"/>
        <v>2.2579999999999999E-2</v>
      </c>
      <c r="R1299" s="17">
        <f t="shared" si="432"/>
        <v>1.152E-5</v>
      </c>
      <c r="S1299" s="46">
        <f>0.37*Model!$B$10*(Q1299^2*(N1299-K1299)*I1299/(R1299*O1299^2))^0.33333*(N1299-K1299)</f>
        <v>0</v>
      </c>
      <c r="T1299" s="51">
        <f>Model!$B$32+(90-Model!$B$6)*SIN(RADIANS(-15*(E1299+6)))</f>
        <v>-31.619472402513487</v>
      </c>
      <c r="U1299" s="46">
        <f t="shared" si="433"/>
        <v>0</v>
      </c>
      <c r="V1299" s="51">
        <f t="shared" si="434"/>
        <v>99999</v>
      </c>
      <c r="W1299" s="46">
        <f t="shared" si="435"/>
        <v>0</v>
      </c>
      <c r="X1299" s="46">
        <f>0.3*W1299*Model!$B$9</f>
        <v>0</v>
      </c>
      <c r="Y1299" s="17">
        <f>(S1299-X1299)/Model!$B$11</f>
        <v>0</v>
      </c>
      <c r="Z1299" s="46" t="e">
        <f t="shared" si="436"/>
        <v>#DIV/0!</v>
      </c>
      <c r="AA1299" s="57">
        <f>Y1299/Model!$B$12*3600</f>
        <v>0</v>
      </c>
      <c r="AB1299" s="51">
        <f t="shared" si="442"/>
        <v>0</v>
      </c>
      <c r="AC1299" s="51">
        <f t="shared" si="437"/>
        <v>1800</v>
      </c>
      <c r="AD1299" s="13">
        <f>IF(AE1299=0, Model!$B$19, 0 )</f>
        <v>0</v>
      </c>
      <c r="AE1299" s="51">
        <f>IF(AE1298+AB1298-AB1299&lt;Model!$B$19*Model!$B$18, AE1298+AB1298-AB1299,  0)</f>
        <v>443.63457370611354</v>
      </c>
      <c r="AF1299" s="13">
        <f t="shared" si="438"/>
        <v>1</v>
      </c>
      <c r="AG1299" s="50">
        <f t="shared" si="439"/>
        <v>0</v>
      </c>
    </row>
    <row r="1300" spans="2:33" x14ac:dyDescent="0.25">
      <c r="B1300" s="15">
        <f t="shared" si="440"/>
        <v>1</v>
      </c>
      <c r="C1300" s="15">
        <f>B1300+Model!$B$4</f>
        <v>3</v>
      </c>
      <c r="D1300" s="15">
        <f t="shared" si="441"/>
        <v>1</v>
      </c>
      <c r="E1300" s="15">
        <f t="shared" si="421"/>
        <v>3</v>
      </c>
      <c r="F1300" s="16">
        <f>IF(AB1300&gt;0, VLOOKUP(B1300,Model!$A$40:$B$60, 2), 0)</f>
        <v>0</v>
      </c>
      <c r="G1300" s="15">
        <f>IF(AB1300&gt;0, VLOOKUP(B1300,Model!$A$39:$C$58, 3), 0)</f>
        <v>0</v>
      </c>
      <c r="H1300" s="15">
        <f t="shared" si="426"/>
        <v>0</v>
      </c>
      <c r="I1300" s="45">
        <f>Model!$B$21*EXP((-0.029*9.81*F1300)/(8.31*(273+J1300)))</f>
        <v>104500</v>
      </c>
      <c r="J1300" s="15">
        <f>IF(Model!$B$31="Summer",  IF(F1300&lt;=2000,  Model!$B$20-Model!$B$35*F1300/1000,  IF(F1300&lt;Model!$B$36,  Model!$B$33-6.5*F1300/1000,  Model!$B$38)),     IF(F1300&lt;=2000,  Model!$B$20-Model!$B$35*F1300/1000,  IF(F1300&lt;Model!$B$36,  Model!$B$33-5.4*F1300/1000,   Model!$B$38)))</f>
        <v>-20</v>
      </c>
      <c r="K1300" s="15">
        <f t="shared" si="427"/>
        <v>253</v>
      </c>
      <c r="L1300" s="45">
        <f>IF(AB1299-AA1299*(B1300-B1299)&gt;0, L1299-Y1299*(B1300-B1299)*3600-AD1300*Model!$B$16, 0)</f>
        <v>0</v>
      </c>
      <c r="M1300" s="56">
        <f t="shared" si="428"/>
        <v>0</v>
      </c>
      <c r="N1300" s="56">
        <f>Model!$B$13*I1300*K1300/(Model!$B$13*I1300-L1300*287*K1300)</f>
        <v>253</v>
      </c>
      <c r="O1300" s="56">
        <f t="shared" si="429"/>
        <v>253</v>
      </c>
      <c r="P1300" s="56">
        <f t="shared" si="430"/>
        <v>-10</v>
      </c>
      <c r="Q1300" s="62">
        <f t="shared" si="431"/>
        <v>2.2579999999999999E-2</v>
      </c>
      <c r="R1300" s="33">
        <f t="shared" si="432"/>
        <v>1.152E-5</v>
      </c>
      <c r="S1300" s="45">
        <f>0.37*Model!$B$10*(Q1300^2*(N1300-K1300)*I1300/(R1300*O1300^2))^0.33333*(N1300-K1300)</f>
        <v>0</v>
      </c>
      <c r="T1300" s="51">
        <f>Model!$B$32+(90-Model!$B$6)*SIN(RADIANS(-15*(E1300+6)))</f>
        <v>-31.619472402513487</v>
      </c>
      <c r="U1300" s="45">
        <f t="shared" si="433"/>
        <v>0</v>
      </c>
      <c r="V1300" s="50">
        <f t="shared" si="434"/>
        <v>99999</v>
      </c>
      <c r="W1300" s="45">
        <f t="shared" si="435"/>
        <v>0</v>
      </c>
      <c r="X1300" s="45">
        <f>0.3*W1300*Model!$B$9</f>
        <v>0</v>
      </c>
      <c r="Y1300" s="33">
        <f>(S1300-X1300)/Model!$B$11</f>
        <v>0</v>
      </c>
      <c r="Z1300" s="45" t="e">
        <f t="shared" si="436"/>
        <v>#DIV/0!</v>
      </c>
      <c r="AA1300" s="56">
        <f>Y1300/Model!$B$12*3600</f>
        <v>0</v>
      </c>
      <c r="AB1300" s="50">
        <f t="shared" si="442"/>
        <v>0</v>
      </c>
      <c r="AC1300" s="50">
        <f t="shared" si="437"/>
        <v>1800</v>
      </c>
      <c r="AD1300" s="15">
        <f>IF(AE1300=0, Model!$B$19, 0 )</f>
        <v>0</v>
      </c>
      <c r="AE1300" s="50">
        <f>IF(AE1299+AB1299-AB1300&lt;Model!$B$19*Model!$B$18, AE1299+AB1299-AB1300,  0)</f>
        <v>443.63457370611354</v>
      </c>
      <c r="AF1300" s="15">
        <f t="shared" si="438"/>
        <v>1</v>
      </c>
      <c r="AG1300" s="50">
        <f t="shared" si="439"/>
        <v>0</v>
      </c>
    </row>
    <row r="1301" spans="2:33" x14ac:dyDescent="0.25">
      <c r="B1301" s="13">
        <f t="shared" si="440"/>
        <v>1</v>
      </c>
      <c r="C1301" s="13">
        <f>B1301+Model!$B$4</f>
        <v>3</v>
      </c>
      <c r="D1301" s="13">
        <f t="shared" si="441"/>
        <v>1</v>
      </c>
      <c r="E1301" s="13">
        <f t="shared" si="421"/>
        <v>3</v>
      </c>
      <c r="F1301" s="14">
        <f>IF(AB1301&gt;0, VLOOKUP(B1301,Model!$A$40:$B$60, 2), 0)</f>
        <v>0</v>
      </c>
      <c r="G1301" s="13">
        <f>IF(AB1301&gt;0, VLOOKUP(B1301,Model!$A$39:$C$58, 3), 0)</f>
        <v>0</v>
      </c>
      <c r="H1301" s="13">
        <f t="shared" si="426"/>
        <v>0</v>
      </c>
      <c r="I1301" s="46">
        <f>Model!$B$21*EXP((-0.029*9.81*F1301)/(8.31*(273+J1301)))</f>
        <v>104500</v>
      </c>
      <c r="J1301" s="13">
        <f>IF(Model!$B$31="Summer",  IF(F1301&lt;=2000,  Model!$B$20-Model!$B$35*F1301/1000,  IF(F1301&lt;Model!$B$36,  Model!$B$33-6.5*F1301/1000,  Model!$B$38)),     IF(F1301&lt;=2000,  Model!$B$20-Model!$B$35*F1301/1000,  IF(F1301&lt;Model!$B$36,  Model!$B$33-5.4*F1301/1000,   Model!$B$38)))</f>
        <v>-20</v>
      </c>
      <c r="K1301" s="13">
        <f t="shared" si="427"/>
        <v>253</v>
      </c>
      <c r="L1301" s="46">
        <f>IF(AB1300-AA1300*(B1301-B1300)&gt;0, L1300-Y1300*(B1301-B1300)*3600-AD1301*Model!$B$16, 0)</f>
        <v>0</v>
      </c>
      <c r="M1301" s="57">
        <f t="shared" si="428"/>
        <v>0</v>
      </c>
      <c r="N1301" s="57">
        <f>Model!$B$13*I1301*K1301/(Model!$B$13*I1301-L1301*287*K1301)</f>
        <v>253</v>
      </c>
      <c r="O1301" s="57">
        <f t="shared" si="429"/>
        <v>253</v>
      </c>
      <c r="P1301" s="57">
        <f t="shared" si="430"/>
        <v>-10</v>
      </c>
      <c r="Q1301" s="63">
        <f t="shared" si="431"/>
        <v>2.2579999999999999E-2</v>
      </c>
      <c r="R1301" s="17">
        <f t="shared" si="432"/>
        <v>1.152E-5</v>
      </c>
      <c r="S1301" s="46">
        <f>0.37*Model!$B$10*(Q1301^2*(N1301-K1301)*I1301/(R1301*O1301^2))^0.33333*(N1301-K1301)</f>
        <v>0</v>
      </c>
      <c r="T1301" s="51">
        <f>Model!$B$32+(90-Model!$B$6)*SIN(RADIANS(-15*(E1301+6)))</f>
        <v>-31.619472402513487</v>
      </c>
      <c r="U1301" s="46">
        <f t="shared" si="433"/>
        <v>0</v>
      </c>
      <c r="V1301" s="51">
        <f t="shared" si="434"/>
        <v>99999</v>
      </c>
      <c r="W1301" s="46">
        <f t="shared" si="435"/>
        <v>0</v>
      </c>
      <c r="X1301" s="46">
        <f>0.3*W1301*Model!$B$9</f>
        <v>0</v>
      </c>
      <c r="Y1301" s="17">
        <f>(S1301-X1301)/Model!$B$11</f>
        <v>0</v>
      </c>
      <c r="Z1301" s="46" t="e">
        <f t="shared" si="436"/>
        <v>#DIV/0!</v>
      </c>
      <c r="AA1301" s="57">
        <f>Y1301/Model!$B$12*3600</f>
        <v>0</v>
      </c>
      <c r="AB1301" s="51">
        <f t="shared" si="442"/>
        <v>0</v>
      </c>
      <c r="AC1301" s="51">
        <f t="shared" si="437"/>
        <v>1800</v>
      </c>
      <c r="AD1301" s="13">
        <f>IF(AE1301=0, Model!$B$19, 0 )</f>
        <v>0</v>
      </c>
      <c r="AE1301" s="51">
        <f>IF(AE1300+AB1300-AB1301&lt;Model!$B$19*Model!$B$18, AE1300+AB1300-AB1301,  0)</f>
        <v>443.63457370611354</v>
      </c>
      <c r="AF1301" s="13">
        <f t="shared" si="438"/>
        <v>1</v>
      </c>
      <c r="AG1301" s="50">
        <f t="shared" si="439"/>
        <v>0</v>
      </c>
    </row>
    <row r="1302" spans="2:33" x14ac:dyDescent="0.25">
      <c r="B1302" s="35">
        <f t="shared" si="440"/>
        <v>1</v>
      </c>
      <c r="C1302" s="35">
        <f>B1302+Model!$B$4</f>
        <v>3</v>
      </c>
      <c r="D1302" s="35">
        <f t="shared" si="441"/>
        <v>1</v>
      </c>
      <c r="E1302" s="35">
        <f t="shared" si="421"/>
        <v>3</v>
      </c>
      <c r="F1302" s="36">
        <f>IF(AB1302&gt;0, VLOOKUP(B1302,Model!$A$40:$B$60, 2), 0)</f>
        <v>0</v>
      </c>
      <c r="G1302" s="35">
        <f>IF(AB1302&gt;0, VLOOKUP(B1302,Model!$A$39:$C$58, 3), 0)</f>
        <v>0</v>
      </c>
      <c r="H1302" s="35">
        <f t="shared" si="426"/>
        <v>0</v>
      </c>
      <c r="I1302" s="47">
        <f>Model!$B$21*EXP((-0.029*9.81*F1302)/(8.31*(273+J1302)))</f>
        <v>104500</v>
      </c>
      <c r="J1302" s="35">
        <f>IF(Model!$B$31="Summer",  IF(F1302&lt;=2000,  Model!$B$20-Model!$B$35*F1302/1000,  IF(F1302&lt;Model!$B$36,  Model!$B$33-6.5*F1302/1000,  Model!$B$38)),     IF(F1302&lt;=2000,  Model!$B$20-Model!$B$35*F1302/1000,  IF(F1302&lt;Model!$B$36,  Model!$B$33-5.4*F1302/1000,   Model!$B$38)))</f>
        <v>-20</v>
      </c>
      <c r="K1302" s="35">
        <f t="shared" si="427"/>
        <v>253</v>
      </c>
      <c r="L1302" s="47">
        <f>IF(AB1301-AA1301*(B1302-B1301)&gt;0, L1301-Y1301*(B1302-B1301)*3600-AD1302*Model!$B$16, 0)</f>
        <v>0</v>
      </c>
      <c r="M1302" s="58">
        <f t="shared" si="428"/>
        <v>0</v>
      </c>
      <c r="N1302" s="58">
        <f>Model!$B$13*I1302*K1302/(Model!$B$13*I1302-L1302*287*K1302)</f>
        <v>253</v>
      </c>
      <c r="O1302" s="58">
        <f t="shared" si="429"/>
        <v>253</v>
      </c>
      <c r="P1302" s="58">
        <f t="shared" si="430"/>
        <v>-10</v>
      </c>
      <c r="Q1302" s="64">
        <f t="shared" si="431"/>
        <v>2.2579999999999999E-2</v>
      </c>
      <c r="R1302" s="37">
        <f t="shared" si="432"/>
        <v>1.152E-5</v>
      </c>
      <c r="S1302" s="47">
        <f>0.37*Model!$B$10*(Q1302^2*(N1302-K1302)*I1302/(R1302*O1302^2))^0.33333*(N1302-K1302)</f>
        <v>0</v>
      </c>
      <c r="T1302" s="51">
        <f>Model!$B$32+(90-Model!$B$6)*SIN(RADIANS(-15*(E1302+6)))</f>
        <v>-31.619472402513487</v>
      </c>
      <c r="U1302" s="47">
        <f t="shared" si="433"/>
        <v>0</v>
      </c>
      <c r="V1302" s="52">
        <f t="shared" si="434"/>
        <v>99999</v>
      </c>
      <c r="W1302" s="47">
        <f t="shared" si="435"/>
        <v>0</v>
      </c>
      <c r="X1302" s="47">
        <f>0.3*W1302*Model!$B$9</f>
        <v>0</v>
      </c>
      <c r="Y1302" s="37">
        <f>(S1302-X1302)/Model!$B$11</f>
        <v>0</v>
      </c>
      <c r="Z1302" s="47" t="e">
        <f t="shared" si="436"/>
        <v>#DIV/0!</v>
      </c>
      <c r="AA1302" s="58">
        <f>Y1302/Model!$B$12*3600</f>
        <v>0</v>
      </c>
      <c r="AB1302" s="52">
        <f t="shared" si="442"/>
        <v>0</v>
      </c>
      <c r="AC1302" s="52">
        <f t="shared" si="437"/>
        <v>1800</v>
      </c>
      <c r="AD1302" s="35">
        <f>IF(AE1302=0, Model!$B$19, 0 )</f>
        <v>0</v>
      </c>
      <c r="AE1302" s="52">
        <f>IF(AE1301+AB1301-AB1302&lt;Model!$B$19*Model!$B$18, AE1301+AB1301-AB1302,  0)</f>
        <v>443.63457370611354</v>
      </c>
      <c r="AF1302" s="35">
        <f t="shared" si="438"/>
        <v>1</v>
      </c>
      <c r="AG1302" s="50">
        <f t="shared" si="439"/>
        <v>0</v>
      </c>
    </row>
  </sheetData>
  <sheetProtection password="C683" sheet="1" objects="1" scenarios="1"/>
  <pageMargins left="0.7" right="0.7" top="0.75" bottom="0.75" header="0.3" footer="0.3"/>
  <pageSetup paperSize="9" orientation="portrait"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Model</vt:lpstr>
      <vt:lpstr>Calculations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talanov</dc:creator>
  <cp:lastModifiedBy>Гостиная</cp:lastModifiedBy>
  <cp:lastPrinted>2015-03-20T16:55:10Z</cp:lastPrinted>
  <dcterms:created xsi:type="dcterms:W3CDTF">2015-03-19T12:58:00Z</dcterms:created>
  <dcterms:modified xsi:type="dcterms:W3CDTF">2021-02-23T14:28:58Z</dcterms:modified>
</cp:coreProperties>
</file>